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4.xml.rels" ContentType="application/vnd.openxmlformats-package.relationships+xml"/>
  <Override PartName="/xl/worksheets/_rels/sheet1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15"/>
  </bookViews>
  <sheets>
    <sheet name="ESF - ERI" sheetId="1" state="hidden" r:id="rId2"/>
    <sheet name="EF Informe" sheetId="2" state="hidden" r:id="rId3"/>
    <sheet name="PyG Informe" sheetId="3" state="hidden" r:id="rId4"/>
    <sheet name="Estado de Cambios en el Patr." sheetId="4" state="hidden" r:id="rId5"/>
    <sheet name="Diario 2015 (a)" sheetId="5" state="hidden" r:id="rId6"/>
    <sheet name="Diarios Cxc Cxp relac (c)" sheetId="6" state="hidden" r:id="rId7"/>
    <sheet name="Ventas-Compras (d)" sheetId="7" state="hidden" r:id="rId8"/>
    <sheet name="Asientos - para Consolidado" sheetId="8" state="hidden" r:id="rId9"/>
    <sheet name="PNC" sheetId="9" state="hidden" r:id="rId10"/>
    <sheet name="Hoja2" sheetId="10" state="hidden" r:id="rId11"/>
    <sheet name="Variación Patrimonio 2017-2016" sheetId="11" state="hidden" r:id="rId12"/>
    <sheet name="Variación Patrimonio 2018-2017" sheetId="12" state="hidden" r:id="rId13"/>
    <sheet name="Inversiones" sheetId="13" state="visible" r:id="rId14"/>
    <sheet name="Participaciones" sheetId="14" state="visible" r:id="rId15"/>
    <sheet name="Saldos interco." sheetId="15" state="visible" r:id="rId16"/>
    <sheet name="Planilla final" sheetId="16" state="visible" r:id="rId17"/>
    <sheet name="AD ESF" sheetId="17" state="visible" r:id="rId18"/>
    <sheet name="AD ERI" sheetId="18" state="visible" r:id="rId19"/>
    <sheet name="ESF19" sheetId="19" state="visible" r:id="rId20"/>
    <sheet name="ERI19" sheetId="20" state="visible" r:id="rId21"/>
    <sheet name="ECP19" sheetId="21" state="visible" r:id="rId22"/>
    <sheet name="PAT19" sheetId="22" state="visible" r:id="rId23"/>
    <sheet name="EFE19" sheetId="23" state="visible" r:id="rId24"/>
    <sheet name="Planilla Final 2017" sheetId="24" state="hidden" r:id="rId25"/>
    <sheet name="Participaciones 2017" sheetId="25" state="hidden" r:id="rId26"/>
  </sheets>
  <externalReferences>
    <externalReference r:id="rId27"/>
  </externalReferences>
  <definedNames>
    <definedName function="false" hidden="false" localSheetId="7" name="_xlnm.Print_Area" vbProcedure="false">'Asientos - para Consolidado'!$A$1:$M$75</definedName>
    <definedName function="false" hidden="false" localSheetId="22" name="_xlnm.Print_Area" vbProcedure="false">EFE19!$A$1:$H$71</definedName>
    <definedName function="false" hidden="false" localSheetId="0" name="_xlnm.Print_Area" vbProcedure="false">'ESF - ERI'!$A$1:$AI$79</definedName>
    <definedName function="false" hidden="false" localSheetId="18" name="_xlnm.Print_Area" vbProcedure="false">ESF19!$A$2:$W$35</definedName>
    <definedName function="false" hidden="false" localSheetId="8" name="_xlnm.Print_Area" vbProcedure="false">PNC!$B$1:$H$103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22" authorId="0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Reconocimiento de plusvalía mercantil</t>
        </r>
      </text>
    </comment>
    <comment ref="P2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provisión por deterioro y reconocimiento de vpp en Latamfiberhome</t>
        </r>
      </text>
    </comment>
    <comment ref="P2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con subsidiarias</t>
        </r>
      </text>
    </comment>
    <comment ref="P2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de subsidiarias</t>
        </r>
      </text>
    </comment>
    <comment ref="P3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efecto de ajuste de saldos consolidados</t>
        </r>
      </text>
    </comment>
    <comment ref="P3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con subsidiarias</t>
        </r>
      </text>
    </comment>
    <comment ref="P3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efecto de ajustes de saldos consolidados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subsidiarias</t>
        </r>
      </text>
    </comment>
    <comment ref="P44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aportes de inversión en subsidiarias</t>
        </r>
      </text>
    </comment>
    <comment ref="P45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inversión en subsidiarias</t>
        </r>
      </text>
    </comment>
    <comment ref="P5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exceso en pago de compra en subsidiarias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</t>
        </r>
      </text>
    </comment>
    <comment ref="Q1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Capacity IRU Cable andino Inc</t>
        </r>
      </text>
    </comment>
    <comment ref="Q2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cada paquete accionario de subsiriaria</t>
        </r>
      </text>
    </comment>
    <comment ref="Q3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Eliminacion de cuenta Linkotel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</t>
        </r>
      </text>
    </comment>
    <comment ref="Q5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<sst xmlns="http://schemas.openxmlformats.org/spreadsheetml/2006/main" count="2507" uniqueCount="863">
  <si>
    <t xml:space="preserve">TELCONET S.A. Y SUBSIDIARIAS</t>
  </si>
  <si>
    <t xml:space="preserve">PLANILLA   DE  AJUSTES - PARA CONSOLIDADO </t>
  </si>
  <si>
    <t xml:space="preserve">AJUSTES </t>
  </si>
  <si>
    <t xml:space="preserve">Cuentas</t>
  </si>
  <si>
    <t xml:space="preserve">TELCONET S.A.
Al 31/12/2015</t>
  </si>
  <si>
    <t xml:space="preserve">Variación</t>
  </si>
  <si>
    <t xml:space="preserve">TELCONET S.A.
Al 31/12/2015 RESTRUCTURADO</t>
  </si>
  <si>
    <t xml:space="preserve">CABLE ANDINO INC.
Al 31/12/2015</t>
  </si>
  <si>
    <t xml:space="preserve">CABLE ANDINO S.A.
Al 31/12/2015</t>
  </si>
  <si>
    <t xml:space="preserve">TRANSTELCO
Al 31/12/2015</t>
  </si>
  <si>
    <t xml:space="preserve">NETSPEED
Al 31/12/2015</t>
  </si>
  <si>
    <t xml:space="preserve">CERINSA
Al 31/12/2015</t>
  </si>
  <si>
    <t xml:space="preserve">ECONOCOMPU
Al 31/12/2015</t>
  </si>
  <si>
    <t xml:space="preserve">SMARTCITIES S.A.
Al 31/12/2015</t>
  </si>
  <si>
    <t xml:space="preserve">INMOB. LEONOR3
Al 31/12/2015</t>
  </si>
  <si>
    <t xml:space="preserve">TELSOTERRA
Al 31/12/2015</t>
  </si>
  <si>
    <t xml:space="preserve">Consolidado 
antes de 
Ajustes</t>
  </si>
  <si>
    <t xml:space="preserve">Notas</t>
  </si>
  <si>
    <t xml:space="preserve">Débitos </t>
  </si>
  <si>
    <t xml:space="preserve">Créditos </t>
  </si>
  <si>
    <t xml:space="preserve">Saldos
Consoliadados
al 31.12.2015 RESTRUCTURADOS</t>
  </si>
  <si>
    <t xml:space="preserve">TELCONET S.A.
Al 31/12/2017</t>
  </si>
  <si>
    <t xml:space="preserve">CABLE ANDINO INC.
Al 31/12/2017</t>
  </si>
  <si>
    <t xml:space="preserve">CABLE ANDINO CORPORANDINO
Al 31/12/2017</t>
  </si>
  <si>
    <t xml:space="preserve">TRANSTELCO
Al 31/12/2017</t>
  </si>
  <si>
    <t xml:space="preserve">NETSPEED
Al 31/12/2017</t>
  </si>
  <si>
    <t xml:space="preserve">CERINSA
Al 31/12/2017</t>
  </si>
  <si>
    <t xml:space="preserve">ECONOCOMPU
Al 31/12/2017</t>
  </si>
  <si>
    <t xml:space="preserve">SMARTCITIES S.A.
Al 31/12/2017</t>
  </si>
  <si>
    <t xml:space="preserve">INMOB. LEONOR3
Al 31/12/2017</t>
  </si>
  <si>
    <t xml:space="preserve">TELSOTERRA
Al 31/12/2017</t>
  </si>
  <si>
    <t xml:space="preserve">Linkotel Al 31/12/2017</t>
  </si>
  <si>
    <t xml:space="preserve">Telconet Panamá</t>
  </si>
  <si>
    <t xml:space="preserve">Saldos
Consolidados
al 31.12.2017</t>
  </si>
  <si>
    <t xml:space="preserve">Saldos
Consolidados
al 31.12.2015 REESTRUCTURADO</t>
  </si>
  <si>
    <t xml:space="preserve">Efectivo y equivalentes de efectivo</t>
  </si>
  <si>
    <t xml:space="preserve">Inversiones mantenidas hasta el vencimiento</t>
  </si>
  <si>
    <t xml:space="preserve">Activos financieros a valor razonable</t>
  </si>
  <si>
    <t xml:space="preserve">Cuentas por cobrar comerciales</t>
  </si>
  <si>
    <t xml:space="preserve">c</t>
  </si>
  <si>
    <t xml:space="preserve">Cuentas por cobrar relacionadas</t>
  </si>
  <si>
    <t xml:space="preserve">d</t>
  </si>
  <si>
    <t xml:space="preserve">Otras cuentas por cobrar</t>
  </si>
  <si>
    <t xml:space="preserve">Impuestos por recuperar</t>
  </si>
  <si>
    <t xml:space="preserve"> </t>
  </si>
  <si>
    <t xml:space="preserve">Anticipos a proveedores</t>
  </si>
  <si>
    <t xml:space="preserve">Inventarios</t>
  </si>
  <si>
    <t xml:space="preserve">Trabajos en proceso</t>
  </si>
  <si>
    <t xml:space="preserve">Cuentas por cobrar relacionadas L/P</t>
  </si>
  <si>
    <t xml:space="preserve">Otras cuentas por cobrar L/P</t>
  </si>
  <si>
    <t xml:space="preserve">Propiedades y equipos</t>
  </si>
  <si>
    <t xml:space="preserve">b</t>
  </si>
  <si>
    <t xml:space="preserve">a</t>
  </si>
  <si>
    <t xml:space="preserve">Propiedades de inversión</t>
  </si>
  <si>
    <t xml:space="preserve">Activos intangibles</t>
  </si>
  <si>
    <t xml:space="preserve">Trabajos en proceso L/P</t>
  </si>
  <si>
    <t xml:space="preserve">Inversiones en derechos fiduciarios</t>
  </si>
  <si>
    <t xml:space="preserve">Inversiones en subsidiarias y asociadas</t>
  </si>
  <si>
    <t xml:space="preserve">a / b / e</t>
  </si>
  <si>
    <t xml:space="preserve">a / b</t>
  </si>
  <si>
    <t xml:space="preserve">Proyectos</t>
  </si>
  <si>
    <t xml:space="preserve">Otros activos</t>
  </si>
  <si>
    <t xml:space="preserve">Plusvalía</t>
  </si>
  <si>
    <t xml:space="preserve">Total activos</t>
  </si>
  <si>
    <t xml:space="preserve">Sobregiros bancarios</t>
  </si>
  <si>
    <t xml:space="preserve">Porción corriente de las obligaciones financieras</t>
  </si>
  <si>
    <t xml:space="preserve">Porcion corriente de valores emitidos</t>
  </si>
  <si>
    <t xml:space="preserve">Cuentas por pagar a proveedores</t>
  </si>
  <si>
    <t xml:space="preserve">Cuentas por pagar relacionadas</t>
  </si>
  <si>
    <t xml:space="preserve">b / c</t>
  </si>
  <si>
    <t xml:space="preserve">Impuesto a la renta por pagar</t>
  </si>
  <si>
    <t xml:space="preserve">Otros impuestos por pagar</t>
  </si>
  <si>
    <t xml:space="preserve">Otras cuentas por pagar</t>
  </si>
  <si>
    <t xml:space="preserve">b </t>
  </si>
  <si>
    <t xml:space="preserve">Anticipos de clientes</t>
  </si>
  <si>
    <t xml:space="preserve">Beneficios sociales</t>
  </si>
  <si>
    <t xml:space="preserve">Ingresos diferidos</t>
  </si>
  <si>
    <t xml:space="preserve">Obligaciones financieras</t>
  </si>
  <si>
    <t xml:space="preserve">Valores emitidos</t>
  </si>
  <si>
    <t xml:space="preserve">Cuentas por pagar a proveedores L/P</t>
  </si>
  <si>
    <t xml:space="preserve">Cuentas por pagar relacionadas L/P</t>
  </si>
  <si>
    <t xml:space="preserve">Otras cuentas por pagar L/P</t>
  </si>
  <si>
    <t xml:space="preserve">Anticipos de clientes L/P</t>
  </si>
  <si>
    <t xml:space="preserve">Beneficios sociales L/P</t>
  </si>
  <si>
    <t xml:space="preserve">Ingresos diferidos L/P</t>
  </si>
  <si>
    <t xml:space="preserve">Provisiones</t>
  </si>
  <si>
    <t xml:space="preserve">Total pasivos</t>
  </si>
  <si>
    <t xml:space="preserve">Capital Social</t>
  </si>
  <si>
    <t xml:space="preserve">Aporte para futuras capitalizaciones</t>
  </si>
  <si>
    <t xml:space="preserve">a / b / d</t>
  </si>
  <si>
    <t xml:space="preserve">Reserva legal</t>
  </si>
  <si>
    <t xml:space="preserve">Reserva facultativa</t>
  </si>
  <si>
    <t xml:space="preserve">Reserva de capital</t>
  </si>
  <si>
    <t xml:space="preserve">Ajuste de Primera Adopcion NIIF</t>
  </si>
  <si>
    <t xml:space="preserve">Otros resultados integrales</t>
  </si>
  <si>
    <t xml:space="preserve">Utilidades Acumuladas</t>
  </si>
  <si>
    <t xml:space="preserve">d /  b</t>
  </si>
  <si>
    <t xml:space="preserve">a / b / c</t>
  </si>
  <si>
    <t xml:space="preserve">Resultado integral del año</t>
  </si>
  <si>
    <t xml:space="preserve">Participación No Controladora (PNC)</t>
  </si>
  <si>
    <t xml:space="preserve">Total patrimonio</t>
  </si>
  <si>
    <t xml:space="preserve">Ingresos por ventas</t>
  </si>
  <si>
    <t xml:space="preserve">Costo de venta</t>
  </si>
  <si>
    <t xml:space="preserve">Utilidad bruta</t>
  </si>
  <si>
    <t xml:space="preserve">Gastos de administración y ventas</t>
  </si>
  <si>
    <t xml:space="preserve">Otros ingresos, neto</t>
  </si>
  <si>
    <t xml:space="preserve">b / e</t>
  </si>
  <si>
    <t xml:space="preserve">Utilidad operacional</t>
  </si>
  <si>
    <t xml:space="preserve">Gastos financieros, neto</t>
  </si>
  <si>
    <t xml:space="preserve">Utilidad antes de IR</t>
  </si>
  <si>
    <t xml:space="preserve">Participación a trabajadores</t>
  </si>
  <si>
    <t xml:space="preserve">Impuesto a las ganancias</t>
  </si>
  <si>
    <t xml:space="preserve">Utilidad  del Ejercicio </t>
  </si>
  <si>
    <t xml:space="preserve">(Pérdidas) ganancias actuariales</t>
  </si>
  <si>
    <t xml:space="preserve">(A)</t>
  </si>
  <si>
    <t xml:space="preserve">Resultado correspondiente a la controladora</t>
  </si>
  <si>
    <t xml:space="preserve">Pérdida de Asociada Latam</t>
  </si>
  <si>
    <t xml:space="preserve">Resultado correspondiente a la PNC</t>
  </si>
  <si>
    <t xml:space="preserve">Reestructurado (*)</t>
  </si>
  <si>
    <t xml:space="preserve">ACTIVOS</t>
  </si>
  <si>
    <t xml:space="preserve">Nota</t>
  </si>
  <si>
    <t xml:space="preserve">Al 31 de diciembre del 2016</t>
  </si>
  <si>
    <t xml:space="preserve">Al 31 de diciembre del 2015</t>
  </si>
  <si>
    <t xml:space="preserve">Activos corrientes</t>
  </si>
  <si>
    <t xml:space="preserve">Activos financieros a valor razonable </t>
  </si>
  <si>
    <t xml:space="preserve">Pendiente clasificacion</t>
  </si>
  <si>
    <t xml:space="preserve">Cuentas por cobrar a compañías relacionadas</t>
  </si>
  <si>
    <t xml:space="preserve">Total activos corrientes</t>
  </si>
  <si>
    <t xml:space="preserve">Activos no corrientes mantenidos para la venta</t>
  </si>
  <si>
    <t xml:space="preserve">Activos no corrientes</t>
  </si>
  <si>
    <t xml:space="preserve">Redactar reclasificacion a trabajos en proceso por US$38 millones</t>
  </si>
  <si>
    <t xml:space="preserve">Propiedades de inversión </t>
  </si>
  <si>
    <t xml:space="preserve">Pendiente movimiento de proyecto</t>
  </si>
  <si>
    <t xml:space="preserve">Total activos no corrientes</t>
  </si>
  <si>
    <t xml:space="preserve">PASIVOS Y PATRIMONIO</t>
  </si>
  <si>
    <t xml:space="preserve">PASIVOS</t>
  </si>
  <si>
    <t xml:space="preserve">Pasivos corrientes</t>
  </si>
  <si>
    <t xml:space="preserve">Préstamos y obligaciones financieras</t>
  </si>
  <si>
    <t xml:space="preserve">Cuentas por pagar a proveedores </t>
  </si>
  <si>
    <t xml:space="preserve">Cuentas por pagar a compañías relacionadas</t>
  </si>
  <si>
    <t xml:space="preserve">Beneficios sociales </t>
  </si>
  <si>
    <t xml:space="preserve">          Total pasivos corrientes</t>
  </si>
  <si>
    <t xml:space="preserve">Pasivos no corrientes</t>
  </si>
  <si>
    <t xml:space="preserve">Ingresos diferidos </t>
  </si>
  <si>
    <t xml:space="preserve">Total pasivos no corrientes</t>
  </si>
  <si>
    <t xml:space="preserve">PATRIMONIO </t>
  </si>
  <si>
    <t xml:space="preserve">Capital</t>
  </si>
  <si>
    <t xml:space="preserve">Aportes para futuras capitalizaciones</t>
  </si>
  <si>
    <t xml:space="preserve">Reservas</t>
  </si>
  <si>
    <t xml:space="preserve">Resultados acumulados</t>
  </si>
  <si>
    <t xml:space="preserve">Participaciones no controladas</t>
  </si>
  <si>
    <t xml:space="preserve">Total pasivos y patrimonio</t>
  </si>
  <si>
    <t xml:space="preserve">Reestructurado (1)</t>
  </si>
  <si>
    <t xml:space="preserve">Costo de ventas  (2)</t>
  </si>
  <si>
    <t xml:space="preserve">  Utilidad bruta</t>
  </si>
  <si>
    <t xml:space="preserve">Gastos de administración y ventas (2)</t>
  </si>
  <si>
    <t xml:space="preserve">Otros (gastos) ingresos, neto</t>
  </si>
  <si>
    <t xml:space="preserve">  Utilidad operacional</t>
  </si>
  <si>
    <t xml:space="preserve">  Utilidad antes de impuesto a la renta</t>
  </si>
  <si>
    <t xml:space="preserve"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</si>
  <si>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</si>
  <si>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</si>
  <si>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</si>
  <si>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 xml:space="preserve">al resultado del ejercicio:</t>
  </si>
  <si>
    <t xml:space="preserve"> (Pérdidas) ganancias actuariales</t>
  </si>
  <si>
    <t xml:space="preserve">Resultado integral del año atribuible a:</t>
  </si>
  <si>
    <t xml:space="preserve">Participación de la Matriz</t>
  </si>
  <si>
    <t xml:space="preserve">Aportes para futuras </t>
  </si>
  <si>
    <t xml:space="preserve">Reserva de</t>
  </si>
  <si>
    <t xml:space="preserve">Por aplicación</t>
  </si>
  <si>
    <t xml:space="preserve">Resultados</t>
  </si>
  <si>
    <t xml:space="preserve">Participación</t>
  </si>
  <si>
    <t xml:space="preserve">Capital social</t>
  </si>
  <si>
    <t xml:space="preserve">capitalizaciones</t>
  </si>
  <si>
    <t xml:space="preserve">Legal</t>
  </si>
  <si>
    <t xml:space="preserve">Facultativa</t>
  </si>
  <si>
    <t xml:space="preserve">capital</t>
  </si>
  <si>
    <t xml:space="preserve">inicial NIIF</t>
  </si>
  <si>
    <t xml:space="preserve">acumulados</t>
  </si>
  <si>
    <t xml:space="preserve">No Controladora</t>
  </si>
  <si>
    <t xml:space="preserve">Totales</t>
  </si>
  <si>
    <t xml:space="preserve">Saldos al 31 de diciembre del 2014</t>
  </si>
  <si>
    <t xml:space="preserve">Devoluciones de aportes de accionistas según Junta
  de Directorio del 13 de enero del 2015</t>
  </si>
  <si>
    <t xml:space="preserve">Aumento de capital según aprobación de Junta
 General de Accionistas del 10 de julio del 2015</t>
  </si>
  <si>
    <t xml:space="preserve">Aumento de capital según aprobación de Junta
 General de Accionistas del 23 de septiembre del 2015</t>
  </si>
  <si>
    <t xml:space="preserve">Aumento de capital según aprobación de Junta
 General de Accionistas del 17 de diciembre del 2015</t>
  </si>
  <si>
    <t xml:space="preserve">Transferencia a reserva legal pendiente de aprobación por 
   la Junta General de Accionistas</t>
  </si>
  <si>
    <t xml:space="preserve">Utilidad neta y resultado integral del año reestructurada</t>
  </si>
  <si>
    <t xml:space="preserve">Aporte de capital</t>
  </si>
  <si>
    <t xml:space="preserve">Otro resultado integral reestructurado</t>
  </si>
  <si>
    <t xml:space="preserve">Asiento de reestructuración</t>
  </si>
  <si>
    <t xml:space="preserve">Saldos reestructurados al 31 de diciembre del 2015</t>
  </si>
  <si>
    <t xml:space="preserve">Transferencia a reserva legal según Junta General de </t>
  </si>
  <si>
    <t xml:space="preserve">  Accionistas del 4 de agosto del 2016</t>
  </si>
  <si>
    <t xml:space="preserve">Utilidad neta del año</t>
  </si>
  <si>
    <t xml:space="preserve">Reconocimiento de la participación no controladora </t>
  </si>
  <si>
    <t xml:space="preserve">Ajustes por consolidación</t>
  </si>
  <si>
    <t xml:space="preserve">Saldos al 31 de diciembre del 2016</t>
  </si>
  <si>
    <t xml:space="preserve">Cuenta</t>
  </si>
  <si>
    <t xml:space="preserve">Compañía</t>
  </si>
  <si>
    <t xml:space="preserve">Debe</t>
  </si>
  <si>
    <t xml:space="preserve">Haber</t>
  </si>
  <si>
    <t xml:space="preserve">Capital Social </t>
  </si>
  <si>
    <t xml:space="preserve">Subsidiarias</t>
  </si>
  <si>
    <t xml:space="preserve">Aporte para futura capitalización</t>
  </si>
  <si>
    <t xml:space="preserve">Reserva Legal </t>
  </si>
  <si>
    <t xml:space="preserve">Reserva de capital </t>
  </si>
  <si>
    <t xml:space="preserve">Resultados Acumulados </t>
  </si>
  <si>
    <t xml:space="preserve">Consolidado</t>
  </si>
  <si>
    <t xml:space="preserve">Resultados Acumulados (Resultado primera consolidación)</t>
  </si>
  <si>
    <t xml:space="preserve">Propiedades y equipos (Leonor3)</t>
  </si>
  <si>
    <t xml:space="preserve">    Inversión en Subsidiarias</t>
  </si>
  <si>
    <t xml:space="preserve">Telconet</t>
  </si>
  <si>
    <t xml:space="preserve">    Participación No Controladora</t>
  </si>
  <si>
    <t xml:space="preserve">d)    Eliminación de saldos por Cobrar  y  por Pagar</t>
  </si>
  <si>
    <t xml:space="preserve">CUENTA </t>
  </si>
  <si>
    <t xml:space="preserve">DEBE</t>
  </si>
  <si>
    <t xml:space="preserve">HABER </t>
  </si>
  <si>
    <t xml:space="preserve">Cuentas por cobrar relacionada</t>
  </si>
  <si>
    <t xml:space="preserve">CABLE ANDINO INC</t>
  </si>
  <si>
    <t xml:space="preserve">Cuentas por cobrar relacionadas </t>
  </si>
  <si>
    <t xml:space="preserve">CORPORANDINO</t>
  </si>
  <si>
    <t xml:space="preserve">TELCONET</t>
  </si>
  <si>
    <t xml:space="preserve">TELSOTERRA</t>
  </si>
  <si>
    <t xml:space="preserve">TELCONET PANAMA</t>
  </si>
  <si>
    <t xml:space="preserve">TRASNSTELCO</t>
  </si>
  <si>
    <t xml:space="preserve">LINKOTEL</t>
  </si>
  <si>
    <t xml:space="preserve">Cuentas por pagar relacionada</t>
  </si>
  <si>
    <t xml:space="preserve">TELCONET S.A.</t>
  </si>
  <si>
    <t xml:space="preserve">Cuentas por pagar relacionada L/P</t>
  </si>
  <si>
    <t xml:space="preserve">Cuentas por PAGAR relacionada</t>
  </si>
  <si>
    <t xml:space="preserve">NETSPEED</t>
  </si>
  <si>
    <t xml:space="preserve">Cuentas por pagar</t>
  </si>
  <si>
    <t xml:space="preserve"> TELCONET S.A.</t>
  </si>
  <si>
    <t xml:space="preserve">Cuentas por pagar Proveedores</t>
  </si>
  <si>
    <t xml:space="preserve">DIFERENCIA EN PANAMA</t>
  </si>
  <si>
    <t xml:space="preserve">RESUMEN DE ASIENTOS</t>
  </si>
  <si>
    <t xml:space="preserve">Cuentas por pagar proveedores</t>
  </si>
  <si>
    <t xml:space="preserve">Cuentas por cobrar relacionada L/P</t>
  </si>
  <si>
    <t xml:space="preserve">Cuentas por cobrar CLIENTES</t>
  </si>
  <si>
    <t xml:space="preserve">d)    Eliminación de Ingresos en Telconet por ventas a Subsidiarias</t>
  </si>
  <si>
    <t xml:space="preserve">Ingresos por ventas </t>
  </si>
  <si>
    <t xml:space="preserve">Costos de ventas </t>
  </si>
  <si>
    <t xml:space="preserve">Cable Andino Inc.</t>
  </si>
  <si>
    <t xml:space="preserve">Corpoandino S.A.</t>
  </si>
  <si>
    <t xml:space="preserve">Telsoterra</t>
  </si>
  <si>
    <t xml:space="preserve">Ingreso por ventas </t>
  </si>
  <si>
    <t xml:space="preserve">Linkotel</t>
  </si>
  <si>
    <t xml:space="preserve">Gastos administrativos</t>
  </si>
  <si>
    <t xml:space="preserve">ASIENTOS DE AJUSTES</t>
  </si>
  <si>
    <t xml:space="preserve">AL 31.12.2015</t>
  </si>
  <si>
    <t xml:space="preserve">a)   Eliminación en Subsidiarias de aporte aún no efectivizado por parte de Telconet S.A.</t>
  </si>
  <si>
    <t xml:space="preserve">Los movimientos que han tenido la Inversión son los siguientes: </t>
  </si>
  <si>
    <t xml:space="preserve">CABLE ANDINO S.A.</t>
  </si>
  <si>
    <t xml:space="preserve">TRANSTELCO</t>
  </si>
  <si>
    <t xml:space="preserve">CERINSA</t>
  </si>
  <si>
    <t xml:space="preserve">ECONOCOMPU</t>
  </si>
  <si>
    <t xml:space="preserve">SMARTCITIES S.A.</t>
  </si>
  <si>
    <t xml:space="preserve">LEONOR3</t>
  </si>
  <si>
    <t xml:space="preserve">Total</t>
  </si>
  <si>
    <t xml:space="preserve">Costo de Adquisición </t>
  </si>
  <si>
    <t xml:space="preserve">Valor de la Inversión al 31.12.2015</t>
  </si>
  <si>
    <t xml:space="preserve">Total saldo de cuenta inversiones en Telconet S.A. al 31.12.2015</t>
  </si>
  <si>
    <t xml:space="preserve">Aporte para futura capitalización (Subsidiarias)</t>
  </si>
  <si>
    <t xml:space="preserve">b)   Eliminación de las inversiones en subsidiarias</t>
  </si>
  <si>
    <t xml:space="preserve">Resultados del ejercicio (Mindshare - Glue)</t>
  </si>
  <si>
    <t xml:space="preserve">REVALORIZACION</t>
  </si>
  <si>
    <t xml:space="preserve">c)    Eliminación de Ingresos en Telconet por ventas a Subsidiarias</t>
  </si>
  <si>
    <t xml:space="preserve">Ingresos por ventas (Corpandino)</t>
  </si>
  <si>
    <t xml:space="preserve">Telconet facturó a Corpandino equipos por US$548,473 menos N/C por US$50,542 (Incluye IVA)</t>
  </si>
  <si>
    <t xml:space="preserve">Costos de ventas (Corpandino)</t>
  </si>
  <si>
    <t xml:space="preserve">Valor de la venta sin IVA y descontada la N/C</t>
  </si>
  <si>
    <t xml:space="preserve">Ingreso y Gasto</t>
  </si>
  <si>
    <t xml:space="preserve">Telconet facturó a Transtelco instalaciones por US$963,539 menos N/C por US$13,173 (Incluye IVA)</t>
  </si>
  <si>
    <t xml:space="preserve">Ingreso por ventas (Cable Andino INC)</t>
  </si>
  <si>
    <t xml:space="preserve">provisionado 2014</t>
  </si>
  <si>
    <t xml:space="preserve">Gastos administrativos (Telconet)</t>
  </si>
  <si>
    <t xml:space="preserve">Cable Andino INC</t>
  </si>
  <si>
    <t xml:space="preserve">Corpandino</t>
  </si>
  <si>
    <t xml:space="preserve">Cuentas por pagar relacionada L/P </t>
  </si>
  <si>
    <t xml:space="preserve">Transtelco</t>
  </si>
  <si>
    <t xml:space="preserve">Netspeed</t>
  </si>
  <si>
    <t xml:space="preserve">Econocompu</t>
  </si>
  <si>
    <t xml:space="preserve">Activo intangible</t>
  </si>
  <si>
    <t xml:space="preserve">Trabajos en Proceso L/P</t>
  </si>
  <si>
    <t xml:space="preserve">e)   Ajuste pérdida de asociada (Latam)</t>
  </si>
  <si>
    <t xml:space="preserve">Controladora</t>
  </si>
  <si>
    <t xml:space="preserve">    Inversiones en asociadas</t>
  </si>
  <si>
    <t xml:space="preserve">CABLE ANDINO INC </t>
  </si>
  <si>
    <t xml:space="preserve">Total de activos netos de la subsidiaria = patrimonio 31/12/2015</t>
  </si>
  <si>
    <t xml:space="preserve">Valor razonable de los Activos Netos de Cable Andino INC al 31/12/2015</t>
  </si>
  <si>
    <t xml:space="preserve">PNC  basado en activos netos</t>
  </si>
  <si>
    <t xml:space="preserve">VR de la contraprestación</t>
  </si>
  <si>
    <t xml:space="preserve">Telconet S.A.</t>
  </si>
  <si>
    <t xml:space="preserve">Monto del PNC  (24,98% de US$36.760.932)</t>
  </si>
  <si>
    <t xml:space="preserve">´(1)</t>
  </si>
  <si>
    <t xml:space="preserve">No controlador</t>
  </si>
  <si>
    <t xml:space="preserve">Porción controlada </t>
  </si>
  <si>
    <t xml:space="preserve">(-) Activos netos identificables adquiridos de Cable Andino INC</t>
  </si>
  <si>
    <t xml:space="preserve">Descontado el aporte para futura capitalización de Telconet</t>
  </si>
  <si>
    <t xml:space="preserve">´(2)</t>
  </si>
  <si>
    <t xml:space="preserve">Resultados Acumulados</t>
  </si>
  <si>
    <t xml:space="preserve">CABLE ANDINO S.A. </t>
  </si>
  <si>
    <t xml:space="preserve">Valor razonable de los Activos Netos de Cable Andino al 31/12/2015</t>
  </si>
  <si>
    <t xml:space="preserve">Monto del PNC  (0,0476% de US$21.123)</t>
  </si>
  <si>
    <t xml:space="preserve">(-) Activos netos identificables adquiridos de Cable Andino</t>
  </si>
  <si>
    <t xml:space="preserve">´(3)</t>
  </si>
  <si>
    <t xml:space="preserve">TRANSTELCO S.A.</t>
  </si>
  <si>
    <t xml:space="preserve">Valor razonable de los Activos Netos de Transtelco al 31/12/2015</t>
  </si>
  <si>
    <t xml:space="preserve">Monto del PNC  (32% de US$830.061)</t>
  </si>
  <si>
    <t xml:space="preserve">(-) Activos netos identificables adquiridos de Transtelco</t>
  </si>
  <si>
    <t xml:space="preserve">NETSPEED S.A.</t>
  </si>
  <si>
    <t xml:space="preserve">Valor razonable de los Activos Netos de Netspeed al 31/12/2015</t>
  </si>
  <si>
    <t xml:space="preserve">Monto del PNC  (50% de US$238.219)</t>
  </si>
  <si>
    <t xml:space="preserve">(-) Activos netos identificables adquiridos de Netspeed</t>
  </si>
  <si>
    <t xml:space="preserve">CERINSA S.A.</t>
  </si>
  <si>
    <t xml:space="preserve">Valor razonable de los Activos Netos de Cerinsa al 31/12/2015</t>
  </si>
  <si>
    <t xml:space="preserve">Monto del PNC  (25% de US$400.661)</t>
  </si>
  <si>
    <t xml:space="preserve">(-) Activos netos identificables adquiridos de Cerinsa</t>
  </si>
  <si>
    <t xml:space="preserve">ECONOCOMPU S.A.</t>
  </si>
  <si>
    <t xml:space="preserve">Valor razonable de los Activos Netos de Econocompu al 31/12/2015</t>
  </si>
  <si>
    <t xml:space="preserve">Monto del PNC  (7,2% de US$7.195)</t>
  </si>
  <si>
    <t xml:space="preserve">(-) Activos netos identificables adquiridos de Econocompu</t>
  </si>
  <si>
    <t xml:space="preserve">Valor razonable de los Activos Netos de Smartcities al 31/12/2015</t>
  </si>
  <si>
    <t xml:space="preserve">Monto del PNC  (40% de US$10.000)</t>
  </si>
  <si>
    <t xml:space="preserve">(-) Activos netos identificables adquiridos de Smartcities</t>
  </si>
  <si>
    <t xml:space="preserve">-</t>
  </si>
  <si>
    <t xml:space="preserve">INMOBILIARIA LEONORTRES S.A.</t>
  </si>
  <si>
    <t xml:space="preserve">Incrementada la revalorización de propiedad S/avalúo catastral</t>
  </si>
  <si>
    <t xml:space="preserve">Valor razonable de los Activos Netos de Inmob. Leonor3 al 31/12/2015</t>
  </si>
  <si>
    <t xml:space="preserve">Monto del PNC  (0,0050% de US$1.140)</t>
  </si>
  <si>
    <t xml:space="preserve">(-) Activos netos identificables adquiridos de Inmobiliaria Leonortres</t>
  </si>
  <si>
    <t xml:space="preserve">TELSOTERRA S.A.</t>
  </si>
  <si>
    <t xml:space="preserve">Valor razonable de los Activos Netos de Telsoterra al 31/12/2015</t>
  </si>
  <si>
    <t xml:space="preserve">Monto del PNC  (7,5% de US$800)</t>
  </si>
  <si>
    <t xml:space="preserve">(-) Activos netos identificables adquiridos de Telsoterra</t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</si>
  <si>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(1)=</t>
    </r>
  </si>
  <si>
    <t xml:space="preserve">Participación no controladora al 31.12.2014</t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</si>
  <si>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(2)=</t>
    </r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</si>
  <si>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(3)=</t>
    </r>
  </si>
  <si>
    <t xml:space="preserve">2015 (En miles de US$)</t>
  </si>
  <si>
    <t xml:space="preserve">Audex</t>
  </si>
  <si>
    <t xml:space="preserve">Total activo corriente</t>
  </si>
  <si>
    <t xml:space="preserve">Total activo no corriente</t>
  </si>
  <si>
    <t xml:space="preserve">Total pasivo corriente</t>
  </si>
  <si>
    <t xml:space="preserve">Total pasivo no corriente</t>
  </si>
  <si>
    <t xml:space="preserve">Ingresos</t>
  </si>
  <si>
    <t xml:space="preserve">Costos y gastos</t>
  </si>
  <si>
    <t xml:space="preserve">Utilidad neta</t>
  </si>
  <si>
    <t xml:space="preserve">2014 (En miles de US$)</t>
  </si>
  <si>
    <t xml:space="preserve">Audex
Farmesr</t>
  </si>
  <si>
    <t xml:space="preserve">Reestructurado</t>
  </si>
  <si>
    <t xml:space="preserve">% Controlador</t>
  </si>
  <si>
    <t xml:space="preserve">% No Controlador</t>
  </si>
  <si>
    <t xml:space="preserve">PATRIMONIO - Cable Andino INC</t>
  </si>
  <si>
    <t xml:space="preserve">31/12/2017</t>
  </si>
  <si>
    <t xml:space="preserve">31/12/2016</t>
  </si>
  <si>
    <t xml:space="preserve">APORTES</t>
  </si>
  <si>
    <t xml:space="preserve">Resultados del ejercicio</t>
  </si>
  <si>
    <t xml:space="preserve">Patrimonio total</t>
  </si>
  <si>
    <t xml:space="preserve">PC</t>
  </si>
  <si>
    <t xml:space="preserve">PNC</t>
  </si>
  <si>
    <t xml:space="preserve">PATRIMONIO - Cable Andino S.A. </t>
  </si>
  <si>
    <t xml:space="preserve">AJUSTE - PASIVO</t>
  </si>
  <si>
    <t xml:space="preserve">(-) Aumento de capital</t>
  </si>
  <si>
    <t xml:space="preserve">R</t>
  </si>
  <si>
    <t xml:space="preserve">(-) Aportes de Telconet</t>
  </si>
  <si>
    <t xml:space="preserve">Patrimonio, Neto</t>
  </si>
  <si>
    <t xml:space="preserve">PATRIMONIO - Transtelco</t>
  </si>
  <si>
    <t xml:space="preserve">AJUSTE - ACTIVO PASIVO NETO</t>
  </si>
  <si>
    <t xml:space="preserve">PATRIMONIO - Netspeed</t>
  </si>
  <si>
    <t xml:space="preserve">PATRIMONIO - Cerinsa</t>
  </si>
  <si>
    <t xml:space="preserve">PATRIMONIO - Econocompu</t>
  </si>
  <si>
    <t xml:space="preserve">AJUSTE</t>
  </si>
  <si>
    <t xml:space="preserve">Patrimonio, Total</t>
  </si>
  <si>
    <t xml:space="preserve">PATRIMONIO - Smartcities</t>
  </si>
  <si>
    <t xml:space="preserve">PATRIMONIO - Inmobiliaria Leonor3</t>
  </si>
  <si>
    <t xml:space="preserve">PATRIMONIO - Telsoterra</t>
  </si>
  <si>
    <t xml:space="preserve">PATRIMONIO - Linkotel</t>
  </si>
  <si>
    <t xml:space="preserve">Patrimionio Neto</t>
  </si>
  <si>
    <t xml:space="preserve">Eliminado el aporte de ex accionista</t>
  </si>
  <si>
    <t xml:space="preserve">Monto del PNC </t>
  </si>
  <si>
    <t xml:space="preserve">(-) Activos netos identificables adquiridos de Linkotel</t>
  </si>
  <si>
    <t xml:space="preserve">PATRIMONIO - TELCONET PANAMÁ</t>
  </si>
  <si>
    <t xml:space="preserve">Participación controladora Total</t>
  </si>
  <si>
    <t xml:space="preserve">Participación no controladora Total</t>
  </si>
  <si>
    <t xml:space="preserve">Participación Total</t>
  </si>
  <si>
    <t xml:space="preserve">Diferencia</t>
  </si>
  <si>
    <t xml:space="preserve">PATRIMONIO - Telconet</t>
  </si>
  <si>
    <t xml:space="preserve">31/12/2018</t>
  </si>
  <si>
    <t xml:space="preserve">TELCONET &amp; SUBSIDIARIAS</t>
  </si>
  <si>
    <t xml:space="preserve">MOVIMIENTO DE LAS CUENTAS DE INVERSIONES EN ACCIONES</t>
  </si>
  <si>
    <t xml:space="preserve">Al 31 de diciembre del 2020</t>
  </si>
  <si>
    <t xml:space="preserve">     INVERSIONES - ACCIONES</t>
  </si>
  <si>
    <t xml:space="preserve">      INVERSIONES  CABLE ANDINO</t>
  </si>
  <si>
    <t xml:space="preserve">1-4-1-01-01-001</t>
  </si>
  <si>
    <t xml:space="preserve">      APORTE INVERSION CORPANDINO</t>
  </si>
  <si>
    <t xml:space="preserve">1-4-1-01-01-014</t>
  </si>
  <si>
    <t xml:space="preserve">      INVERSIONES TRANSTELCO</t>
  </si>
  <si>
    <t xml:space="preserve">1-4-1-01-01-002</t>
  </si>
  <si>
    <t xml:space="preserve">      INVERSIONES  NETSPEED</t>
  </si>
  <si>
    <t xml:space="preserve">1-4-1-01-01-003</t>
  </si>
  <si>
    <t xml:space="preserve">      INVERSIONES CERINSA</t>
  </si>
  <si>
    <t xml:space="preserve">1-4-1-01-01-005</t>
  </si>
  <si>
    <t xml:space="preserve">      INVERSIONES  ECONOCOMPU</t>
  </si>
  <si>
    <t xml:space="preserve">1-4-1-01-01-006</t>
  </si>
  <si>
    <t xml:space="preserve">      INVERSION  SMARTCITIES S.A.</t>
  </si>
  <si>
    <t xml:space="preserve">1-4-1-01-01-010</t>
  </si>
  <si>
    <t xml:space="preserve">      INVERSION LINKOTEL</t>
  </si>
  <si>
    <t xml:space="preserve">1-4-1-01-01-011</t>
  </si>
  <si>
    <t xml:space="preserve">      INVERSION LEONOR III</t>
  </si>
  <si>
    <t xml:space="preserve">1-4-1-01-01-013</t>
  </si>
  <si>
    <t xml:space="preserve">      INVERSION ACCIONES TELSOTERRA</t>
  </si>
  <si>
    <t xml:space="preserve">1-4-1-01-01-016</t>
  </si>
  <si>
    <t xml:space="preserve">      INVERSION TELCONET-PANAMA</t>
  </si>
  <si>
    <t xml:space="preserve">1-4-1-01-01-018</t>
  </si>
  <si>
    <t xml:space="preserve">      PROV. DETERIORO INVERSION EN ACCIO</t>
  </si>
  <si>
    <t xml:space="preserve">1-4-1-01-01-020</t>
  </si>
  <si>
    <t xml:space="preserve">ASOCIADAS Y AFILIADAS</t>
  </si>
  <si>
    <t xml:space="preserve">      RETRATOREC (PROYECTO TECA)</t>
  </si>
  <si>
    <t xml:space="preserve">1-4-1-01-01-007</t>
  </si>
  <si>
    <t xml:space="preserve">      INVERSION SECURITY DATA</t>
  </si>
  <si>
    <t xml:space="preserve">1-4-1-01-01-008</t>
  </si>
  <si>
    <t xml:space="preserve">      INVERSION LATAM FIBERHOME</t>
  </si>
  <si>
    <t xml:space="preserve">1-4-1-01-01-009</t>
  </si>
  <si>
    <t xml:space="preserve">      INVERSION GEEKTECH</t>
  </si>
  <si>
    <t xml:space="preserve">1-4-1-01-01-012</t>
  </si>
  <si>
    <t xml:space="preserve">      INVERSION CONSORCIO SYSTOR</t>
  </si>
  <si>
    <t xml:space="preserve">1-4-1-01-01-017</t>
  </si>
  <si>
    <t xml:space="preserve">|</t>
  </si>
  <si>
    <t xml:space="preserve">Cable Andino Inc</t>
  </si>
  <si>
    <t xml:space="preserve">Cable Andino Corpandino</t>
  </si>
  <si>
    <t xml:space="preserve">Cerinsa</t>
  </si>
  <si>
    <t xml:space="preserve">Smartcities</t>
  </si>
  <si>
    <t xml:space="preserve">Inmobiliaria Leonortres</t>
  </si>
  <si>
    <t xml:space="preserve">Aporte futuras capitalizaciones</t>
  </si>
  <si>
    <t xml:space="preserve">Reserva de Capital</t>
  </si>
  <si>
    <t xml:space="preserve">Otros resultados integrales (ORI)</t>
  </si>
  <si>
    <t xml:space="preserve">Superavit por revaluación</t>
  </si>
  <si>
    <t xml:space="preserve">Reserva por aplicación inicial NIIF</t>
  </si>
  <si>
    <t xml:space="preserve">Porcentaje de participación</t>
  </si>
  <si>
    <t xml:space="preserve">Participación controlada</t>
  </si>
  <si>
    <t xml:space="preserve">Reserva por aplicación incial NIIF</t>
  </si>
  <si>
    <t xml:space="preserve">Participación no controlada</t>
  </si>
  <si>
    <t xml:space="preserve">Check de verificación</t>
  </si>
  <si>
    <t xml:space="preserve">Calculo de la PNC en los resultados del ejercicio</t>
  </si>
  <si>
    <t xml:space="preserve">Compania</t>
  </si>
  <si>
    <t xml:space="preserve">% Participacion</t>
  </si>
  <si>
    <t xml:space="preserve">Resultado 2019         US$</t>
  </si>
  <si>
    <t xml:space="preserve">Participacion controladora US$</t>
  </si>
  <si>
    <t xml:space="preserve">PNC         US$</t>
  </si>
  <si>
    <t xml:space="preserve">Corpoandino</t>
  </si>
  <si>
    <t xml:space="preserve">Leonor3</t>
  </si>
  <si>
    <t xml:space="preserve">Telconet Panama</t>
  </si>
  <si>
    <t xml:space="preserve">TOTAL</t>
  </si>
  <si>
    <t xml:space="preserve">TELCONET Y SUBSIDIARIAS</t>
  </si>
  <si>
    <t xml:space="preserve">ELIMINACION DE CUENTAS Y SALDOS CON SUBSIDIARIAS</t>
  </si>
  <si>
    <t xml:space="preserve">Al 31 de diciembre del 2019</t>
  </si>
  <si>
    <t xml:space="preserve">COMPANIA</t>
  </si>
  <si>
    <t xml:space="preserve">DETALLE</t>
  </si>
  <si>
    <t xml:space="preserve">HABER</t>
  </si>
  <si>
    <t xml:space="preserve">---A---</t>
  </si>
  <si>
    <t xml:space="preserve">Cable Andino S.A. Corpandino</t>
  </si>
  <si>
    <t xml:space="preserve">Cuentas por pagar relacionadas CP</t>
  </si>
  <si>
    <t xml:space="preserve">Cuentas por pagar relacionadas LP</t>
  </si>
  <si>
    <t xml:space="preserve">Otras cuentas por cobrar CP</t>
  </si>
  <si>
    <t xml:space="preserve">    á Cuentas por cobrar relacionadas CP</t>
  </si>
  <si>
    <t xml:space="preserve">    á Cuentas por cobrar relacionadas LP</t>
  </si>
  <si>
    <t xml:space="preserve">R/ Para eliminar saldos entre Telconet y Corpandino</t>
  </si>
  <si>
    <t xml:space="preserve">---B---</t>
  </si>
  <si>
    <t xml:space="preserve"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</si>
  <si>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</si>
  <si>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</si>
  <si>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</si>
  <si>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</si>
  <si>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 xml:space="preserve">R/ Para eliminar saldos entre Telconet y Cable Andino Inc.</t>
  </si>
  <si>
    <t xml:space="preserve">---C---</t>
  </si>
  <si>
    <t xml:space="preserve">     Cuentas por cobrar relacionadas CP</t>
  </si>
  <si>
    <t xml:space="preserve">R/ Para eliminar saldos entre Telconet y Netspeed</t>
  </si>
  <si>
    <t xml:space="preserve">---D---</t>
  </si>
  <si>
    <t xml:space="preserve">Cuenta por pagar relacionada CP</t>
  </si>
  <si>
    <t xml:space="preserve">R/ Para eliminar saldos entre Telconet y Telsoterra</t>
  </si>
  <si>
    <t xml:space="preserve">---E---</t>
  </si>
  <si>
    <t xml:space="preserve">     á Cuentas por pagar relacionadas LP</t>
  </si>
  <si>
    <t xml:space="preserve">     á Otras cuentas por cobrar CP</t>
  </si>
  <si>
    <t xml:space="preserve">R/ Para eliminar saldos entre Telconet y Linkotel</t>
  </si>
  <si>
    <t xml:space="preserve">---F---</t>
  </si>
  <si>
    <t xml:space="preserve">Otras cuentas por pagar CP</t>
  </si>
  <si>
    <t xml:space="preserve">     Inversiones en subsidiarias</t>
  </si>
  <si>
    <t xml:space="preserve">R/ Para eliminar inversión y saldos entre Telconet y Telconet Panamá</t>
  </si>
  <si>
    <t xml:space="preserve">---G---</t>
  </si>
  <si>
    <t xml:space="preserve">R/ Para eliminar saldos entre Cable Andino Inc y Corpandino</t>
  </si>
  <si>
    <t xml:space="preserve">ELIMINACION DE SALDOS INTERCOMPANY (VER PESTANIA SALDOS INTERCO. 2019)</t>
  </si>
  <si>
    <t xml:space="preserve">Cuentas por pagar relacionadas C/P</t>
  </si>
  <si>
    <t xml:space="preserve">Otras cuentas por pagar L/P (Anticipos de clientes)</t>
  </si>
  <si>
    <t xml:space="preserve">á Cuentas por cobrar relacionada C/P</t>
  </si>
  <si>
    <t xml:space="preserve">á Cuentas por cobrar comerciales C/P</t>
  </si>
  <si>
    <t xml:space="preserve">á Otras cuentas por pagar C/P</t>
  </si>
  <si>
    <t xml:space="preserve">á Activos intangibles</t>
  </si>
  <si>
    <t xml:space="preserve">á Inversiones en subsidiarias</t>
  </si>
  <si>
    <t xml:space="preserve">á Cuentas por pagar relacionadas L/P (Linkotel)</t>
  </si>
  <si>
    <t xml:space="preserve">SUMAN</t>
  </si>
  <si>
    <t xml:space="preserve">Balance General</t>
  </si>
  <si>
    <t xml:space="preserve">Telconet S.A.
31/12/2020</t>
  </si>
  <si>
    <t xml:space="preserve">Cable Andino Inc.
31/12/2020</t>
  </si>
  <si>
    <t xml:space="preserve">Cable Andino Corpoandino 
31/12/2020</t>
  </si>
  <si>
    <t xml:space="preserve">Transtelco
31/12/2020</t>
  </si>
  <si>
    <t xml:space="preserve">Netspeed
31/12/2020</t>
  </si>
  <si>
    <t xml:space="preserve">Cerinsa
31/12/2020</t>
  </si>
  <si>
    <t xml:space="preserve">Econocompu
31/12/2020</t>
  </si>
  <si>
    <t xml:space="preserve">Smartcities
31/12/2020</t>
  </si>
  <si>
    <t xml:space="preserve">Inmob. Leonor3
31/12/2020</t>
  </si>
  <si>
    <t xml:space="preserve">Telsoterra
31/12/2020</t>
  </si>
  <si>
    <t xml:space="preserve">Linkotel 31/12/2020</t>
  </si>
  <si>
    <t xml:space="preserve">Telconet Panamá 31/12/2020</t>
  </si>
  <si>
    <t xml:space="preserve">Saldos
Consolidados
al 31.12.2020</t>
  </si>
  <si>
    <t xml:space="preserve">Cuentas por cobrar comerciales (clientes)</t>
  </si>
  <si>
    <t xml:space="preserve">Depreciación Acumulada</t>
  </si>
  <si>
    <t xml:space="preserve">Inversiones en asociadas</t>
  </si>
  <si>
    <t xml:space="preserve">Activos por Impuestos diferidos</t>
  </si>
  <si>
    <t xml:space="preserve">Activos por derechos de uso</t>
  </si>
  <si>
    <t xml:space="preserve">Pasivos de contrato</t>
  </si>
  <si>
    <t xml:space="preserve">Pasivos por arrendamientos</t>
  </si>
  <si>
    <t xml:space="preserve">Pasivo contingente</t>
  </si>
  <si>
    <t xml:space="preserve">Obligaciones financieras L/P</t>
  </si>
  <si>
    <t xml:space="preserve">Valores emitidos L/P</t>
  </si>
  <si>
    <t xml:space="preserve">Jubilacion patronal y desahucio</t>
  </si>
  <si>
    <t xml:space="preserve">Pasivos por arrendamientos L/P</t>
  </si>
  <si>
    <t xml:space="preserve">Superávit por revaluación</t>
  </si>
  <si>
    <t xml:space="preserve">Participación no controladora</t>
  </si>
  <si>
    <t xml:space="preserve">Estado de Resultados</t>
  </si>
  <si>
    <t xml:space="preserve">Detalle</t>
  </si>
  <si>
    <t xml:space="preserve">---1---</t>
  </si>
  <si>
    <t xml:space="preserve">Geektech</t>
  </si>
  <si>
    <t xml:space="preserve">     Cuentas por cobrar comerciales</t>
  </si>
  <si>
    <t xml:space="preserve">R/ Para eliminar inversión y saldos entre Telconet y Corpandino</t>
  </si>
  <si>
    <t xml:space="preserve">---2---</t>
  </si>
  <si>
    <t xml:space="preserve">Inmobiliaria Leonortres S.A.</t>
  </si>
  <si>
    <t xml:space="preserve">Propiedad y equipos</t>
  </si>
  <si>
    <t xml:space="preserve">R/ Para eliminar inversión entre Telconet y Leonortres</t>
  </si>
  <si>
    <t xml:space="preserve">---3---</t>
  </si>
  <si>
    <t xml:space="preserve">Reserva Legal</t>
  </si>
  <si>
    <t xml:space="preserve">Inversiones en subsidiarias</t>
  </si>
  <si>
    <t xml:space="preserve">     Resultados acumulados</t>
  </si>
  <si>
    <t xml:space="preserve">R/ Para eliminar inversión entre Telconet y Transtelco</t>
  </si>
  <si>
    <t xml:space="preserve">---4---</t>
  </si>
  <si>
    <t xml:space="preserve">R/ Para eliminar inversión entre Telconet y Cerinsa</t>
  </si>
  <si>
    <t xml:space="preserve">---5---</t>
  </si>
  <si>
    <t xml:space="preserve">R/ Para eliminar inversión entre Telconet y Cable andino Inc.</t>
  </si>
  <si>
    <t xml:space="preserve">---6---</t>
  </si>
  <si>
    <t xml:space="preserve">     Activos intangibles</t>
  </si>
  <si>
    <t xml:space="preserve">R/ Para eliminar transacciones entre Telconet y Cable Andino Inc.</t>
  </si>
  <si>
    <t xml:space="preserve">---7---</t>
  </si>
  <si>
    <t xml:space="preserve">R/ Para eliminar inversión y saldos entre Telconet y Netspeed</t>
  </si>
  <si>
    <t xml:space="preserve">---8---</t>
  </si>
  <si>
    <t xml:space="preserve">R/ Para eliminar inversión entre Telconet y Econocompu</t>
  </si>
  <si>
    <t xml:space="preserve">---9---</t>
  </si>
  <si>
    <t xml:space="preserve">R/ Para eliminar inversión entre Telconet y Smartcities</t>
  </si>
  <si>
    <t xml:space="preserve">---10---</t>
  </si>
  <si>
    <t xml:space="preserve">     Resultados del ejercicio</t>
  </si>
  <si>
    <t xml:space="preserve">R/ Para eliminar inversión y saldos entre Telconet y Telsoterra</t>
  </si>
  <si>
    <t xml:space="preserve">---11---</t>
  </si>
  <si>
    <t xml:space="preserve"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</si>
  <si>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</si>
  <si>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</si>
  <si>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</si>
  <si>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 xml:space="preserve">R/ Para eliminar inversión y saldos entre Telconet y Linkotel</t>
  </si>
  <si>
    <t xml:space="preserve">---12---</t>
  </si>
  <si>
    <t xml:space="preserve">Cuentas por pagar comerciales</t>
  </si>
  <si>
    <t xml:space="preserve">     Cuentas por cobrar</t>
  </si>
  <si>
    <t xml:space="preserve">---13---</t>
  </si>
  <si>
    <t xml:space="preserve">---14---</t>
  </si>
  <si>
    <t xml:space="preserve">R/ Para reconocer plusvalía mercantil</t>
  </si>
  <si>
    <t xml:space="preserve">---15---</t>
  </si>
  <si>
    <t xml:space="preserve">R/ Para reconocer pérdida por vpp en asociada Latamfiber</t>
  </si>
  <si>
    <t xml:space="preserve">-1-</t>
  </si>
  <si>
    <t xml:space="preserve">CONCILIACION DE UTILIDADES RETENIDAS Y PATRIMONIO INICIAL</t>
  </si>
  <si>
    <t xml:space="preserve">Superavit por revaluacion PPE</t>
  </si>
  <si>
    <t xml:space="preserve">á Reserva para aplicación de NIIF</t>
  </si>
  <si>
    <t xml:space="preserve">á Resultados acumulados</t>
  </si>
  <si>
    <t xml:space="preserve">Cuentas por pagar, relacionadas L/P (Linkotel)</t>
  </si>
  <si>
    <t xml:space="preserve">-2-</t>
  </si>
  <si>
    <t xml:space="preserve">ELIMINACION DE SUPERAVIT POR REVALORIZACION PPE, LEONOR 3 Y GASTO DE DEPRECIACION DEL EJERCICIO</t>
  </si>
  <si>
    <t xml:space="preserve">Superavit por Revaluacion PPE</t>
  </si>
  <si>
    <t xml:space="preserve">Otros ingresos (egresos)</t>
  </si>
  <si>
    <t xml:space="preserve">á Propiedades y equipos</t>
  </si>
  <si>
    <t xml:space="preserve">á Gastos de administracion y ventas</t>
  </si>
  <si>
    <t xml:space="preserve">Suman</t>
  </si>
  <si>
    <t xml:space="preserve">-3-</t>
  </si>
  <si>
    <t xml:space="preserve">REESTABLECIMIENTO DE PARTICIPACION NO CONTROLADA AL INICIO DEL EJERCICIO</t>
  </si>
  <si>
    <t xml:space="preserve">á Partipacion no controlada</t>
  </si>
  <si>
    <t xml:space="preserve">-4-</t>
  </si>
  <si>
    <t xml:space="preserve">RECLASIFICACION DEL APORTE RECIBIDO EN CABLE ANDINO INC.</t>
  </si>
  <si>
    <t xml:space="preserve">-5-</t>
  </si>
  <si>
    <t xml:space="preserve">ELIMINACION DE LA BAJA DE ACTIVOS FIJOS EN LINKOTEL</t>
  </si>
  <si>
    <t xml:space="preserve">Propiedades, Planta y Equipo</t>
  </si>
  <si>
    <t xml:space="preserve">á Superavit por revalorizacion de PPE</t>
  </si>
  <si>
    <t xml:space="preserve">-6-</t>
  </si>
  <si>
    <t xml:space="preserve">RECLASIFICACION DEL RESULTADO DEL EJERCICIO CORRESPONDIENTE A PNC</t>
  </si>
  <si>
    <t xml:space="preserve">Participacion no controladora</t>
  </si>
  <si>
    <t xml:space="preserve">-7-</t>
  </si>
  <si>
    <t xml:space="preserve">RECLASIFICACION DE DEVOLUCION DEL CAPITAL SOCIAL DE TRANSTELCO, PARTICIPACION NO CONTROLADORA</t>
  </si>
  <si>
    <t xml:space="preserve">á Capital Social</t>
  </si>
  <si>
    <t xml:space="preserve">-8-</t>
  </si>
  <si>
    <t xml:space="preserve">-9-</t>
  </si>
  <si>
    <t xml:space="preserve">AJUSTE POR VPP DE LATAMFIBERHOME (RESULTADO DEL 2019)</t>
  </si>
  <si>
    <t xml:space="preserve">á Otros ingresos </t>
  </si>
  <si>
    <t xml:space="preserve">-10-</t>
  </si>
  <si>
    <t xml:space="preserve">RECLASIFICACION CUENTAS POR PAGAR A PIONEER CABLE LTDA. EN CABLE ANDINO INC.</t>
  </si>
  <si>
    <t xml:space="preserve">Otras cuentas por pagar LP</t>
  </si>
  <si>
    <t xml:space="preserve">Cuentas por pagara relacionadas Lp</t>
  </si>
  <si>
    <t xml:space="preserve">-11-</t>
  </si>
  <si>
    <t xml:space="preserve">AJUSTE POR LIQUIDACION DEL PATRIMONIO DE TRANSTELCO Y ECONOCOMPU</t>
  </si>
  <si>
    <t xml:space="preserve">Otros gastos, neto</t>
  </si>
  <si>
    <t xml:space="preserve">á Participación no Controlada</t>
  </si>
  <si>
    <t xml:space="preserve">á Reserva Legal</t>
  </si>
  <si>
    <t xml:space="preserve">á Reserva de Capital</t>
  </si>
  <si>
    <t xml:space="preserve">á Resultados Acumulados</t>
  </si>
  <si>
    <t xml:space="preserve">-12-</t>
  </si>
  <si>
    <t xml:space="preserve">REVERSION DE LA AMORTIZACION DEL INTAGIBLE, CAPACITY IRU EN TELCONET</t>
  </si>
  <si>
    <t xml:space="preserve">á Costo de Ventas</t>
  </si>
  <si>
    <t xml:space="preserve">-13-</t>
  </si>
  <si>
    <t xml:space="preserve">RECLASIFICACION CUENTA POR COBRAR A C.B.P. EN CORPOANDINO Y QUE NO ES RELACIOANDA</t>
  </si>
  <si>
    <t xml:space="preserve">a Cuentas por cobrar relacionadas CP</t>
  </si>
  <si>
    <t xml:space="preserve">Eliminación de transacciones entre Telconet y subsidiarias</t>
  </si>
  <si>
    <t xml:space="preserve">Al 31 de diciembre dl 2019</t>
  </si>
  <si>
    <t xml:space="preserve">ok</t>
  </si>
  <si>
    <t xml:space="preserve">Ingreso por ventas</t>
  </si>
  <si>
    <t xml:space="preserve"> Costo de ventas</t>
  </si>
  <si>
    <t xml:space="preserve">           Costo de ventas</t>
  </si>
  <si>
    <t xml:space="preserve">RESUMEN</t>
  </si>
  <si>
    <t xml:space="preserve">Referencia</t>
  </si>
  <si>
    <r>
      <rPr>
        <sz val="9"/>
        <rFont val="Arial"/>
        <family val="2"/>
        <charset val="1"/>
      </rPr>
      <t xml:space="preserve">        </t>
    </r>
    <r>
      <rPr>
        <u val="single"/>
        <sz val="9"/>
        <rFont val="Arial"/>
        <family val="2"/>
        <charset val="1"/>
      </rPr>
      <t xml:space="preserve">Activo</t>
    </r>
  </si>
  <si>
    <t xml:space="preserve">a notas</t>
  </si>
  <si>
    <r>
      <rPr>
        <sz val="9"/>
        <rFont val="Arial"/>
        <family val="2"/>
        <charset val="1"/>
      </rPr>
      <t xml:space="preserve">        </t>
    </r>
    <r>
      <rPr>
        <u val="single"/>
        <sz val="9"/>
        <rFont val="Arial"/>
        <family val="2"/>
        <charset val="1"/>
      </rPr>
      <t xml:space="preserve">Pasivo y patrimonio</t>
    </r>
  </si>
  <si>
    <t xml:space="preserve">ACTIVO CORRIENTE</t>
  </si>
  <si>
    <t xml:space="preserve">PASIVO CORRIENTE</t>
  </si>
  <si>
    <t xml:space="preserve">Efectivo y Equivalentes de efectivo</t>
  </si>
  <si>
    <t xml:space="preserve">Sobregiros Bancarios</t>
  </si>
  <si>
    <t xml:space="preserve">Activos Financieros a valor razonable</t>
  </si>
  <si>
    <t xml:space="preserve">Porción corriente de valores emitidos</t>
  </si>
  <si>
    <t xml:space="preserve">Clientes</t>
  </si>
  <si>
    <t xml:space="preserve">Proveedores</t>
  </si>
  <si>
    <t xml:space="preserve">Compañías relacionadas</t>
  </si>
  <si>
    <t xml:space="preserve">Pasivos del contrato</t>
  </si>
  <si>
    <t xml:space="preserve">   Pasivos por arrendamientos</t>
  </si>
  <si>
    <t xml:space="preserve">   Pasivo contingente</t>
  </si>
  <si>
    <t xml:space="preserve">Total del activo corriente</t>
  </si>
  <si>
    <t xml:space="preserve">Beneficios Sociales</t>
  </si>
  <si>
    <t xml:space="preserve">Total pasivos corrientes</t>
  </si>
  <si>
    <t xml:space="preserve">ACTIVO NO CORRIENTE</t>
  </si>
  <si>
    <t xml:space="preserve">PASIVO NO CORRIENTE</t>
  </si>
  <si>
    <t xml:space="preserve">Obligaciones Financieras</t>
  </si>
  <si>
    <t xml:space="preserve">Propiedad y equipos, neto</t>
  </si>
  <si>
    <t xml:space="preserve">Propiedades de Inversión</t>
  </si>
  <si>
    <t xml:space="preserve">Activos Intangibles</t>
  </si>
  <si>
    <t xml:space="preserve">Jubilación Patronal y Bonificación por desahucio</t>
  </si>
  <si>
    <t xml:space="preserve">Pasivos por arrendamientos </t>
  </si>
  <si>
    <t xml:space="preserve">Impuesto diferido</t>
  </si>
  <si>
    <t xml:space="preserve">Total del activo no corriente</t>
  </si>
  <si>
    <t xml:space="preserve">PATRIMONIO (según estado adjunto)</t>
  </si>
  <si>
    <t xml:space="preserve">      Total del activo</t>
  </si>
  <si>
    <t xml:space="preserve">    Total del pasivo y patrimonio</t>
  </si>
  <si>
    <t xml:space="preserve">Las notas explicativas anexas son parte integrante de los estados financieros</t>
  </si>
  <si>
    <t xml:space="preserve">INVERSIONES EN ASOCIADAS</t>
  </si>
  <si>
    <t xml:space="preserve">VARIACIÓN DE PATRIMONIO</t>
  </si>
  <si>
    <t xml:space="preserve">VPP</t>
  </si>
  <si>
    <t xml:space="preserve">Adiciones netas</t>
  </si>
  <si>
    <t xml:space="preserve">Pago de dividendos</t>
  </si>
  <si>
    <t xml:space="preserve">Aporte de la PNC</t>
  </si>
  <si>
    <t xml:space="preserve">ORI Pérdida actuarial en jubilación y desahucio</t>
  </si>
  <si>
    <t xml:space="preserve">ACTIVOS FIJOS</t>
  </si>
  <si>
    <t xml:space="preserve">Efecto de implementación NIIF 9</t>
  </si>
  <si>
    <t xml:space="preserve">Gasto de depreciación</t>
  </si>
  <si>
    <t xml:space="preserve">Otros ajustes menores</t>
  </si>
  <si>
    <t xml:space="preserve">Liquidación activos y pasivos de Netspeed</t>
  </si>
  <si>
    <t xml:space="preserve">ACTIVOS POR DERECHOS DE USO</t>
  </si>
  <si>
    <t xml:space="preserve">Más Provisión de impuesto a la renta</t>
  </si>
  <si>
    <t xml:space="preserve">Registro contra pasivos por arrendamiento</t>
  </si>
  <si>
    <t xml:space="preserve">Pagos netos</t>
  </si>
  <si>
    <t xml:space="preserve">JUBILACION Y DESAHUCIO</t>
  </si>
  <si>
    <t xml:space="preserve">Provision del periodo</t>
  </si>
  <si>
    <t xml:space="preserve">Pagos, netos</t>
  </si>
  <si>
    <t xml:space="preserve">Pérdida actuarial en jubilación y desahucio</t>
  </si>
  <si>
    <t xml:space="preserve">Otros movimientos netos</t>
  </si>
  <si>
    <t xml:space="preserve">ACTIVOS INTANGIBLES</t>
  </si>
  <si>
    <t xml:space="preserve">Amortización del periodo</t>
  </si>
  <si>
    <t xml:space="preserve">Amortización</t>
  </si>
  <si>
    <t xml:space="preserve">IMPUESTOS POR PAGAR </t>
  </si>
  <si>
    <t xml:space="preserve">Provisión de impuesto a la renta</t>
  </si>
  <si>
    <t xml:space="preserve">Pago de impuesto a la renta</t>
  </si>
  <si>
    <t xml:space="preserve">BENEFICIOS SOCIALES POR PAGAR</t>
  </si>
  <si>
    <t xml:space="preserve">Provisión 15% PT</t>
  </si>
  <si>
    <t xml:space="preserve">Pago de 15% PT</t>
  </si>
  <si>
    <t xml:space="preserve">CUENTAS POR COBRAR COMERCIALES</t>
  </si>
  <si>
    <t xml:space="preserve">Provisión para incobrables</t>
  </si>
  <si>
    <t xml:space="preserve">Variación en cuentas por cobrar comerciales</t>
  </si>
  <si>
    <t xml:space="preserve">OTRAS CUENTAS POR COBRAR</t>
  </si>
  <si>
    <t xml:space="preserve">Variación en otras cuentas por cobrar </t>
  </si>
  <si>
    <t xml:space="preserve">IMPUESTO DIFERIDO</t>
  </si>
  <si>
    <t xml:space="preserve">Cargo a resultados</t>
  </si>
  <si>
    <t xml:space="preserve">PASIVOS POR ARRENDAMIENTO</t>
  </si>
  <si>
    <t xml:space="preserve">Pagos por arrendamientos</t>
  </si>
  <si>
    <t xml:space="preserve">Registro contra derechos de uso</t>
  </si>
  <si>
    <t xml:space="preserve">PASIVOS DEL CONTRATO</t>
  </si>
  <si>
    <t xml:space="preserve">Ventas</t>
  </si>
  <si>
    <t xml:space="preserve">Costo de Venta</t>
  </si>
  <si>
    <t xml:space="preserve">     Utilidad Bruta</t>
  </si>
  <si>
    <t xml:space="preserve">Gastos operativos</t>
  </si>
  <si>
    <t xml:space="preserve">Gastos administrativos y ventas</t>
  </si>
  <si>
    <t xml:space="preserve">     Utilidad Operacional</t>
  </si>
  <si>
    <t xml:space="preserve">Gastos Financieros</t>
  </si>
  <si>
    <t xml:space="preserve">Otros Gastos (Ingresos), neto</t>
  </si>
  <si>
    <t xml:space="preserve">Utilidad antes de la participación a trabajadores y del impuesto a la renta</t>
  </si>
  <si>
    <t xml:space="preserve">Impuesto a la renta corriente y diferido</t>
  </si>
  <si>
    <t xml:space="preserve">Otro Resultado Integral</t>
  </si>
  <si>
    <t xml:space="preserve">Ganancia (Pérdida) actuarial en jubilación      patronal y bonificación por desahucio</t>
  </si>
  <si>
    <t xml:space="preserve">Resultado integral del año Controladora</t>
  </si>
  <si>
    <t xml:space="preserve">Resultado integral del año No controlador</t>
  </si>
  <si>
    <t xml:space="preserve">Número de acciones</t>
  </si>
  <si>
    <t xml:space="preserve">Utilidad por Acción</t>
  </si>
  <si>
    <t xml:space="preserve">ESTADO DE CAMBIOS EN EL PATRIMONIO</t>
  </si>
  <si>
    <t xml:space="preserve">Aportes para futura capitalización</t>
  </si>
  <si>
    <t xml:space="preserve">Reserva Facultativa</t>
  </si>
  <si>
    <t xml:space="preserve">Adopcion de NIIF</t>
  </si>
  <si>
    <t xml:space="preserve">Participacion no controlada</t>
  </si>
  <si>
    <t xml:space="preserve">Saldos al 1 de enero del 2016</t>
  </si>
  <si>
    <t xml:space="preserve">Reconocimiento de pasivo de años anteriores (Nota 35)</t>
  </si>
  <si>
    <t xml:space="preserve">Saldos al 1 de enero del 2016 (reexpresado)</t>
  </si>
  <si>
    <t xml:space="preserve">Aumento de capital en subsidiarias</t>
  </si>
  <si>
    <t xml:space="preserve">Transferencia a reserva legal según Junta General de Accionistas del 4 de agosto de 2016</t>
  </si>
  <si>
    <t xml:space="preserve">Utilidad neta y resultado integral del año</t>
  </si>
  <si>
    <t xml:space="preserve">Aumento de capital según Acta de Junta de Accionistas del 14 de julio de 2017</t>
  </si>
  <si>
    <t xml:space="preserve">Apropiación reserva legal</t>
  </si>
  <si>
    <t xml:space="preserve">Aplicación de aporte de accionistas a cuentas por cobrar según Acta de Junta de Accionistas del 29 de diciembre de 2017</t>
  </si>
  <si>
    <t xml:space="preserve">Saldos al 31 de diciembre del 2017</t>
  </si>
  <si>
    <t xml:space="preserve">Efecto de implementación de NIIF 9</t>
  </si>
  <si>
    <t xml:space="preserve">Aumento de capital según Acta de Junta de Accionistas del 4 de septiembre del 2018</t>
  </si>
  <si>
    <t xml:space="preserve">Devolución de aporte en Cable Andino Inc a accionista minoritario</t>
  </si>
  <si>
    <t xml:space="preserve">Deterioro de activos de años anteriores mantenidos en Transtelco S.A., Telsoterra S.A. y Cable Andino Inc.</t>
  </si>
  <si>
    <t xml:space="preserve">Otros ajustes</t>
  </si>
  <si>
    <t xml:space="preserve">Saldos al 31 de diciembre del 2018</t>
  </si>
  <si>
    <t xml:space="preserve">Efecto de implementacion de la NIIF 9</t>
  </si>
  <si>
    <t xml:space="preserve">Aumento de capital según Acta de Junta de Accionistas del 22 de agosto de 2019</t>
  </si>
  <si>
    <t xml:space="preserve">Aporte realizado por los Accionistas</t>
  </si>
  <si>
    <t xml:space="preserve">Baja de capital según Resolución SCVS-INC-DNASD-2019-00004038</t>
  </si>
  <si>
    <t xml:space="preserve">Según ratificación en Acta de Junta de Accionistas del 16 de marzo del 2020:</t>
  </si>
  <si>
    <t xml:space="preserve">- Pago de dividendos</t>
  </si>
  <si>
    <t xml:space="preserve">- Apropiación reserva legal</t>
  </si>
  <si>
    <t xml:space="preserve">Liquidación de activos y pasivos de Netspeed</t>
  </si>
  <si>
    <t xml:space="preserve">Saldos al 31 de diciembre del 2019</t>
  </si>
  <si>
    <t xml:space="preserve">MOVIMIENTOS DEL PATRIMONIO </t>
  </si>
  <si>
    <t xml:space="preserve">Telconet S.A.
31/12/2018</t>
  </si>
  <si>
    <t xml:space="preserve">Cable Andino Inc.
31/12/2018</t>
  </si>
  <si>
    <t xml:space="preserve">Cable Andino Corpoandino 
31/12/2018</t>
  </si>
  <si>
    <t xml:space="preserve">Transtelco
31/12/2018</t>
  </si>
  <si>
    <t xml:space="preserve">Netspeed
31/12/2018</t>
  </si>
  <si>
    <t xml:space="preserve">Cerinsa
31/12/2018</t>
  </si>
  <si>
    <t xml:space="preserve">Econocompu
31/12/2018</t>
  </si>
  <si>
    <t xml:space="preserve">Smartcities
31/12/2018</t>
  </si>
  <si>
    <t xml:space="preserve">Inmobiliaria Leonor3
31/12/2018</t>
  </si>
  <si>
    <t xml:space="preserve">Telsoterra
31/12/2018</t>
  </si>
  <si>
    <t xml:space="preserve">Linkotel 31/12/2018</t>
  </si>
  <si>
    <t xml:space="preserve">Telconet Panamá 31/12/2018</t>
  </si>
  <si>
    <t xml:space="preserve">CAPITAL SOCIAL</t>
  </si>
  <si>
    <t xml:space="preserve">Saldo al 31/12/2018</t>
  </si>
  <si>
    <t xml:space="preserve">Baja de capital y cesión de acciones</t>
  </si>
  <si>
    <t xml:space="preserve">Ajustes por liquidación de la empresa</t>
  </si>
  <si>
    <t xml:space="preserve">Aumento de capital según Acta de Junta de Accionistas</t>
  </si>
  <si>
    <t xml:space="preserve">Saldo al 31/12/2019</t>
  </si>
  <si>
    <t xml:space="preserve">APORTES PARA FUTURA CAPITALIZACION</t>
  </si>
  <si>
    <t xml:space="preserve">Aportes de los Accionistas (Baja de capital en Telconet)</t>
  </si>
  <si>
    <t xml:space="preserve">RESERVA LEGAL</t>
  </si>
  <si>
    <t xml:space="preserve">Apropiacion a reserva legal</t>
  </si>
  <si>
    <t xml:space="preserve">RESERVA FACULTATIVA</t>
  </si>
  <si>
    <t xml:space="preserve">RESERVA DE CAPITAL</t>
  </si>
  <si>
    <t xml:space="preserve">OTROS RESULTADOS INTEGRALES</t>
  </si>
  <si>
    <t xml:space="preserve">Ganancia (pérdida) actuarial </t>
  </si>
  <si>
    <t xml:space="preserve">SUPERAVIT POR REVALUACION</t>
  </si>
  <si>
    <t xml:space="preserve">Baja de activos fijos</t>
  </si>
  <si>
    <t xml:space="preserve">AJUSTE DE PRIMERA ADOPCION NIIF</t>
  </si>
  <si>
    <t xml:space="preserve">RESULTADOS ACUMULADOS</t>
  </si>
  <si>
    <t xml:space="preserve">Efecto de implementacion NIIF 9</t>
  </si>
  <si>
    <t xml:space="preserve">Transferencia a reserva legal</t>
  </si>
  <si>
    <t xml:space="preserve">Utilidad (perdida) del ejercicio</t>
  </si>
  <si>
    <t xml:space="preserve">PARTICIPACION NO CONTROLADA</t>
  </si>
  <si>
    <t xml:space="preserve">Cesión de acciones</t>
  </si>
  <si>
    <t xml:space="preserve">Utilidad (perdida) y resultado integral del ejercicio</t>
  </si>
  <si>
    <t xml:space="preserve">PATRIMONIO TOTAL</t>
  </si>
  <si>
    <t xml:space="preserve">Aporte recibido de Accionistas</t>
  </si>
  <si>
    <t xml:space="preserve">Baja de activos fijos y otros ajustes</t>
  </si>
  <si>
    <t xml:space="preserve"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</si>
  <si>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 val="single"/>
        <sz val="8"/>
        <color rgb="FF000000"/>
        <rFont val="Arial"/>
        <family val="2"/>
        <charset val="1"/>
      </rPr>
      <t xml:space="preserve">a notas</t>
    </r>
  </si>
  <si>
    <t xml:space="preserve">Telconet S.A.
31/12/2019</t>
  </si>
  <si>
    <t xml:space="preserve">Cable Andino Inc.
31/12/2019</t>
  </si>
  <si>
    <t xml:space="preserve">Cable Andino Corpoandino 
31/12/2019</t>
  </si>
  <si>
    <t xml:space="preserve">Transtelco
31/12/2019</t>
  </si>
  <si>
    <t xml:space="preserve">Netspeed
31/12/2019</t>
  </si>
  <si>
    <t xml:space="preserve">Cerinsa
31/12/2019</t>
  </si>
  <si>
    <t xml:space="preserve">Econocompu
31/12/2019</t>
  </si>
  <si>
    <t xml:space="preserve">Smartcities
31/12/2019</t>
  </si>
  <si>
    <t xml:space="preserve">Inmob. Leonor3
31/12/2019</t>
  </si>
  <si>
    <t xml:space="preserve">Telsoterra
31/12/2019</t>
  </si>
  <si>
    <t xml:space="preserve">Linkotel 31/12/2019</t>
  </si>
  <si>
    <t xml:space="preserve">Telconet Panamá 31/12/2019</t>
  </si>
  <si>
    <t xml:space="preserve">Saldos
Consolidados
al 31/12/19</t>
  </si>
  <si>
    <t xml:space="preserve">Flujos de efectivo provenientes de actividades de operación:</t>
  </si>
  <si>
    <t xml:space="preserve">Utilidad antes de impuesto a la renta</t>
  </si>
  <si>
    <t xml:space="preserve">Mas cargos a resultados que no representan movimiento de efectivo</t>
  </si>
  <si>
    <t xml:space="preserve">Provisión por deterioro de cuentas incobrables</t>
  </si>
  <si>
    <t xml:space="preserve">Provisión por deterioro de otras cuentas por cobrar</t>
  </si>
  <si>
    <t xml:space="preserve">Depreciación de propiedades y equipos</t>
  </si>
  <si>
    <t xml:space="preserve">Depreciación de propiedades de inversión</t>
  </si>
  <si>
    <t xml:space="preserve">Depreciación de activos por derechos de uso</t>
  </si>
  <si>
    <t xml:space="preserve">Baja de propiedades de inversión</t>
  </si>
  <si>
    <t xml:space="preserve">Amortización de activos intangibles</t>
  </si>
  <si>
    <t xml:space="preserve">Valor de participación patrimonial</t>
  </si>
  <si>
    <t xml:space="preserve">Participación de los trabajadores en las utilidades</t>
  </si>
  <si>
    <t xml:space="preserve">Provisión por jubilación patronal y desahucio</t>
  </si>
  <si>
    <t xml:space="preserve">Variación de ingresos diferidos</t>
  </si>
  <si>
    <t xml:space="preserve">Otros movimientos menores en el patrimonio</t>
  </si>
  <si>
    <t xml:space="preserve">Cambios en activos y pasivos</t>
  </si>
  <si>
    <t xml:space="preserve">Impuestos por pagar</t>
  </si>
  <si>
    <t xml:space="preserve">Efectivo generado por las actividades de operación</t>
  </si>
  <si>
    <t xml:space="preserve">Impuesto a la renta pagado</t>
  </si>
  <si>
    <t xml:space="preserve">Pago de participación de trabajadores en las utilidades</t>
  </si>
  <si>
    <t xml:space="preserve">Pagos de jubilación patronal y desahucio</t>
  </si>
  <si>
    <t xml:space="preserve">Flujo neto de efectivo provisto por las actividades de operación</t>
  </si>
  <si>
    <t xml:space="preserve">Flujos de efectivo usado en actividades de inversión:</t>
  </si>
  <si>
    <t xml:space="preserve">(Aumento) disminución de inversiones mantenidas hasta su vencimiento</t>
  </si>
  <si>
    <t xml:space="preserve">(Aumento) disminución de activos financieros a valor razonable</t>
  </si>
  <si>
    <t xml:space="preserve">Aumento de inversiones en derechos fiduciarios</t>
  </si>
  <si>
    <t xml:space="preserve">Aumento en inversiones en subsidiarias y asociadas</t>
  </si>
  <si>
    <t xml:space="preserve">Adiciones de propiedades y equipos, neto</t>
  </si>
  <si>
    <t xml:space="preserve">(Aumento) disminución de propiedades de inversión</t>
  </si>
  <si>
    <t xml:space="preserve">Adiciones de activos intangibles, neto</t>
  </si>
  <si>
    <t xml:space="preserve">Flujo neto de efectivo usado en las actividades de inversión</t>
  </si>
  <si>
    <t xml:space="preserve">Flujos de efectivo usado en actividades de financiación:</t>
  </si>
  <si>
    <t xml:space="preserve">   Pagos de capital de pasivo por arrendamientos</t>
  </si>
  <si>
    <t xml:space="preserve">Ingreso (egreso) por retiro y venta de aportes</t>
  </si>
  <si>
    <t xml:space="preserve">Aportes realizados por la Participación no Conroladora</t>
  </si>
  <si>
    <t xml:space="preserve">Pagos de dividendos</t>
  </si>
  <si>
    <t xml:space="preserve">Obligaciones financieras, neto</t>
  </si>
  <si>
    <t xml:space="preserve">Emision de Obligaciones, neto</t>
  </si>
  <si>
    <t xml:space="preserve">Flujo neto de efectivo usado en las actividades de financiación</t>
  </si>
  <si>
    <t xml:space="preserve">Aumento neto (disminución) en efectivo y equivalentes de efectivo</t>
  </si>
  <si>
    <t xml:space="preserve">Efectivo y equivalentes de efectivo al inicio del año</t>
  </si>
  <si>
    <t xml:space="preserve">Efectivo y equivalentes de efectivo al final del año</t>
  </si>
  <si>
    <t xml:space="preserve">                        Las notas explicativas anexas son parte integrante de los estados financieros</t>
  </si>
  <si>
    <t xml:space="preserve">Telconet S.A.
31/12/2017</t>
  </si>
  <si>
    <t xml:space="preserve">Cable Andino Inc.
31/12/2017</t>
  </si>
  <si>
    <t xml:space="preserve">Cable Andino Corpoandino 
31/12/2017</t>
  </si>
  <si>
    <t xml:space="preserve">Transtelco
31/12/2017</t>
  </si>
  <si>
    <t xml:space="preserve">Netspeed
31/12/2017</t>
  </si>
  <si>
    <t xml:space="preserve">Cerinsa
31/12/2017</t>
  </si>
  <si>
    <t xml:space="preserve">Econocompu
31/12/2017</t>
  </si>
  <si>
    <t xml:space="preserve">Smartcities
31/12/2017</t>
  </si>
  <si>
    <t xml:space="preserve">Inmob. Leonor3
31/12/2017</t>
  </si>
  <si>
    <t xml:space="preserve">Telsoterra
31/12/2017</t>
  </si>
  <si>
    <t xml:space="preserve">Linkotel 31/12/2017</t>
  </si>
  <si>
    <t xml:space="preserve">Telconet Panamá 31/12/2017</t>
  </si>
  <si>
    <t xml:space="preserve">Superavit por revaaluación</t>
  </si>
  <si>
    <t xml:space="preserve">Total pasivo y patrimonio</t>
  </si>
</sst>
</file>

<file path=xl/styles.xml><?xml version="1.0" encoding="utf-8"?>
<styleSheet xmlns="http://schemas.openxmlformats.org/spreadsheetml/2006/main">
  <numFmts count="53">
    <numFmt numFmtId="164" formatCode="General"/>
    <numFmt numFmtId="165" formatCode="_(* #,##0.00_);_(* \(#,##0.00\);_(* \-??_);_(@_)"/>
    <numFmt numFmtId="166" formatCode="_ * #,##0.00_ ;_ * \-#,##0.00_ ;_ * \-??_ ;_ @_ "/>
    <numFmt numFmtId="167" formatCode="* \(#,##0\);* #,##0_);\-??_);@"/>
    <numFmt numFmtId="168" formatCode="* #,##0_);* \(#,##0\);\-??_);@"/>
    <numFmt numFmtId="169" formatCode="_-[$€-2]* #,##0.00_-;\-[$€-2]* #,##0.00_-;_-[$€-2]* \-??_-"/>
    <numFmt numFmtId="170" formatCode="_ [$€]\ * #,##0.00_ ;_ [$€]\ * \-#,##0.00_ ;_ [$€]\ * \-??_ ;_ @_ "/>
    <numFmt numFmtId="171" formatCode="_ [$€-2]\ * #,##0.00_ ;_ [$€-2]\ * \-#,##0.00_ ;_ [$€-2]\ * \-??_ "/>
    <numFmt numFmtId="172" formatCode="dd/mm/yyyy"/>
    <numFmt numFmtId="173" formatCode="_-* #,##0.00_-;\-* #,##0.00_-;_-* \-??_-;_-@_-"/>
    <numFmt numFmtId="174" formatCode="&quot;$ &quot;#,##0;[RED]&quot;$ -&quot;#,##0"/>
    <numFmt numFmtId="175" formatCode="_ * #,##0.0_ ;_ * \(#,##0.0\);_ * \-??_ ;_ @_ "/>
    <numFmt numFmtId="176" formatCode="_ [$€]* #,##0.00_ ;_ [$€]* \-#,##0.00_ ;_ [$€]* \-??_ ;_ @_ "/>
    <numFmt numFmtId="177" formatCode="dd/mm/yyyy;@"/>
    <numFmt numFmtId="178" formatCode="_ * #,##0_ ;_ * \-#,##0_ ;_ * \-??_ ;_ @_ "/>
    <numFmt numFmtId="179" formatCode="_-* #,##0.0_-;\-* #,##0.0_-;_-* \-??_-;_-@_-"/>
    <numFmt numFmtId="180" formatCode="_-* #,##0&quot; €&quot;_-;\-* #,##0&quot; €&quot;_-;_-* &quot;- €&quot;_-;_-@_-"/>
    <numFmt numFmtId="181" formatCode="_ * #,##0_ ;_ * \(#,##0\);_ * \-??_ ;_ @_ "/>
    <numFmt numFmtId="182" formatCode="#,##0;[RED]\(#,##0\)"/>
    <numFmt numFmtId="183" formatCode="\$#,##0;&quot;-$&quot;#,##0"/>
    <numFmt numFmtId="184" formatCode="_-* #,##0.00\ _€_-;\-* #,##0.00\ _€_-;_-* \-??\ _€_-;_-@_-"/>
    <numFmt numFmtId="185" formatCode="&quot;$ &quot;#,##0_);&quot;($ &quot;#,##0\)"/>
    <numFmt numFmtId="186" formatCode="\$#,##0.00;[RED]&quot;-$&quot;#,##0.00"/>
    <numFmt numFmtId="187" formatCode="\$#,##0.00_);[RED]&quot;($&quot;#,##0.00\)"/>
    <numFmt numFmtId="188" formatCode="_ * #,##0_ ;_ * \(#,##0\);_ * \-?_ ;_ @_ "/>
    <numFmt numFmtId="189" formatCode="&quot;$ &quot;#,##0.00;[RED]&quot;$ -&quot;#,##0.00"/>
    <numFmt numFmtId="190" formatCode="_ * #,##0_ ;_ * \-#,##0_ ;_ * \-_ ;_ @_ "/>
    <numFmt numFmtId="191" formatCode="_ &quot;$ &quot;* #,##0.00_ ;_ &quot;$ &quot;* \-#,##0.00_ ;_ &quot;$ &quot;* \-??_ ;_ @_ "/>
    <numFmt numFmtId="192" formatCode="_(&quot;$ &quot;* #,##0.00_);_(&quot;$ &quot;* \(#,##0.00\);_(&quot;$ &quot;* \-??_);_(@_)"/>
    <numFmt numFmtId="193" formatCode="#,##0\ ;&quot;- &quot;#,##0\ "/>
    <numFmt numFmtId="194" formatCode="0\ %"/>
    <numFmt numFmtId="195" formatCode="_(* #,##0_);_(* \(#,##0\);_(* \-_);_(@_)"/>
    <numFmt numFmtId="196" formatCode="_(* #,##0_);_(* \(#,##0\);_(* \-??_);_(@_)"/>
    <numFmt numFmtId="197" formatCode="_-* #,##0_-;\-* #,##0_-;_-* \-??_-;_-@_-"/>
    <numFmt numFmtId="198" formatCode="#,##0"/>
    <numFmt numFmtId="199" formatCode="_ * #,##0_ ;_ * \(#,##0\)_ ;_ * \-_ ;_ @_ "/>
    <numFmt numFmtId="200" formatCode="#,##0_);\(#,##0\)"/>
    <numFmt numFmtId="201" formatCode="dd\-mmm\-yy"/>
    <numFmt numFmtId="202" formatCode="_(&quot;$ &quot;* #,##0_);_(&quot;$ &quot;* \(#,##0\);_(&quot;$ &quot;* \-??_);_(@_)"/>
    <numFmt numFmtId="203" formatCode="0.0000%"/>
    <numFmt numFmtId="204" formatCode="_(* #,##0.0000_);_(* \(#,##0.0000\);_(* \-????_);_(@_)"/>
    <numFmt numFmtId="205" formatCode="@"/>
    <numFmt numFmtId="206" formatCode="0.000000%"/>
    <numFmt numFmtId="207" formatCode="0.000000000000000%"/>
    <numFmt numFmtId="208" formatCode="_ * #,##0_ ;\(* #,##0\);_ * \-??_ ;_ @_ "/>
    <numFmt numFmtId="209" formatCode="_-* #,##0\ _€_-;\-* #,##0\ _€_-;_-* \-??\ _€_-;_-@_-"/>
    <numFmt numFmtId="210" formatCode="0.00\ %"/>
    <numFmt numFmtId="211" formatCode="#,##0;[RED]#,##0"/>
    <numFmt numFmtId="212" formatCode="#,##0.00;[RED]#,##0.00"/>
    <numFmt numFmtId="213" formatCode="_ * #,##0_ ;\(* #,##0\);_ * \-_ ;_ @_ "/>
    <numFmt numFmtId="214" formatCode="#,##0\ ;\(#,##0\)"/>
    <numFmt numFmtId="215" formatCode="0.00"/>
    <numFmt numFmtId="216" formatCode="0"/>
  </numFmts>
  <fonts count="8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 val="single"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family val="0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 val="true"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 val="true"/>
      <sz val="8"/>
      <name val="Georgia"/>
      <family val="1"/>
      <charset val="1"/>
    </font>
    <font>
      <u val="single"/>
      <sz val="8"/>
      <name val="Georgia"/>
      <family val="1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8.8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 val="single"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 val="true"/>
      <sz val="7.5"/>
      <color rgb="FF1F497D"/>
      <name val="Arial"/>
      <family val="2"/>
      <charset val="1"/>
    </font>
    <font>
      <b val="true"/>
      <sz val="7.5"/>
      <color rgb="FFFF0000"/>
      <name val="Arial"/>
      <family val="2"/>
      <charset val="1"/>
    </font>
    <font>
      <b val="true"/>
      <sz val="7.5"/>
      <name val="Arial"/>
      <family val="2"/>
      <charset val="1"/>
    </font>
    <font>
      <u val="single"/>
      <sz val="7.5"/>
      <color rgb="FF1F497D"/>
      <name val="Arial"/>
      <family val="2"/>
      <charset val="1"/>
    </font>
    <font>
      <b val="true"/>
      <sz val="7.5"/>
      <color rgb="FF4F6228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7"/>
      <name val="Arial"/>
      <family val="2"/>
      <charset val="1"/>
    </font>
    <font>
      <sz val="9"/>
      <color rgb="FF000000"/>
      <name val="Arial"/>
      <family val="2"/>
    </font>
    <font>
      <b val="true"/>
      <sz val="7"/>
      <name val="Arial"/>
      <family val="2"/>
      <charset val="1"/>
    </font>
    <font>
      <sz val="8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name val="Arial"/>
      <family val="2"/>
      <charset val="1"/>
    </font>
    <font>
      <u val="single"/>
      <sz val="9"/>
      <color rgb="FF000000"/>
      <name val="Arial"/>
      <family val="2"/>
      <charset val="1"/>
    </font>
    <font>
      <u val="single"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 val="true"/>
      <u val="single"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 val="single"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 val="true"/>
      <sz val="9.5"/>
      <name val="Arial"/>
      <family val="2"/>
      <charset val="1"/>
    </font>
    <font>
      <b val="true"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 val="true"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 val="true"/>
      <sz val="9.5"/>
      <color rgb="FF000000"/>
      <name val="Calibri"/>
      <family val="2"/>
      <charset val="1"/>
    </font>
    <font>
      <b val="true"/>
      <u val="single"/>
      <sz val="9.5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double"/>
      <diagonal/>
    </border>
  </borders>
  <cellStyleXfs count="60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167" fontId="6" fillId="0" borderId="1" applyFont="true" applyBorder="true" applyAlignment="true" applyProtection="false">
      <alignment horizontal="general" vertical="bottom" textRotation="0" wrapText="false" indent="0" shrinkToFit="false"/>
    </xf>
    <xf numFmtId="167" fontId="6" fillId="0" borderId="2" applyFont="true" applyBorder="true" applyAlignment="true" applyProtection="false">
      <alignment horizontal="general" vertical="bottom" textRotation="0" wrapText="false" indent="0" shrinkToFit="false"/>
    </xf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6" fillId="0" borderId="1" applyFont="true" applyBorder="true" applyAlignment="true" applyProtection="false">
      <alignment horizontal="general" vertical="bottom" textRotation="0" wrapText="false" indent="0" shrinkToFit="false"/>
    </xf>
    <xf numFmtId="168" fontId="6" fillId="0" borderId="2" applyFont="true" applyBorder="true" applyAlignment="true" applyProtection="false">
      <alignment horizontal="general" vertical="bottom" textRotation="0" wrapText="false" indent="0" shrinkToFit="false"/>
    </xf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1" fontId="0" fillId="0" borderId="0" applyFont="true" applyBorder="false" applyAlignment="true" applyProtection="false">
      <alignment horizontal="general" vertical="bottom" textRotation="0" wrapText="false" indent="0" shrinkToFit="false"/>
    </xf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8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16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4" fontId="5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5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7" fontId="16" fillId="0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16" fillId="0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2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2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2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2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5" fillId="3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4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4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4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4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0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0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19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" fillId="0" borderId="5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16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5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2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16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6" fontId="5" fillId="0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" fillId="0" borderId="4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5" fontId="5" fillId="3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16" fillId="0" borderId="6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4" fontId="18" fillId="0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5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18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5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16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1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2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1" fillId="0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18" fillId="0" borderId="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21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94" fontId="24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4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26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1" fillId="6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1" fillId="6" borderId="7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0" fillId="6" borderId="7" xfId="2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6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1" fillId="0" borderId="0" xfId="3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9" fontId="32" fillId="0" borderId="0" xfId="34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0" fillId="0" borderId="7" xfId="2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2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1" fillId="0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1" fillId="6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1" fillId="6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2" fillId="6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6" borderId="0" xfId="3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0" xfId="34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6" borderId="7" xfId="3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6" borderId="0" xfId="56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3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1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3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0" borderId="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3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200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200" fontId="31" fillId="6" borderId="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200" fontId="3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1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30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2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6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2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6" borderId="7" xfId="3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3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5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1" fillId="6" borderId="7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6" borderId="7" xfId="5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1" fontId="30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1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0" fillId="6" borderId="0" xfId="3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6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1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0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1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1" fillId="6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1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5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0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2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3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2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2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center" textRotation="0" wrapText="false" indent="12" shrinkToFit="false"/>
      <protection locked="true" hidden="false"/>
    </xf>
    <xf numFmtId="164" fontId="36" fillId="0" borderId="14" xfId="0" applyFont="true" applyBorder="true" applyAlignment="true" applyProtection="false">
      <alignment horizontal="left" vertical="center" textRotation="0" wrapText="false" indent="12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left" vertical="center" textRotation="0" wrapText="false" indent="12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2" shrinkToFit="false"/>
      <protection locked="true" hidden="false"/>
    </xf>
    <xf numFmtId="196" fontId="3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6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7" fontId="34" fillId="0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4" fillId="0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7" fontId="36" fillId="2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6" fillId="0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36" fillId="0" borderId="6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2" fontId="34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7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7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7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7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7" borderId="10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5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6" fillId="0" borderId="0" xfId="54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9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21" xfId="54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22" fillId="0" borderId="22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21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2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1" xfId="5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96" fontId="21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4" xfId="54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5" fontId="22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544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3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203" fontId="34" fillId="0" borderId="0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2" fillId="0" borderId="25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6" fillId="0" borderId="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5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1" fillId="0" borderId="26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03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21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4" xfId="54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5" fontId="21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0" borderId="27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8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203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204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204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54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54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6" fontId="34" fillId="0" borderId="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0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5" fontId="3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3" fontId="35" fillId="4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3" fontId="3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6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6" fontId="34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7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40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40" fillId="4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5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5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4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208" fontId="43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42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6" fontId="42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4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4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3" fontId="4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4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4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2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2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36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3" fontId="36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7" fillId="6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15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53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6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28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3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59" fillId="6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5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5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7" fontId="60" fillId="6" borderId="7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7" fillId="6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57" fillId="6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6" fontId="6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57" fillId="6" borderId="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62" fillId="6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57" fillId="6" borderId="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17" fillId="6" borderId="3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17" fillId="6" borderId="3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7" fillId="6" borderId="3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6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3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6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96" fontId="57" fillId="6" borderId="3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96" fontId="57" fillId="6" borderId="4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6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7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7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61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57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5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64" fillId="6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61" fillId="6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5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7" fontId="57" fillId="6" borderId="29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6" fontId="57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57" fillId="6" borderId="1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11" fontId="57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57" fillId="6" borderId="1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57" fillId="6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57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57" fillId="6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11" fontId="57" fillId="6" borderId="6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7" fillId="6" borderId="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17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17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6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1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17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17" fillId="6" borderId="4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57" fillId="6" borderId="3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57" fillId="6" borderId="36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3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11" fontId="17" fillId="6" borderId="34" xfId="20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11" fontId="17" fillId="6" borderId="35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17" fillId="6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11" fontId="17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9" fillId="6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7" fillId="6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211" fontId="57" fillId="6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6" fontId="5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6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4" fillId="6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6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6" borderId="10" xfId="0" applyFont="true" applyBorder="true" applyAlignment="true" applyProtection="false">
      <alignment horizontal="left" vertical="center" textRotation="0" wrapText="false" indent="12" shrinkToFit="false"/>
      <protection locked="true" hidden="false"/>
    </xf>
    <xf numFmtId="164" fontId="36" fillId="6" borderId="14" xfId="0" applyFont="true" applyBorder="true" applyAlignment="true" applyProtection="false">
      <alignment horizontal="left" vertical="center" textRotation="0" wrapText="false" indent="12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6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6" borderId="6" xfId="0" applyFont="true" applyBorder="true" applyAlignment="true" applyProtection="false">
      <alignment horizontal="left" vertical="center" textRotation="0" wrapText="false" indent="12" shrinkToFit="false"/>
      <protection locked="true" hidden="false"/>
    </xf>
    <xf numFmtId="196" fontId="36" fillId="6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left" vertical="bottom" textRotation="0" wrapText="false" indent="12" shrinkToFit="false"/>
      <protection locked="true" hidden="false"/>
    </xf>
    <xf numFmtId="164" fontId="0" fillId="6" borderId="17" xfId="0" applyFont="true" applyBorder="true" applyAlignment="true" applyProtection="false">
      <alignment horizontal="left" vertical="bottom" textRotation="0" wrapText="false" indent="12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6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66" fillId="6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70" fillId="6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70" fillId="6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8" fontId="57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6" fillId="6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98" fontId="71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7" fillId="6" borderId="0" xfId="34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208" fontId="57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8" fontId="5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6" fontId="5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6" fontId="66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96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8" fontId="71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66" fillId="6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57" fillId="6" borderId="10" xfId="108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6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1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66" fillId="6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11" fontId="5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8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15" fillId="6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8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2" fontId="5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2" fontId="5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3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2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96" fontId="57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0" xfId="34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11" fontId="57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8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7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1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1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6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11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0" xfId="3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1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3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7" fillId="6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1" fillId="6" borderId="0" xfId="34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8" fontId="57" fillId="6" borderId="2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57" fillId="6" borderId="3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6" fillId="6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4" fontId="6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3" fontId="5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14" fontId="6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4" fontId="5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4" fontId="5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4" fontId="5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57" fillId="0" borderId="0" xfId="1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57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57" fillId="0" borderId="7" xfId="1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57" fillId="0" borderId="1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0" borderId="7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4" fontId="5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4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57" fillId="0" borderId="8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214" fontId="5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214" fontId="5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7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21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2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57" fillId="0" borderId="0" xfId="1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8" fontId="68" fillId="0" borderId="0" xfId="1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68" fillId="0" borderId="0" xfId="1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213" fontId="57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57" fillId="0" borderId="0" xfId="11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57" fillId="0" borderId="0" xfId="11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57" fillId="0" borderId="0" xfId="1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96" fontId="57" fillId="0" borderId="0" xfId="11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96" fontId="57" fillId="0" borderId="0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5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57" fillId="6" borderId="0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3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5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7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1" fontId="57" fillId="6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7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6" borderId="0" xfId="48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6" borderId="0" xfId="48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3" fillId="6" borderId="0" xfId="48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6" fontId="69" fillId="6" borderId="0" xfId="48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6" fontId="15" fillId="6" borderId="0" xfId="48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57" fillId="6" borderId="0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7" fontId="57" fillId="6" borderId="12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96" fontId="5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5" fillId="6" borderId="0" xfId="48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5" fillId="6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5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5" fillId="6" borderId="0" xfId="48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15" fillId="6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96" fontId="55" fillId="6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15" fillId="6" borderId="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211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7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78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5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7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7" fontId="79" fillId="8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9" fillId="8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79" fillId="8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80" fillId="0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81" fillId="0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40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82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9" fillId="9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9" fillId="9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9" fillId="9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78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4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80" fillId="0" borderId="5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40" fillId="4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40" fillId="0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8" fillId="0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8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4" fontId="81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7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8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40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80" fillId="0" borderId="6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81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40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81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78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4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40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8" fillId="0" borderId="3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78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8" fillId="0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7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81" fillId="0" borderId="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0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40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8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=C:\WINNT\SYSTEM32\COMMAND.COM" xfId="20"/>
    <cellStyle name="Categoría del Piloto de Datos" xfId="21"/>
    <cellStyle name="Comma 123" xfId="22"/>
    <cellStyle name="Comma 13" xfId="23"/>
    <cellStyle name="Comma 15" xfId="24"/>
    <cellStyle name="Comma 2" xfId="25"/>
    <cellStyle name="Comma 4 2" xfId="26"/>
    <cellStyle name="Comma 4 2 4" xfId="27"/>
    <cellStyle name="Comma_Worksheet in D: Mis documentos Clientes 2003 Holanda Informes Brenntag-Informe2002-2001" xfId="28"/>
    <cellStyle name="Credit" xfId="29"/>
    <cellStyle name="Credit subtotal" xfId="30"/>
    <cellStyle name="Credit Total" xfId="31"/>
    <cellStyle name="Credit_Libro1" xfId="32"/>
    <cellStyle name="Debit" xfId="33"/>
    <cellStyle name="Debit subtotal" xfId="34"/>
    <cellStyle name="Debit Total" xfId="35"/>
    <cellStyle name="Debit_Libro1" xfId="36"/>
    <cellStyle name="Estilo 1" xfId="37"/>
    <cellStyle name="Euro" xfId="38"/>
    <cellStyle name="Euro 10" xfId="39"/>
    <cellStyle name="Euro 11" xfId="40"/>
    <cellStyle name="Euro 12" xfId="41"/>
    <cellStyle name="Euro 13" xfId="42"/>
    <cellStyle name="Euro 14" xfId="43"/>
    <cellStyle name="Euro 15" xfId="44"/>
    <cellStyle name="Euro 16" xfId="45"/>
    <cellStyle name="Euro 17" xfId="46"/>
    <cellStyle name="Euro 18" xfId="47"/>
    <cellStyle name="Euro 19" xfId="48"/>
    <cellStyle name="Euro 2" xfId="49"/>
    <cellStyle name="Euro 20" xfId="50"/>
    <cellStyle name="Euro 21" xfId="51"/>
    <cellStyle name="Euro 22" xfId="52"/>
    <cellStyle name="Euro 23" xfId="53"/>
    <cellStyle name="Euro 24" xfId="54"/>
    <cellStyle name="Euro 25" xfId="55"/>
    <cellStyle name="Euro 26" xfId="56"/>
    <cellStyle name="Euro 27" xfId="57"/>
    <cellStyle name="Euro 28" xfId="58"/>
    <cellStyle name="Euro 29" xfId="59"/>
    <cellStyle name="Euro 3" xfId="60"/>
    <cellStyle name="Euro 30" xfId="61"/>
    <cellStyle name="Euro 31" xfId="62"/>
    <cellStyle name="Euro 32" xfId="63"/>
    <cellStyle name="Euro 33" xfId="64"/>
    <cellStyle name="Euro 34" xfId="65"/>
    <cellStyle name="Euro 35" xfId="66"/>
    <cellStyle name="Euro 36" xfId="67"/>
    <cellStyle name="Euro 37" xfId="68"/>
    <cellStyle name="Euro 38" xfId="69"/>
    <cellStyle name="Euro 39" xfId="70"/>
    <cellStyle name="Euro 4" xfId="71"/>
    <cellStyle name="Euro 40" xfId="72"/>
    <cellStyle name="Euro 41" xfId="73"/>
    <cellStyle name="Euro 42" xfId="74"/>
    <cellStyle name="Euro 43" xfId="75"/>
    <cellStyle name="Euro 44" xfId="76"/>
    <cellStyle name="Euro 45" xfId="77"/>
    <cellStyle name="Euro 46" xfId="78"/>
    <cellStyle name="Euro 47" xfId="79"/>
    <cellStyle name="Euro 48" xfId="80"/>
    <cellStyle name="Euro 49" xfId="81"/>
    <cellStyle name="Euro 5" xfId="82"/>
    <cellStyle name="Euro 50" xfId="83"/>
    <cellStyle name="Euro 51" xfId="84"/>
    <cellStyle name="Euro 52" xfId="85"/>
    <cellStyle name="Euro 53" xfId="86"/>
    <cellStyle name="Euro 54" xfId="87"/>
    <cellStyle name="Euro 55" xfId="88"/>
    <cellStyle name="Euro 56" xfId="89"/>
    <cellStyle name="Euro 57" xfId="90"/>
    <cellStyle name="Euro 58" xfId="91"/>
    <cellStyle name="Euro 59" xfId="92"/>
    <cellStyle name="Euro 6" xfId="93"/>
    <cellStyle name="Euro 60" xfId="94"/>
    <cellStyle name="Euro 61" xfId="95"/>
    <cellStyle name="Euro 62" xfId="96"/>
    <cellStyle name="Euro 63" xfId="97"/>
    <cellStyle name="Euro 64" xfId="98"/>
    <cellStyle name="Euro 7" xfId="99"/>
    <cellStyle name="Euro 8" xfId="100"/>
    <cellStyle name="Euro 9" xfId="101"/>
    <cellStyle name="Euro_Cédulas 12-31-2009" xfId="102"/>
    <cellStyle name="Hipervínculo 2" xfId="103"/>
    <cellStyle name="Hipervínculo 3" xfId="104"/>
    <cellStyle name="Hipervínculo 4" xfId="105"/>
    <cellStyle name="Hipervínculo 5" xfId="106"/>
    <cellStyle name="Hipervínculo 6" xfId="107"/>
    <cellStyle name="Millares 10" xfId="108"/>
    <cellStyle name="Millares 106" xfId="109"/>
    <cellStyle name="Millares 11" xfId="110"/>
    <cellStyle name="Millares 12" xfId="111"/>
    <cellStyle name="Millares 13" xfId="112"/>
    <cellStyle name="Millares 14" xfId="113"/>
    <cellStyle name="Millares 15" xfId="114"/>
    <cellStyle name="Millares 16" xfId="115"/>
    <cellStyle name="Millares 16 2" xfId="116"/>
    <cellStyle name="Millares 16 2 2" xfId="117"/>
    <cellStyle name="Millares 17" xfId="118"/>
    <cellStyle name="Millares 17 2" xfId="119"/>
    <cellStyle name="Millares 17 2 2" xfId="120"/>
    <cellStyle name="Millares 17_R8-001 Papeles de Trabajo 2009 betsy" xfId="121"/>
    <cellStyle name="Millares 18" xfId="122"/>
    <cellStyle name="Millares 18 2" xfId="123"/>
    <cellStyle name="Millares 19" xfId="124"/>
    <cellStyle name="Millares 2" xfId="125"/>
    <cellStyle name="Millares 2 2" xfId="126"/>
    <cellStyle name="Millares 2 3" xfId="127"/>
    <cellStyle name="Millares 20" xfId="128"/>
    <cellStyle name="Millares 21" xfId="129"/>
    <cellStyle name="Millares 21 2" xfId="130"/>
    <cellStyle name="Millares 21_R8-001 Papeles de Trabajo 2009 betsy" xfId="131"/>
    <cellStyle name="Millares 22" xfId="132"/>
    <cellStyle name="Millares 23" xfId="133"/>
    <cellStyle name="Millares 24" xfId="134"/>
    <cellStyle name="Millares 25" xfId="135"/>
    <cellStyle name="Millares 26" xfId="136"/>
    <cellStyle name="Millares 27" xfId="137"/>
    <cellStyle name="Millares 28" xfId="138"/>
    <cellStyle name="Millares 29" xfId="139"/>
    <cellStyle name="Millares 2_Cédulas 12-31-2009" xfId="140"/>
    <cellStyle name="Millares 3" xfId="141"/>
    <cellStyle name="Millares 3 10" xfId="142"/>
    <cellStyle name="Millares 3 11" xfId="143"/>
    <cellStyle name="Millares 3 12" xfId="144"/>
    <cellStyle name="Millares 3 13" xfId="145"/>
    <cellStyle name="Millares 3 14" xfId="146"/>
    <cellStyle name="Millares 3 2" xfId="147"/>
    <cellStyle name="Millares 3 3" xfId="148"/>
    <cellStyle name="Millares 3 4" xfId="149"/>
    <cellStyle name="Millares 3 5" xfId="150"/>
    <cellStyle name="Millares 3 6" xfId="151"/>
    <cellStyle name="Millares 3 7" xfId="152"/>
    <cellStyle name="Millares 3 8" xfId="153"/>
    <cellStyle name="Millares 3 9" xfId="154"/>
    <cellStyle name="Millares 30" xfId="155"/>
    <cellStyle name="Millares 31" xfId="156"/>
    <cellStyle name="Millares 32" xfId="157"/>
    <cellStyle name="Millares 33" xfId="158"/>
    <cellStyle name="Millares 34" xfId="159"/>
    <cellStyle name="Millares 35" xfId="160"/>
    <cellStyle name="Millares 36" xfId="161"/>
    <cellStyle name="Millares 37" xfId="162"/>
    <cellStyle name="Millares 38" xfId="163"/>
    <cellStyle name="Millares 39" xfId="164"/>
    <cellStyle name="Millares 3_Cédulas 12-31-2009" xfId="165"/>
    <cellStyle name="Millares 4" xfId="166"/>
    <cellStyle name="Millares 4 2" xfId="167"/>
    <cellStyle name="Millares 4 2 2" xfId="168"/>
    <cellStyle name="Millares 4 3" xfId="169"/>
    <cellStyle name="Millares 4 4" xfId="170"/>
    <cellStyle name="Millares 4 4 2" xfId="171"/>
    <cellStyle name="Millares 40" xfId="172"/>
    <cellStyle name="Millares 41" xfId="173"/>
    <cellStyle name="Millares 42" xfId="174"/>
    <cellStyle name="Millares 43" xfId="175"/>
    <cellStyle name="Millares 44" xfId="176"/>
    <cellStyle name="Millares 45" xfId="177"/>
    <cellStyle name="Millares 46" xfId="178"/>
    <cellStyle name="Millares 47" xfId="179"/>
    <cellStyle name="Millares 48" xfId="180"/>
    <cellStyle name="Millares 49" xfId="181"/>
    <cellStyle name="Millares 49 2" xfId="182"/>
    <cellStyle name="Millares 4_DIRECTORIO OCTUBRE 2008 REAL (VERSION 3) (3)" xfId="183"/>
    <cellStyle name="Millares 5" xfId="184"/>
    <cellStyle name="Millares 50" xfId="185"/>
    <cellStyle name="Millares 50 2" xfId="186"/>
    <cellStyle name="Millares 51" xfId="187"/>
    <cellStyle name="Millares 51 2" xfId="188"/>
    <cellStyle name="Millares 52" xfId="189"/>
    <cellStyle name="Millares 53" xfId="190"/>
    <cellStyle name="Millares 54" xfId="191"/>
    <cellStyle name="Millares 55" xfId="192"/>
    <cellStyle name="Millares 56" xfId="193"/>
    <cellStyle name="Millares 57" xfId="194"/>
    <cellStyle name="Millares 58" xfId="195"/>
    <cellStyle name="Millares 59" xfId="196"/>
    <cellStyle name="Millares 6" xfId="197"/>
    <cellStyle name="Millares 60" xfId="198"/>
    <cellStyle name="Millares 61" xfId="199"/>
    <cellStyle name="Millares 62" xfId="200"/>
    <cellStyle name="Millares 63" xfId="201"/>
    <cellStyle name="Millares 63 2" xfId="202"/>
    <cellStyle name="Millares 64" xfId="203"/>
    <cellStyle name="Millares 65" xfId="204"/>
    <cellStyle name="Millares 65 2" xfId="205"/>
    <cellStyle name="Millares 66" xfId="206"/>
    <cellStyle name="Millares 67" xfId="207"/>
    <cellStyle name="Millares 68" xfId="208"/>
    <cellStyle name="Millares 69" xfId="209"/>
    <cellStyle name="Millares 7" xfId="210"/>
    <cellStyle name="Millares 7 2" xfId="211"/>
    <cellStyle name="Millares 7_Cédulas 12-31-2009" xfId="212"/>
    <cellStyle name="Millares 8" xfId="213"/>
    <cellStyle name="Millares 8 2" xfId="214"/>
    <cellStyle name="Millares 9" xfId="215"/>
    <cellStyle name="Millares 9 2" xfId="216"/>
    <cellStyle name="Millares 9 2 2" xfId="217"/>
    <cellStyle name="Millares 9_Cédulas 12-31-2009" xfId="218"/>
    <cellStyle name="Millares [0] 10" xfId="219"/>
    <cellStyle name="Millares [0] 11" xfId="220"/>
    <cellStyle name="Millares [0] 12" xfId="221"/>
    <cellStyle name="Millares [0] 13" xfId="222"/>
    <cellStyle name="Millares [0] 14" xfId="223"/>
    <cellStyle name="Millares [0] 15" xfId="224"/>
    <cellStyle name="Millares [0] 16" xfId="225"/>
    <cellStyle name="Millares [0] 17" xfId="226"/>
    <cellStyle name="Millares [0] 18" xfId="227"/>
    <cellStyle name="Millares [0] 19" xfId="228"/>
    <cellStyle name="Millares [0] 2" xfId="229"/>
    <cellStyle name="Millares [0] 20" xfId="230"/>
    <cellStyle name="Millares [0] 21" xfId="231"/>
    <cellStyle name="Millares [0] 22" xfId="232"/>
    <cellStyle name="Millares [0] 23" xfId="233"/>
    <cellStyle name="Millares [0] 24" xfId="234"/>
    <cellStyle name="Millares [0] 25" xfId="235"/>
    <cellStyle name="Millares [0] 26" xfId="236"/>
    <cellStyle name="Millares [0] 27" xfId="237"/>
    <cellStyle name="Millares [0] 28" xfId="238"/>
    <cellStyle name="Millares [0] 29" xfId="239"/>
    <cellStyle name="Millares [0] 3" xfId="240"/>
    <cellStyle name="Millares [0] 30" xfId="241"/>
    <cellStyle name="Millares [0] 31" xfId="242"/>
    <cellStyle name="Millares [0] 32" xfId="243"/>
    <cellStyle name="Millares [0] 33" xfId="244"/>
    <cellStyle name="Millares [0] 34" xfId="245"/>
    <cellStyle name="Millares [0] 35" xfId="246"/>
    <cellStyle name="Millares [0] 36" xfId="247"/>
    <cellStyle name="Millares [0] 37" xfId="248"/>
    <cellStyle name="Millares [0] 38" xfId="249"/>
    <cellStyle name="Millares [0] 39" xfId="250"/>
    <cellStyle name="Millares [0] 4" xfId="251"/>
    <cellStyle name="Millares [0] 40" xfId="252"/>
    <cellStyle name="Millares [0] 41" xfId="253"/>
    <cellStyle name="Millares [0] 42" xfId="254"/>
    <cellStyle name="Millares [0] 43" xfId="255"/>
    <cellStyle name="Millares [0] 44" xfId="256"/>
    <cellStyle name="Millares [0] 45" xfId="257"/>
    <cellStyle name="Millares [0] 46" xfId="258"/>
    <cellStyle name="Millares [0] 47" xfId="259"/>
    <cellStyle name="Millares [0] 48" xfId="260"/>
    <cellStyle name="Millares [0] 49" xfId="261"/>
    <cellStyle name="Millares [0] 5" xfId="262"/>
    <cellStyle name="Millares [0] 50" xfId="263"/>
    <cellStyle name="Millares [0] 51" xfId="264"/>
    <cellStyle name="Millares [0] 52" xfId="265"/>
    <cellStyle name="Millares [0] 53" xfId="266"/>
    <cellStyle name="Millares [0] 54" xfId="267"/>
    <cellStyle name="Millares [0] 55" xfId="268"/>
    <cellStyle name="Millares [0] 56" xfId="269"/>
    <cellStyle name="Millares [0] 57" xfId="270"/>
    <cellStyle name="Millares [0] 6" xfId="271"/>
    <cellStyle name="Millares [0] 7" xfId="272"/>
    <cellStyle name="Millares [0] 8" xfId="273"/>
    <cellStyle name="Millares [0] 9" xfId="274"/>
    <cellStyle name="Moneda 2" xfId="275"/>
    <cellStyle name="Moneda 3" xfId="276"/>
    <cellStyle name="No-definido" xfId="277"/>
    <cellStyle name="Normal 10" xfId="278"/>
    <cellStyle name="Normal 10 2" xfId="279"/>
    <cellStyle name="Normal 10 3" xfId="280"/>
    <cellStyle name="Normal 10 4" xfId="281"/>
    <cellStyle name="Normal 10 5" xfId="282"/>
    <cellStyle name="Normal 10 6" xfId="283"/>
    <cellStyle name="Normal 10_R8-001 Papeles de Trabajo 2009 betsy" xfId="284"/>
    <cellStyle name="Normal 11" xfId="285"/>
    <cellStyle name="Normal 11 2" xfId="286"/>
    <cellStyle name="Normal 11 3" xfId="287"/>
    <cellStyle name="Normal 11 4" xfId="288"/>
    <cellStyle name="Normal 11 5" xfId="289"/>
    <cellStyle name="Normal 11 6" xfId="290"/>
    <cellStyle name="Normal 11 7" xfId="291"/>
    <cellStyle name="Normal 12" xfId="292"/>
    <cellStyle name="Normal 12 2" xfId="293"/>
    <cellStyle name="Normal 12 3" xfId="294"/>
    <cellStyle name="Normal 12 4" xfId="295"/>
    <cellStyle name="Normal 12 5" xfId="296"/>
    <cellStyle name="Normal 12 6" xfId="297"/>
    <cellStyle name="Normal 13" xfId="298"/>
    <cellStyle name="Normal 13 2" xfId="299"/>
    <cellStyle name="Normal 13 3" xfId="300"/>
    <cellStyle name="Normal 13 4" xfId="301"/>
    <cellStyle name="Normal 13 5" xfId="302"/>
    <cellStyle name="Normal 13 6" xfId="303"/>
    <cellStyle name="Normal 13_Cédulas 12-31-2009" xfId="304"/>
    <cellStyle name="Normal 14" xfId="305"/>
    <cellStyle name="Normal 14 2" xfId="306"/>
    <cellStyle name="Normal 14 3" xfId="307"/>
    <cellStyle name="Normal 14 4" xfId="308"/>
    <cellStyle name="Normal 14 5" xfId="309"/>
    <cellStyle name="Normal 14 6" xfId="310"/>
    <cellStyle name="Normal 15" xfId="311"/>
    <cellStyle name="Normal 15 2" xfId="312"/>
    <cellStyle name="Normal 15 3" xfId="313"/>
    <cellStyle name="Normal 15 4" xfId="314"/>
    <cellStyle name="Normal 15 5" xfId="315"/>
    <cellStyle name="Normal 15 6" xfId="316"/>
    <cellStyle name="Normal 16" xfId="317"/>
    <cellStyle name="Normal 16 2" xfId="318"/>
    <cellStyle name="Normal 16 3" xfId="319"/>
    <cellStyle name="Normal 16 4" xfId="320"/>
    <cellStyle name="Normal 16 5" xfId="321"/>
    <cellStyle name="Normal 16 6" xfId="322"/>
    <cellStyle name="Normal 17" xfId="323"/>
    <cellStyle name="Normal 17 2" xfId="324"/>
    <cellStyle name="Normal 17 3" xfId="325"/>
    <cellStyle name="Normal 17 4" xfId="326"/>
    <cellStyle name="Normal 17 5" xfId="327"/>
    <cellStyle name="Normal 17 6" xfId="328"/>
    <cellStyle name="Normal 18" xfId="329"/>
    <cellStyle name="Normal 18 2" xfId="330"/>
    <cellStyle name="Normal 18 3" xfId="331"/>
    <cellStyle name="Normal 18 4" xfId="332"/>
    <cellStyle name="Normal 18 5" xfId="333"/>
    <cellStyle name="Normal 18 6" xfId="334"/>
    <cellStyle name="Normal 19" xfId="335"/>
    <cellStyle name="Normal 19 2" xfId="336"/>
    <cellStyle name="Normal 19 3" xfId="337"/>
    <cellStyle name="Normal 19 4" xfId="338"/>
    <cellStyle name="Normal 19 5" xfId="339"/>
    <cellStyle name="Normal 19 6" xfId="340"/>
    <cellStyle name="Normal 2" xfId="341"/>
    <cellStyle name="Normal 2 10" xfId="342"/>
    <cellStyle name="Normal 2 2" xfId="343"/>
    <cellStyle name="Normal 2 2 2" xfId="344"/>
    <cellStyle name="Normal 2 2_Cédulas 12-31-2009" xfId="345"/>
    <cellStyle name="Normal 2 3" xfId="346"/>
    <cellStyle name="Normal 2 3 2" xfId="347"/>
    <cellStyle name="Normal 2 4" xfId="348"/>
    <cellStyle name="Normal 2 5" xfId="349"/>
    <cellStyle name="Normal 2 6" xfId="350"/>
    <cellStyle name="Normal 2 7" xfId="351"/>
    <cellStyle name="Normal 20" xfId="352"/>
    <cellStyle name="Normal 21" xfId="353"/>
    <cellStyle name="Normal 21 2" xfId="354"/>
    <cellStyle name="Normal 21 3" xfId="355"/>
    <cellStyle name="Normal 21 4" xfId="356"/>
    <cellStyle name="Normal 21 5" xfId="357"/>
    <cellStyle name="Normal 21 6" xfId="358"/>
    <cellStyle name="Normal 22" xfId="359"/>
    <cellStyle name="Normal 22 2" xfId="360"/>
    <cellStyle name="Normal 22 3" xfId="361"/>
    <cellStyle name="Normal 22 4" xfId="362"/>
    <cellStyle name="Normal 22 5" xfId="363"/>
    <cellStyle name="Normal 22 6" xfId="364"/>
    <cellStyle name="Normal 23" xfId="365"/>
    <cellStyle name="Normal 23 2" xfId="366"/>
    <cellStyle name="Normal 23 3" xfId="367"/>
    <cellStyle name="Normal 23 4" xfId="368"/>
    <cellStyle name="Normal 23 5" xfId="369"/>
    <cellStyle name="Normal 23 6" xfId="370"/>
    <cellStyle name="Normal 24" xfId="371"/>
    <cellStyle name="Normal 24 2" xfId="372"/>
    <cellStyle name="Normal 24 3" xfId="373"/>
    <cellStyle name="Normal 24 4" xfId="374"/>
    <cellStyle name="Normal 24 5" xfId="375"/>
    <cellStyle name="Normal 24 6" xfId="376"/>
    <cellStyle name="Normal 25" xfId="377"/>
    <cellStyle name="Normal 25 2" xfId="378"/>
    <cellStyle name="Normal 25 3" xfId="379"/>
    <cellStyle name="Normal 25 4" xfId="380"/>
    <cellStyle name="Normal 25 5" xfId="381"/>
    <cellStyle name="Normal 25 6" xfId="382"/>
    <cellStyle name="Normal 26" xfId="383"/>
    <cellStyle name="Normal 26 2" xfId="384"/>
    <cellStyle name="Normal 26 3" xfId="385"/>
    <cellStyle name="Normal 26 4" xfId="386"/>
    <cellStyle name="Normal 26 5" xfId="387"/>
    <cellStyle name="Normal 26 6" xfId="388"/>
    <cellStyle name="Normal 27" xfId="389"/>
    <cellStyle name="Normal 27 2" xfId="390"/>
    <cellStyle name="Normal 27 2 3" xfId="391"/>
    <cellStyle name="Normal 27 3" xfId="392"/>
    <cellStyle name="Normal 27 4" xfId="393"/>
    <cellStyle name="Normal 27 5" xfId="394"/>
    <cellStyle name="Normal 27 6" xfId="395"/>
    <cellStyle name="Normal 28" xfId="396"/>
    <cellStyle name="Normal 28 2" xfId="397"/>
    <cellStyle name="Normal 28 3" xfId="398"/>
    <cellStyle name="Normal 28 4" xfId="399"/>
    <cellStyle name="Normal 28 5" xfId="400"/>
    <cellStyle name="Normal 28 6" xfId="401"/>
    <cellStyle name="Normal 29" xfId="402"/>
    <cellStyle name="Normal 29 2" xfId="403"/>
    <cellStyle name="Normal 29 3" xfId="404"/>
    <cellStyle name="Normal 29 4" xfId="405"/>
    <cellStyle name="Normal 29 5" xfId="406"/>
    <cellStyle name="Normal 29 6" xfId="407"/>
    <cellStyle name="Normal 2_AF Y SUELDOS" xfId="408"/>
    <cellStyle name="Normal 3" xfId="409"/>
    <cellStyle name="Normal 3 10" xfId="410"/>
    <cellStyle name="Normal 3 11" xfId="411"/>
    <cellStyle name="Normal 3 12" xfId="412"/>
    <cellStyle name="Normal 3 13" xfId="413"/>
    <cellStyle name="Normal 3 2" xfId="414"/>
    <cellStyle name="Normal 3 3" xfId="415"/>
    <cellStyle name="Normal 3 4" xfId="416"/>
    <cellStyle name="Normal 3 5" xfId="417"/>
    <cellStyle name="Normal 3 6" xfId="418"/>
    <cellStyle name="Normal 3 7" xfId="419"/>
    <cellStyle name="Normal 3 8" xfId="420"/>
    <cellStyle name="Normal 3 9" xfId="421"/>
    <cellStyle name="Normal 30" xfId="422"/>
    <cellStyle name="Normal 30 2" xfId="423"/>
    <cellStyle name="Normal 30 3" xfId="424"/>
    <cellStyle name="Normal 30 4" xfId="425"/>
    <cellStyle name="Normal 30 5" xfId="426"/>
    <cellStyle name="Normal 30 6" xfId="427"/>
    <cellStyle name="Normal 31" xfId="428"/>
    <cellStyle name="Normal 31 2" xfId="429"/>
    <cellStyle name="Normal 31 3" xfId="430"/>
    <cellStyle name="Normal 31 4" xfId="431"/>
    <cellStyle name="Normal 31 5" xfId="432"/>
    <cellStyle name="Normal 31 6" xfId="433"/>
    <cellStyle name="Normal 32" xfId="434"/>
    <cellStyle name="Normal 32 2" xfId="435"/>
    <cellStyle name="Normal 32 3" xfId="436"/>
    <cellStyle name="Normal 32 4" xfId="437"/>
    <cellStyle name="Normal 32 5" xfId="438"/>
    <cellStyle name="Normal 32 6" xfId="439"/>
    <cellStyle name="Normal 33" xfId="440"/>
    <cellStyle name="Normal 33 2" xfId="441"/>
    <cellStyle name="Normal 33 3" xfId="442"/>
    <cellStyle name="Normal 33 4" xfId="443"/>
    <cellStyle name="Normal 33 5" xfId="444"/>
    <cellStyle name="Normal 33 6" xfId="445"/>
    <cellStyle name="Normal 34" xfId="446"/>
    <cellStyle name="Normal 34 2" xfId="447"/>
    <cellStyle name="Normal 34 3" xfId="448"/>
    <cellStyle name="Normal 34 4" xfId="449"/>
    <cellStyle name="Normal 34 5" xfId="450"/>
    <cellStyle name="Normal 34 6" xfId="451"/>
    <cellStyle name="Normal 35" xfId="452"/>
    <cellStyle name="Normal 35 2" xfId="453"/>
    <cellStyle name="Normal 35 3" xfId="454"/>
    <cellStyle name="Normal 35 4" xfId="455"/>
    <cellStyle name="Normal 35 5" xfId="456"/>
    <cellStyle name="Normal 35 6" xfId="457"/>
    <cellStyle name="Normal 36" xfId="458"/>
    <cellStyle name="Normal 36 2" xfId="459"/>
    <cellStyle name="Normal 36 3" xfId="460"/>
    <cellStyle name="Normal 36 4" xfId="461"/>
    <cellStyle name="Normal 36 5" xfId="462"/>
    <cellStyle name="Normal 36 6" xfId="463"/>
    <cellStyle name="Normal 37" xfId="464"/>
    <cellStyle name="Normal 37 2" xfId="465"/>
    <cellStyle name="Normal 37 3" xfId="466"/>
    <cellStyle name="Normal 37 4" xfId="467"/>
    <cellStyle name="Normal 37 5" xfId="468"/>
    <cellStyle name="Normal 37 6" xfId="469"/>
    <cellStyle name="Normal 38" xfId="470"/>
    <cellStyle name="Normal 38 2" xfId="471"/>
    <cellStyle name="Normal 38 3" xfId="472"/>
    <cellStyle name="Normal 38 4" xfId="473"/>
    <cellStyle name="Normal 38 5" xfId="474"/>
    <cellStyle name="Normal 38 6" xfId="475"/>
    <cellStyle name="Normal 39" xfId="476"/>
    <cellStyle name="Normal 39 2" xfId="477"/>
    <cellStyle name="Normal 39 3" xfId="478"/>
    <cellStyle name="Normal 39 4" xfId="479"/>
    <cellStyle name="Normal 39 5" xfId="480"/>
    <cellStyle name="Normal 39 6" xfId="481"/>
    <cellStyle name="Normal 3_Cédulas 12-31-2009" xfId="482"/>
    <cellStyle name="Normal 4" xfId="483"/>
    <cellStyle name="Normal 4 2" xfId="484"/>
    <cellStyle name="Normal 40" xfId="485"/>
    <cellStyle name="Normal 41" xfId="486"/>
    <cellStyle name="Normal 41 2" xfId="487"/>
    <cellStyle name="Normal 41 3" xfId="488"/>
    <cellStyle name="Normal 41 4" xfId="489"/>
    <cellStyle name="Normal 41 5" xfId="490"/>
    <cellStyle name="Normal 41 6" xfId="491"/>
    <cellStyle name="Normal 42" xfId="492"/>
    <cellStyle name="Normal 42 2" xfId="493"/>
    <cellStyle name="Normal 42 3" xfId="494"/>
    <cellStyle name="Normal 42 4" xfId="495"/>
    <cellStyle name="Normal 42 5" xfId="496"/>
    <cellStyle name="Normal 42 6" xfId="497"/>
    <cellStyle name="Normal 43" xfId="498"/>
    <cellStyle name="Normal 44" xfId="499"/>
    <cellStyle name="Normal 45" xfId="500"/>
    <cellStyle name="Normal 46" xfId="501"/>
    <cellStyle name="Normal 47" xfId="502"/>
    <cellStyle name="Normal 47 2" xfId="503"/>
    <cellStyle name="Normal 48" xfId="504"/>
    <cellStyle name="Normal 49" xfId="505"/>
    <cellStyle name="Normal 5" xfId="506"/>
    <cellStyle name="Normal 5 10" xfId="507"/>
    <cellStyle name="Normal 5 11" xfId="508"/>
    <cellStyle name="Normal 5 12" xfId="509"/>
    <cellStyle name="Normal 5 2" xfId="510"/>
    <cellStyle name="Normal 5 3" xfId="511"/>
    <cellStyle name="Normal 5 4" xfId="512"/>
    <cellStyle name="Normal 5 5" xfId="513"/>
    <cellStyle name="Normal 5 6" xfId="514"/>
    <cellStyle name="Normal 5 7" xfId="515"/>
    <cellStyle name="Normal 5 8" xfId="516"/>
    <cellStyle name="Normal 5 9" xfId="517"/>
    <cellStyle name="Normal 50" xfId="518"/>
    <cellStyle name="Normal 51" xfId="519"/>
    <cellStyle name="Normal 51 2" xfId="520"/>
    <cellStyle name="Normal 52" xfId="521"/>
    <cellStyle name="Normal 53" xfId="522"/>
    <cellStyle name="Normal 54" xfId="523"/>
    <cellStyle name="Normal 55" xfId="524"/>
    <cellStyle name="Normal 56" xfId="525"/>
    <cellStyle name="Normal 57" xfId="526"/>
    <cellStyle name="Normal 58" xfId="527"/>
    <cellStyle name="Normal 59" xfId="528"/>
    <cellStyle name="Normal 5_Prueba de Sueldos 2" xfId="529"/>
    <cellStyle name="Normal 6" xfId="530"/>
    <cellStyle name="Normal 6 2" xfId="531"/>
    <cellStyle name="Normal 6 3" xfId="532"/>
    <cellStyle name="Normal 6 4" xfId="533"/>
    <cellStyle name="Normal 6 5" xfId="534"/>
    <cellStyle name="Normal 6 6" xfId="535"/>
    <cellStyle name="Normal 6 7" xfId="536"/>
    <cellStyle name="Normal 6 8" xfId="537"/>
    <cellStyle name="Normal 60" xfId="538"/>
    <cellStyle name="Normal 61" xfId="539"/>
    <cellStyle name="Normal 62" xfId="540"/>
    <cellStyle name="Normal 63" xfId="541"/>
    <cellStyle name="Normal 63 2" xfId="542"/>
    <cellStyle name="Normal 63_prestamos bancarios " xfId="543"/>
    <cellStyle name="Normal 64" xfId="544"/>
    <cellStyle name="Normal 65" xfId="545"/>
    <cellStyle name="Normal 66" xfId="546"/>
    <cellStyle name="Normal 6_Prueba de Sueldos 2" xfId="547"/>
    <cellStyle name="Normal 7" xfId="548"/>
    <cellStyle name="Normal 7 2" xfId="549"/>
    <cellStyle name="Normal 7 3" xfId="550"/>
    <cellStyle name="Normal 7 4" xfId="551"/>
    <cellStyle name="Normal 7 5" xfId="552"/>
    <cellStyle name="Normal 7 6" xfId="553"/>
    <cellStyle name="Normal 8" xfId="554"/>
    <cellStyle name="Normal 8 2" xfId="555"/>
    <cellStyle name="Normal 8 3" xfId="556"/>
    <cellStyle name="Normal 8 4" xfId="557"/>
    <cellStyle name="Normal 8 5" xfId="558"/>
    <cellStyle name="Normal 8 6" xfId="559"/>
    <cellStyle name="Normal 80" xfId="560"/>
    <cellStyle name="Normal 8_R8-001 Papeles de Trabajo 2009 betsy" xfId="561"/>
    <cellStyle name="Normal 9" xfId="562"/>
    <cellStyle name="Normal 9 2" xfId="563"/>
    <cellStyle name="Normal 9 3" xfId="564"/>
    <cellStyle name="Normal 9 4" xfId="565"/>
    <cellStyle name="Normal 9 5" xfId="566"/>
    <cellStyle name="Normal 9 6" xfId="567"/>
    <cellStyle name="Normal 9_Cédulas 12-31-2009" xfId="568"/>
    <cellStyle name="PESO" xfId="569"/>
    <cellStyle name="PESO 2" xfId="570"/>
    <cellStyle name="PESO 3" xfId="571"/>
    <cellStyle name="PESO 4" xfId="572"/>
    <cellStyle name="PESO 5" xfId="573"/>
    <cellStyle name="PESO 6" xfId="574"/>
    <cellStyle name="PESO_Cédulas 12-31-2009" xfId="575"/>
    <cellStyle name="Piloto de Datos Campo" xfId="576"/>
    <cellStyle name="Piloto de Datos Resultado" xfId="577"/>
    <cellStyle name="Piloto de Datos Título" xfId="578"/>
    <cellStyle name="Piloto de Datos Valor" xfId="579"/>
    <cellStyle name="Piloto de Datos Ángulo" xfId="580"/>
    <cellStyle name="Porcentaje 2" xfId="581"/>
    <cellStyle name="Porcentual 10" xfId="582"/>
    <cellStyle name="Porcentual 2" xfId="583"/>
    <cellStyle name="Porcentual 2 2" xfId="584"/>
    <cellStyle name="Porcentual 2 2 2" xfId="585"/>
    <cellStyle name="Porcentual 2 3" xfId="586"/>
    <cellStyle name="Porcentual 3" xfId="587"/>
    <cellStyle name="Porcentual 3 2" xfId="588"/>
    <cellStyle name="Porcentual 3 3" xfId="589"/>
    <cellStyle name="Porcentual 3 4" xfId="590"/>
    <cellStyle name="Porcentual 4" xfId="591"/>
    <cellStyle name="Porcentual 5" xfId="592"/>
    <cellStyle name="Porcentual 6" xfId="593"/>
    <cellStyle name="Porcentual 7" xfId="594"/>
    <cellStyle name="Porcentual 8" xfId="595"/>
    <cellStyle name="Porcentual 8 2" xfId="596"/>
    <cellStyle name="Porcentual 9" xfId="597"/>
    <cellStyle name="STYLE1" xfId="598"/>
    <cellStyle name="STYLE2" xfId="599"/>
    <cellStyle name="STYLE3" xfId="600"/>
    <cellStyle name="STYLE4" xfId="60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externalLink" Target="externalLinks/externalLink1.xml"/><Relationship Id="rId2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tefita/Escritorio/CPAALMEIDA/telconet/home/stefita/Escritorio/CPAALMEIDA/telconet/Users/malmeida/AppData/Local/Microsoft/Windows/Temporary%20Internet%20Files/Content.Outlook/UNUCO3KS/Plantilla%20Telconet%20y%20Subsidiarias%202015%20-%20cop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Q85"/>
  <sheetViews>
    <sheetView showFormulas="false" showGridLines="true" showRowColHeaders="true" showZeros="true" rightToLeft="false" tabSelected="false" showOutlineSymbols="true" defaultGridColor="true" view="normal" topLeftCell="A46" colorId="64" zoomScale="80" zoomScaleNormal="80" zoomScalePageLayoutView="100" workbookViewId="0">
      <selection pane="topLeft" activeCell="J18" activeCellId="0" sqref="J18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47.7"/>
    <col collapsed="false" customWidth="true" hidden="true" outlineLevel="0" max="2" min="2" style="0" width="17.71"/>
    <col collapsed="false" customWidth="true" hidden="true" outlineLevel="0" max="3" min="3" style="0" width="23.15"/>
    <col collapsed="false" customWidth="true" hidden="true" outlineLevel="0" max="14" min="4" style="0" width="17.71"/>
    <col collapsed="false" customWidth="true" hidden="true" outlineLevel="0" max="15" min="15" style="0" width="9.59"/>
    <col collapsed="false" customWidth="true" hidden="true" outlineLevel="0" max="17" min="16" style="0" width="14.15"/>
    <col collapsed="false" customWidth="true" hidden="true" outlineLevel="0" max="18" min="18" style="0" width="27.99"/>
    <col collapsed="false" customWidth="true" hidden="false" outlineLevel="0" max="19" min="19" style="0" width="23.42"/>
    <col collapsed="false" customWidth="true" hidden="false" outlineLevel="0" max="20" min="20" style="0" width="20.42"/>
    <col collapsed="false" customWidth="true" hidden="false" outlineLevel="0" max="21" min="21" style="0" width="21.14"/>
    <col collapsed="false" customWidth="true" hidden="false" outlineLevel="0" max="22" min="22" style="0" width="18"/>
    <col collapsed="false" customWidth="true" hidden="false" outlineLevel="0" max="24" min="23" style="0" width="16.87"/>
    <col collapsed="false" customWidth="true" hidden="false" outlineLevel="0" max="25" min="25" style="0" width="12.57"/>
    <col collapsed="false" customWidth="true" hidden="false" outlineLevel="0" max="26" min="26" style="0" width="15.88"/>
    <col collapsed="false" customWidth="true" hidden="false" outlineLevel="0" max="27" min="27" style="0" width="16.29"/>
    <col collapsed="false" customWidth="true" hidden="false" outlineLevel="0" max="30" min="28" style="0" width="14.28"/>
    <col collapsed="false" customWidth="true" hidden="false" outlineLevel="0" max="31" min="31" style="0" width="18"/>
    <col collapsed="false" customWidth="true" hidden="false" outlineLevel="0" max="32" min="32" style="0" width="8.29"/>
    <col collapsed="false" customWidth="true" hidden="false" outlineLevel="0" max="33" min="33" style="0" width="15.88"/>
    <col collapsed="false" customWidth="true" hidden="false" outlineLevel="0" max="34" min="34" style="0" width="15.29"/>
    <col collapsed="false" customWidth="true" hidden="false" outlineLevel="0" max="35" min="35" style="0" width="17.4"/>
    <col collapsed="false" customWidth="true" hidden="true" outlineLevel="0" max="36" min="36" style="0" width="17.4"/>
    <col collapsed="false" customWidth="true" hidden="true" outlineLevel="0" max="37" min="37" style="0" width="19"/>
    <col collapsed="false" customWidth="true" hidden="false" outlineLevel="0" max="38" min="38" style="0" width="14.28"/>
    <col collapsed="false" customWidth="true" hidden="false" outlineLevel="0" max="39" min="39" style="0" width="14.43"/>
    <col collapsed="false" customWidth="true" hidden="false" outlineLevel="0" max="41" min="41" style="0" width="14.01"/>
    <col collapsed="false" customWidth="true" hidden="false" outlineLevel="0" max="42" min="42" style="0" width="13.29"/>
  </cols>
  <sheetData>
    <row r="1" customFormat="false" ht="15" hidden="false" customHeight="false" outlineLevel="0" collapsed="false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customFormat="false" ht="15" hidden="false" customHeight="false" outlineLevel="0" collapsed="false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customFormat="false" ht="24.75" hidden="false" customHeight="true" outlineLevel="0" collapsed="false">
      <c r="A3" s="7"/>
      <c r="C3" s="7"/>
      <c r="F3" s="8"/>
      <c r="G3" s="4"/>
      <c r="P3" s="9" t="s">
        <v>2</v>
      </c>
      <c r="Q3" s="9"/>
      <c r="V3" s="4"/>
      <c r="AG3" s="9" t="s">
        <v>2</v>
      </c>
      <c r="AH3" s="9"/>
    </row>
    <row r="4" customFormat="false" ht="78" hidden="false" customHeight="true" outlineLevel="0" collapsed="false">
      <c r="A4" s="10" t="s">
        <v>3</v>
      </c>
      <c r="B4" s="11" t="s">
        <v>4</v>
      </c>
      <c r="C4" s="10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  <c r="T4" s="1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1" t="s">
        <v>27</v>
      </c>
      <c r="Z4" s="11" t="s">
        <v>28</v>
      </c>
      <c r="AA4" s="11" t="s">
        <v>29</v>
      </c>
      <c r="AB4" s="11" t="s">
        <v>30</v>
      </c>
      <c r="AC4" s="11" t="s">
        <v>31</v>
      </c>
      <c r="AD4" s="11" t="s">
        <v>32</v>
      </c>
      <c r="AE4" s="11" t="s">
        <v>16</v>
      </c>
      <c r="AF4" s="11" t="s">
        <v>17</v>
      </c>
      <c r="AG4" s="11" t="s">
        <v>18</v>
      </c>
      <c r="AH4" s="11" t="s">
        <v>19</v>
      </c>
      <c r="AI4" s="11" t="s">
        <v>33</v>
      </c>
      <c r="AJ4" s="11" t="s">
        <v>5</v>
      </c>
      <c r="AK4" s="11" t="s">
        <v>34</v>
      </c>
    </row>
    <row r="5" s="17" customFormat="true" ht="15.75" hidden="false" customHeight="true" outlineLevel="0" collapsed="false">
      <c r="A5" s="12" t="s">
        <v>35</v>
      </c>
      <c r="B5" s="13" t="n">
        <v>2767055</v>
      </c>
      <c r="C5" s="14" t="n">
        <f aca="false">D5-B5</f>
        <v>0</v>
      </c>
      <c r="D5" s="13" t="n">
        <v>2767055</v>
      </c>
      <c r="E5" s="13" t="n">
        <v>11901</v>
      </c>
      <c r="F5" s="13" t="n">
        <v>2651.43</v>
      </c>
      <c r="G5" s="13" t="n">
        <v>67392.38</v>
      </c>
      <c r="H5" s="13" t="n">
        <v>914.33</v>
      </c>
      <c r="I5" s="13" t="n">
        <v>0</v>
      </c>
      <c r="J5" s="13" t="n">
        <v>0</v>
      </c>
      <c r="K5" s="13" t="n">
        <v>10000</v>
      </c>
      <c r="L5" s="13" t="n">
        <v>0</v>
      </c>
      <c r="M5" s="13" t="n">
        <v>800</v>
      </c>
      <c r="N5" s="15" t="n">
        <f aca="false">SUM(D5:M5)</f>
        <v>2860714.14</v>
      </c>
      <c r="O5" s="16"/>
      <c r="P5" s="13"/>
      <c r="Q5" s="13"/>
      <c r="R5" s="13" t="n">
        <f aca="false">N5+P5-Q5</f>
        <v>2860714.14</v>
      </c>
      <c r="S5" s="13" t="n">
        <v>1607132</v>
      </c>
      <c r="T5" s="13" t="n">
        <v>42926</v>
      </c>
      <c r="U5" s="13" t="n">
        <v>6856</v>
      </c>
      <c r="V5" s="13" t="n">
        <v>2227</v>
      </c>
      <c r="W5" s="13" t="n">
        <v>3845</v>
      </c>
      <c r="X5" s="13" t="n">
        <v>0</v>
      </c>
      <c r="Y5" s="13" t="n">
        <v>0</v>
      </c>
      <c r="Z5" s="13" t="n">
        <v>10000</v>
      </c>
      <c r="AA5" s="13" t="n">
        <v>0</v>
      </c>
      <c r="AB5" s="13" t="n">
        <v>5631</v>
      </c>
      <c r="AC5" s="13" t="n">
        <v>10301</v>
      </c>
      <c r="AD5" s="13" t="n">
        <v>53644</v>
      </c>
      <c r="AE5" s="15" t="n">
        <f aca="false">SUM(S5:AD5)</f>
        <v>1742562</v>
      </c>
      <c r="AF5" s="16"/>
      <c r="AG5" s="13"/>
      <c r="AH5" s="13"/>
      <c r="AI5" s="13" t="n">
        <f aca="false">AE5+AG5-AH5</f>
        <v>1742562</v>
      </c>
      <c r="AJ5" s="13" t="n">
        <f aca="false">AI5-AK5</f>
        <v>-1118152</v>
      </c>
      <c r="AK5" s="13" t="n">
        <v>2860714</v>
      </c>
    </row>
    <row r="6" s="17" customFormat="true" ht="27.75" hidden="false" customHeight="true" outlineLevel="0" collapsed="false">
      <c r="A6" s="12" t="s">
        <v>36</v>
      </c>
      <c r="B6" s="13" t="n">
        <v>1874777</v>
      </c>
      <c r="C6" s="14" t="n">
        <f aca="false">D6-B6</f>
        <v>0</v>
      </c>
      <c r="D6" s="13" t="n">
        <v>1874777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  <c r="N6" s="15" t="n">
        <f aca="false">SUM(D6:M6)</f>
        <v>1874777</v>
      </c>
      <c r="O6" s="16"/>
      <c r="P6" s="13"/>
      <c r="Q6" s="13"/>
      <c r="R6" s="13" t="n">
        <f aca="false">N6+P6-Q6</f>
        <v>1874777</v>
      </c>
      <c r="S6" s="13" t="n">
        <v>2644455</v>
      </c>
      <c r="T6" s="13" t="n">
        <v>0</v>
      </c>
      <c r="U6" s="13" t="n">
        <v>0</v>
      </c>
      <c r="V6" s="13" t="n">
        <v>0</v>
      </c>
      <c r="W6" s="13" t="n">
        <v>0</v>
      </c>
      <c r="X6" s="13" t="n">
        <v>0</v>
      </c>
      <c r="Y6" s="13" t="n">
        <v>0</v>
      </c>
      <c r="Z6" s="13" t="n">
        <v>0</v>
      </c>
      <c r="AA6" s="13" t="n">
        <v>0</v>
      </c>
      <c r="AB6" s="13" t="n">
        <v>0</v>
      </c>
      <c r="AC6" s="13" t="n">
        <v>0</v>
      </c>
      <c r="AD6" s="13" t="n">
        <v>0</v>
      </c>
      <c r="AE6" s="15" t="n">
        <f aca="false">SUM(S6:AD6)</f>
        <v>2644455</v>
      </c>
      <c r="AF6" s="16"/>
      <c r="AG6" s="13"/>
      <c r="AH6" s="13"/>
      <c r="AI6" s="13" t="n">
        <f aca="false">AE6+AG6-AH6</f>
        <v>2644455</v>
      </c>
      <c r="AJ6" s="13" t="n">
        <f aca="false">AI6-AK6</f>
        <v>769678</v>
      </c>
      <c r="AK6" s="13" t="n">
        <v>1874777</v>
      </c>
    </row>
    <row r="7" s="17" customFormat="true" ht="26.25" hidden="false" customHeight="true" outlineLevel="0" collapsed="false">
      <c r="A7" s="12" t="s">
        <v>37</v>
      </c>
      <c r="B7" s="13" t="n">
        <v>4274933</v>
      </c>
      <c r="C7" s="14" t="n">
        <f aca="false">D7-B7</f>
        <v>0</v>
      </c>
      <c r="D7" s="13" t="n">
        <v>4274933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5" t="n">
        <f aca="false">SUM(D7:M7)</f>
        <v>4274933</v>
      </c>
      <c r="O7" s="16"/>
      <c r="P7" s="13"/>
      <c r="Q7" s="13"/>
      <c r="R7" s="13" t="n">
        <f aca="false">N7+P7-Q7</f>
        <v>4274933</v>
      </c>
      <c r="S7" s="13" t="n">
        <v>102620</v>
      </c>
      <c r="T7" s="13" t="n">
        <v>0</v>
      </c>
      <c r="U7" s="13" t="n">
        <v>0</v>
      </c>
      <c r="V7" s="13" t="n">
        <v>0</v>
      </c>
      <c r="W7" s="13" t="n">
        <v>0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5" t="n">
        <f aca="false">SUM(S7:AD7)</f>
        <v>102620</v>
      </c>
      <c r="AF7" s="16"/>
      <c r="AG7" s="13"/>
      <c r="AH7" s="13"/>
      <c r="AI7" s="13" t="n">
        <f aca="false">AE7+AG7-AH7</f>
        <v>102620</v>
      </c>
      <c r="AJ7" s="13" t="n">
        <f aca="false">AI7-AK7</f>
        <v>-4172313</v>
      </c>
      <c r="AK7" s="13" t="n">
        <v>4274933</v>
      </c>
    </row>
    <row r="8" s="17" customFormat="true" ht="15.75" hidden="false" customHeight="true" outlineLevel="0" collapsed="false">
      <c r="A8" s="12" t="s">
        <v>38</v>
      </c>
      <c r="B8" s="13" t="n">
        <v>18677464</v>
      </c>
      <c r="C8" s="14" t="n">
        <f aca="false">D8-B8</f>
        <v>0</v>
      </c>
      <c r="D8" s="13" t="n">
        <v>18677464</v>
      </c>
      <c r="E8" s="13" t="n">
        <v>0</v>
      </c>
      <c r="F8" s="13" t="n">
        <v>0</v>
      </c>
      <c r="G8" s="13" t="n">
        <v>0</v>
      </c>
      <c r="H8" s="13" t="n">
        <f aca="false">13716.03-435.11</f>
        <v>13280.92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5" t="n">
        <f aca="false">SUM(D8:M8)</f>
        <v>18690744.92</v>
      </c>
      <c r="O8" s="16"/>
      <c r="P8" s="13"/>
      <c r="Q8" s="13"/>
      <c r="R8" s="13" t="n">
        <f aca="false">N8+P8-Q8</f>
        <v>18690744.92</v>
      </c>
      <c r="S8" s="18" t="n">
        <v>10565005</v>
      </c>
      <c r="T8" s="13" t="n">
        <v>4461516</v>
      </c>
      <c r="U8" s="13" t="n">
        <v>273861</v>
      </c>
      <c r="V8" s="13" t="n">
        <v>0</v>
      </c>
      <c r="W8" s="13" t="n">
        <v>18892</v>
      </c>
      <c r="X8" s="13" t="n">
        <v>0</v>
      </c>
      <c r="Y8" s="13" t="n">
        <v>0</v>
      </c>
      <c r="Z8" s="13" t="n">
        <v>0</v>
      </c>
      <c r="AA8" s="13" t="n">
        <v>0</v>
      </c>
      <c r="AB8" s="13" t="n">
        <v>41672</v>
      </c>
      <c r="AC8" s="13" t="n">
        <f aca="false">81977-46414</f>
        <v>35563</v>
      </c>
      <c r="AD8" s="13" t="n">
        <v>166895</v>
      </c>
      <c r="AE8" s="15" t="n">
        <f aca="false">SUM(S8:AD8)</f>
        <v>15563404</v>
      </c>
      <c r="AF8" s="16" t="s">
        <v>39</v>
      </c>
      <c r="AG8" s="13"/>
      <c r="AH8" s="13" t="n">
        <f aca="false">+'Diarios Cxc Cxp relac (c)'!E36</f>
        <v>0</v>
      </c>
      <c r="AI8" s="13" t="n">
        <f aca="false">AE8+AG8-AH8</f>
        <v>15563404</v>
      </c>
      <c r="AJ8" s="13" t="n">
        <f aca="false">AI8-AK8</f>
        <v>-3127341</v>
      </c>
      <c r="AK8" s="13" t="n">
        <v>18690745</v>
      </c>
      <c r="AL8" s="17" t="n">
        <v>2620913.81</v>
      </c>
      <c r="AM8" s="19" t="n">
        <f aca="false">T8-AL8</f>
        <v>1840602.19</v>
      </c>
    </row>
    <row r="9" s="25" customFormat="true" ht="15" hidden="false" customHeight="false" outlineLevel="0" collapsed="false">
      <c r="A9" s="20" t="s">
        <v>40</v>
      </c>
      <c r="B9" s="21" t="n">
        <v>7836813</v>
      </c>
      <c r="C9" s="22" t="n">
        <f aca="false">D9-B9</f>
        <v>505882</v>
      </c>
      <c r="D9" s="21" t="n">
        <v>8342695</v>
      </c>
      <c r="E9" s="21" t="n">
        <v>116867</v>
      </c>
      <c r="F9" s="21" t="n">
        <f aca="false">900.42+10742.79</f>
        <v>11643.21</v>
      </c>
      <c r="G9" s="21" t="n">
        <v>1646872.1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3" t="n">
        <f aca="false">SUM(D9:M9)</f>
        <v>10118077.31</v>
      </c>
      <c r="O9" s="24" t="s">
        <v>41</v>
      </c>
      <c r="P9" s="21"/>
      <c r="Q9" s="21" t="n">
        <f aca="false">+'Asientos - para Consolidado'!E69+'Asientos - para Consolidado'!E66+'Asientos - para Consolidado'!E67+'Asientos - para Consolidado'!E68+'Asientos - para Consolidado'!E70</f>
        <v>6488095.89</v>
      </c>
      <c r="R9" s="21" t="n">
        <f aca="false">N9+P9-Q9</f>
        <v>3629981.42</v>
      </c>
      <c r="S9" s="21" t="n">
        <v>32908556</v>
      </c>
      <c r="T9" s="21" t="n">
        <v>2044176</v>
      </c>
      <c r="U9" s="21" t="n">
        <v>717537</v>
      </c>
      <c r="V9" s="21" t="n">
        <v>990080</v>
      </c>
      <c r="W9" s="21" t="n">
        <v>0</v>
      </c>
      <c r="X9" s="21" t="n">
        <v>0</v>
      </c>
      <c r="Y9" s="21" t="n">
        <v>0</v>
      </c>
      <c r="Z9" s="21" t="n">
        <v>0</v>
      </c>
      <c r="AA9" s="21" t="n">
        <v>0</v>
      </c>
      <c r="AB9" s="21" t="n">
        <v>0</v>
      </c>
      <c r="AC9" s="21" t="n">
        <v>0</v>
      </c>
      <c r="AD9" s="21" t="n">
        <v>10000</v>
      </c>
      <c r="AE9" s="23" t="n">
        <f aca="false">SUM(S9:AD9)</f>
        <v>36670349</v>
      </c>
      <c r="AF9" s="24" t="s">
        <v>39</v>
      </c>
      <c r="AG9" s="21"/>
      <c r="AH9" s="21" t="n">
        <f aca="false">+'Diarios Cxc Cxp relac (c)'!E33</f>
        <v>8986223</v>
      </c>
      <c r="AI9" s="21" t="n">
        <f aca="false">AE9+AG9-AH9</f>
        <v>27684126</v>
      </c>
      <c r="AJ9" s="21" t="n">
        <f aca="false">AI9-AK9</f>
        <v>24054145</v>
      </c>
      <c r="AK9" s="21" t="n">
        <v>3629981</v>
      </c>
    </row>
    <row r="10" s="17" customFormat="true" ht="15.75" hidden="false" customHeight="true" outlineLevel="0" collapsed="false">
      <c r="A10" s="12" t="s">
        <v>42</v>
      </c>
      <c r="B10" s="13" t="n">
        <v>7558486</v>
      </c>
      <c r="C10" s="14" t="n">
        <f aca="false">D10-B10</f>
        <v>-505882</v>
      </c>
      <c r="D10" s="13" t="n">
        <v>7052604</v>
      </c>
      <c r="E10" s="13" t="n">
        <v>0</v>
      </c>
      <c r="F10" s="13" t="n">
        <v>0</v>
      </c>
      <c r="G10" s="13" t="n">
        <v>0</v>
      </c>
      <c r="H10" s="13" t="n">
        <v>13467.8</v>
      </c>
      <c r="I10" s="13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5" t="n">
        <f aca="false">SUM(D10:M10)</f>
        <v>7066071.8</v>
      </c>
      <c r="O10" s="16" t="s">
        <v>41</v>
      </c>
      <c r="P10" s="13"/>
      <c r="Q10" s="13"/>
      <c r="R10" s="13" t="n">
        <f aca="false">N10+P10-Q10</f>
        <v>7066071.8</v>
      </c>
      <c r="S10" s="13" t="n">
        <v>5481731</v>
      </c>
      <c r="T10" s="13" t="n">
        <v>4477</v>
      </c>
      <c r="U10" s="13" t="n">
        <v>0</v>
      </c>
      <c r="V10" s="13" t="n">
        <v>0</v>
      </c>
      <c r="W10" s="13"/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448</v>
      </c>
      <c r="AC10" s="13" t="n">
        <f aca="false">35886+1569+4835</f>
        <v>42290</v>
      </c>
      <c r="AD10" s="13" t="n">
        <v>9502</v>
      </c>
      <c r="AE10" s="15" t="n">
        <f aca="false">SUM(S10:AD10)</f>
        <v>5538448</v>
      </c>
      <c r="AF10" s="16" t="s">
        <v>39</v>
      </c>
      <c r="AG10" s="13"/>
      <c r="AH10" s="13" t="n">
        <f aca="false">'Diarios Cxc Cxp relac (c)'!E35</f>
        <v>0</v>
      </c>
      <c r="AI10" s="13" t="n">
        <f aca="false">AE10+AG10-AH10</f>
        <v>5538448</v>
      </c>
      <c r="AJ10" s="13" t="n">
        <f aca="false">AI10-AK10</f>
        <v>-1527624</v>
      </c>
      <c r="AK10" s="13" t="n">
        <v>7066072</v>
      </c>
    </row>
    <row r="11" s="17" customFormat="true" ht="15.75" hidden="false" customHeight="true" outlineLevel="0" collapsed="false">
      <c r="A11" s="12" t="s">
        <v>43</v>
      </c>
      <c r="B11" s="13" t="n">
        <v>1085701</v>
      </c>
      <c r="C11" s="14" t="n">
        <f aca="false">D11-B11</f>
        <v>0</v>
      </c>
      <c r="D11" s="13" t="n">
        <v>1085701</v>
      </c>
      <c r="E11" s="13" t="n">
        <v>0</v>
      </c>
      <c r="F11" s="13" t="n">
        <f aca="false">557539.9+7.5</f>
        <v>557547.4</v>
      </c>
      <c r="G11" s="13" t="n">
        <v>130431.64</v>
      </c>
      <c r="H11" s="13" t="n">
        <f aca="false">13300.66+68836.97</f>
        <v>82137.63</v>
      </c>
      <c r="I11" s="13" t="n">
        <v>0</v>
      </c>
      <c r="J11" s="13" t="n">
        <f aca="false">6821.11+1167.48</f>
        <v>7988.59</v>
      </c>
      <c r="K11" s="13" t="n">
        <v>0</v>
      </c>
      <c r="L11" s="13" t="n">
        <v>0</v>
      </c>
      <c r="M11" s="13" t="n">
        <v>0</v>
      </c>
      <c r="N11" s="15" t="n">
        <f aca="false">SUM(D11:M11)</f>
        <v>1863806.26</v>
      </c>
      <c r="O11" s="16"/>
      <c r="P11" s="13"/>
      <c r="Q11" s="13"/>
      <c r="R11" s="13" t="n">
        <f aca="false">N11+P11-Q11</f>
        <v>1863806.26</v>
      </c>
      <c r="S11" s="18" t="n">
        <v>480186</v>
      </c>
      <c r="T11" s="13" t="n">
        <v>0</v>
      </c>
      <c r="U11" s="13" t="n">
        <v>60656</v>
      </c>
      <c r="V11" s="13" t="n">
        <v>134914</v>
      </c>
      <c r="W11" s="13" t="n">
        <v>123577</v>
      </c>
      <c r="X11" s="13" t="n">
        <v>0</v>
      </c>
      <c r="Y11" s="13" t="n">
        <v>7989</v>
      </c>
      <c r="Z11" s="13" t="n">
        <v>0</v>
      </c>
      <c r="AA11" s="13" t="n">
        <v>0</v>
      </c>
      <c r="AB11" s="13" t="n">
        <v>242520</v>
      </c>
      <c r="AC11" s="13" t="n">
        <v>74937</v>
      </c>
      <c r="AD11" s="13" t="s">
        <v>44</v>
      </c>
      <c r="AE11" s="15" t="n">
        <f aca="false">SUM(S11:AD11)</f>
        <v>1124779</v>
      </c>
      <c r="AF11" s="16"/>
      <c r="AG11" s="13"/>
      <c r="AH11" s="13"/>
      <c r="AI11" s="13" t="n">
        <f aca="false">AE11+AG11-AH11</f>
        <v>1124779</v>
      </c>
      <c r="AJ11" s="13" t="n">
        <f aca="false">AI11-AK11</f>
        <v>-739027</v>
      </c>
      <c r="AK11" s="13" t="n">
        <v>1863806</v>
      </c>
    </row>
    <row r="12" customFormat="false" ht="15.75" hidden="false" customHeight="true" outlineLevel="0" collapsed="false">
      <c r="A12" s="26" t="s">
        <v>45</v>
      </c>
      <c r="B12" s="27" t="n">
        <v>2140316</v>
      </c>
      <c r="C12" s="28" t="n">
        <f aca="false">D12-B12</f>
        <v>0</v>
      </c>
      <c r="D12" s="27" t="n">
        <v>2140316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 t="n">
        <v>0</v>
      </c>
      <c r="N12" s="29" t="n">
        <f aca="false">SUM(D12:M12)</f>
        <v>2140316</v>
      </c>
      <c r="O12" s="30"/>
      <c r="P12" s="27"/>
      <c r="Q12" s="27"/>
      <c r="R12" s="27" t="n">
        <f aca="false">N12+P12-Q12</f>
        <v>2140316</v>
      </c>
      <c r="S12" s="27" t="n">
        <v>625964</v>
      </c>
      <c r="T12" s="27" t="n">
        <v>0</v>
      </c>
      <c r="U12" s="27" t="n">
        <v>152</v>
      </c>
      <c r="V12" s="27" t="n">
        <v>0</v>
      </c>
      <c r="W12" s="27" t="n">
        <v>0</v>
      </c>
      <c r="X12" s="27" t="n">
        <v>0</v>
      </c>
      <c r="Y12" s="27" t="n">
        <v>0</v>
      </c>
      <c r="Z12" s="27" t="n">
        <v>0</v>
      </c>
      <c r="AA12" s="27" t="n">
        <v>0</v>
      </c>
      <c r="AB12" s="27" t="n">
        <v>16068</v>
      </c>
      <c r="AC12" s="27" t="n">
        <v>0</v>
      </c>
      <c r="AD12" s="27" t="n">
        <v>0</v>
      </c>
      <c r="AE12" s="29" t="n">
        <f aca="false">SUM(S12:AD12)</f>
        <v>642184</v>
      </c>
      <c r="AF12" s="30"/>
      <c r="AG12" s="27"/>
      <c r="AH12" s="27"/>
      <c r="AI12" s="27" t="n">
        <f aca="false">AE12+AG12-AH12</f>
        <v>642184</v>
      </c>
      <c r="AJ12" s="27" t="n">
        <f aca="false">AI12-AK12</f>
        <v>-1498133</v>
      </c>
      <c r="AK12" s="27" t="n">
        <v>2140317</v>
      </c>
    </row>
    <row r="13" s="17" customFormat="true" ht="15.75" hidden="false" customHeight="true" outlineLevel="0" collapsed="false">
      <c r="A13" s="12" t="s">
        <v>46</v>
      </c>
      <c r="B13" s="13" t="n">
        <v>19594268</v>
      </c>
      <c r="C13" s="14" t="n">
        <f aca="false">D13-B13</f>
        <v>0</v>
      </c>
      <c r="D13" s="13" t="n">
        <v>19594268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5" t="n">
        <f aca="false">SUM(D13:M13)</f>
        <v>19594268</v>
      </c>
      <c r="O13" s="16"/>
      <c r="P13" s="13"/>
      <c r="Q13" s="13"/>
      <c r="R13" s="13" t="n">
        <f aca="false">N13+P13-Q13</f>
        <v>19594268</v>
      </c>
      <c r="S13" s="13" t="n">
        <v>14883321</v>
      </c>
      <c r="T13" s="13" t="n">
        <v>0</v>
      </c>
      <c r="U13" s="13" t="n">
        <v>1706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0</v>
      </c>
      <c r="AA13" s="13" t="n">
        <v>0</v>
      </c>
      <c r="AB13" s="13" t="n">
        <v>11306</v>
      </c>
      <c r="AC13" s="13" t="n">
        <v>0</v>
      </c>
      <c r="AD13" s="13" t="n">
        <v>0</v>
      </c>
      <c r="AE13" s="15" t="n">
        <f aca="false">SUM(S13:AD13)</f>
        <v>14896333</v>
      </c>
      <c r="AF13" s="16"/>
      <c r="AG13" s="13"/>
      <c r="AH13" s="13" t="n">
        <f aca="false">'Ventas-Compras (d)'!E30</f>
        <v>11306</v>
      </c>
      <c r="AI13" s="13" t="n">
        <f aca="false">AE13+AG13-AH13</f>
        <v>14885027</v>
      </c>
      <c r="AJ13" s="13" t="n">
        <f aca="false">AI13-AK13</f>
        <v>-4709241</v>
      </c>
      <c r="AK13" s="13" t="n">
        <v>19594268</v>
      </c>
    </row>
    <row r="14" customFormat="false" ht="15.75" hidden="false" customHeight="true" outlineLevel="0" collapsed="false">
      <c r="A14" s="26" t="s">
        <v>47</v>
      </c>
      <c r="B14" s="27" t="n">
        <v>11189237</v>
      </c>
      <c r="C14" s="28" t="n">
        <f aca="false">D14-B14</f>
        <v>0</v>
      </c>
      <c r="D14" s="27" t="n">
        <v>11189237</v>
      </c>
      <c r="E14" s="27" t="n">
        <v>0</v>
      </c>
      <c r="F14" s="27" t="n">
        <v>0</v>
      </c>
      <c r="G14" s="27" t="n">
        <v>0</v>
      </c>
      <c r="H14" s="27" t="n">
        <v>0</v>
      </c>
      <c r="I14" s="27" t="n">
        <v>0</v>
      </c>
      <c r="J14" s="27" t="n">
        <v>0</v>
      </c>
      <c r="K14" s="27" t="n">
        <v>0</v>
      </c>
      <c r="L14" s="27" t="n">
        <v>0</v>
      </c>
      <c r="M14" s="27" t="n">
        <v>0</v>
      </c>
      <c r="N14" s="29" t="n">
        <f aca="false">SUM(D14:M14)</f>
        <v>11189237</v>
      </c>
      <c r="O14" s="30"/>
      <c r="P14" s="27"/>
      <c r="Q14" s="27"/>
      <c r="R14" s="27" t="n">
        <f aca="false">N14+P14-Q14</f>
        <v>11189237</v>
      </c>
      <c r="S14" s="27" t="n">
        <v>0</v>
      </c>
      <c r="T14" s="27" t="n">
        <v>0</v>
      </c>
      <c r="U14" s="27" t="n">
        <v>0</v>
      </c>
      <c r="V14" s="27" t="n">
        <v>0</v>
      </c>
      <c r="W14" s="27" t="n">
        <v>0</v>
      </c>
      <c r="X14" s="27" t="n">
        <v>0</v>
      </c>
      <c r="Y14" s="27" t="n">
        <v>0</v>
      </c>
      <c r="Z14" s="27" t="n">
        <v>0</v>
      </c>
      <c r="AA14" s="27" t="n">
        <v>0</v>
      </c>
      <c r="AB14" s="27" t="n">
        <v>0</v>
      </c>
      <c r="AC14" s="27" t="n">
        <v>0</v>
      </c>
      <c r="AD14" s="27" t="n">
        <v>0</v>
      </c>
      <c r="AE14" s="29" t="n">
        <f aca="false">SUM(S14:AD14)</f>
        <v>0</v>
      </c>
      <c r="AF14" s="30"/>
      <c r="AG14" s="27"/>
      <c r="AH14" s="27"/>
      <c r="AI14" s="27" t="n">
        <f aca="false">AE14+AG14-AH14</f>
        <v>0</v>
      </c>
      <c r="AJ14" s="27" t="n">
        <f aca="false">AI14-AK14</f>
        <v>-11189237</v>
      </c>
      <c r="AK14" s="27" t="n">
        <v>11189237</v>
      </c>
    </row>
    <row r="15" customFormat="false" ht="15.75" hidden="false" customHeight="true" outlineLevel="0" collapsed="false">
      <c r="A15" s="26" t="s">
        <v>48</v>
      </c>
      <c r="B15" s="27" t="n">
        <v>0</v>
      </c>
      <c r="C15" s="28" t="n">
        <f aca="false">D15-B15</f>
        <v>0</v>
      </c>
      <c r="D15" s="27" t="n">
        <v>0</v>
      </c>
      <c r="E15" s="27"/>
      <c r="F15" s="27"/>
      <c r="G15" s="27"/>
      <c r="H15" s="27"/>
      <c r="I15" s="27"/>
      <c r="J15" s="27"/>
      <c r="K15" s="27"/>
      <c r="L15" s="27"/>
      <c r="M15" s="27"/>
      <c r="N15" s="29" t="n">
        <f aca="false">SUM(D15:M15)</f>
        <v>0</v>
      </c>
      <c r="O15" s="30"/>
      <c r="P15" s="27"/>
      <c r="Q15" s="27"/>
      <c r="R15" s="27" t="n">
        <f aca="false">N15+P15-Q15</f>
        <v>0</v>
      </c>
      <c r="S15" s="27" t="n">
        <v>40694</v>
      </c>
      <c r="T15" s="27" t="n">
        <v>0</v>
      </c>
      <c r="U15" s="27" t="n">
        <v>0</v>
      </c>
      <c r="V15" s="27" t="n">
        <v>0</v>
      </c>
      <c r="W15" s="27" t="n">
        <v>0</v>
      </c>
      <c r="X15" s="27" t="n">
        <v>0</v>
      </c>
      <c r="Y15" s="27" t="n">
        <v>0</v>
      </c>
      <c r="Z15" s="27" t="n">
        <v>0</v>
      </c>
      <c r="AA15" s="27" t="n">
        <v>0</v>
      </c>
      <c r="AB15" s="27" t="n">
        <v>0</v>
      </c>
      <c r="AC15" s="27" t="n">
        <v>0</v>
      </c>
      <c r="AD15" s="27" t="n">
        <v>0</v>
      </c>
      <c r="AE15" s="29" t="n">
        <f aca="false">SUM(S15:AD15)</f>
        <v>40694</v>
      </c>
      <c r="AF15" s="30" t="s">
        <v>39</v>
      </c>
      <c r="AG15" s="27"/>
      <c r="AH15" s="27" t="n">
        <f aca="false">'Diarios Cxc Cxp relac (c)'!E34</f>
        <v>40694</v>
      </c>
      <c r="AI15" s="27" t="n">
        <f aca="false">AE15+AG15-AH15</f>
        <v>0</v>
      </c>
      <c r="AJ15" s="27" t="n">
        <f aca="false">AI15-AK15</f>
        <v>0</v>
      </c>
      <c r="AK15" s="27" t="n">
        <v>0</v>
      </c>
    </row>
    <row r="16" s="17" customFormat="true" ht="15.75" hidden="false" customHeight="true" outlineLevel="0" collapsed="false">
      <c r="A16" s="12" t="s">
        <v>49</v>
      </c>
      <c r="B16" s="13" t="n">
        <v>2899664</v>
      </c>
      <c r="C16" s="14" t="n">
        <f aca="false">D16-B16</f>
        <v>0</v>
      </c>
      <c r="D16" s="13" t="n">
        <v>2899664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0</v>
      </c>
      <c r="N16" s="15" t="n">
        <f aca="false">SUM(D16:M16)</f>
        <v>2899664</v>
      </c>
      <c r="O16" s="16"/>
      <c r="P16" s="13"/>
      <c r="Q16" s="13"/>
      <c r="R16" s="13" t="n">
        <f aca="false">N16+P16-Q16</f>
        <v>2899664</v>
      </c>
      <c r="S16" s="13" t="n">
        <v>3212434</v>
      </c>
      <c r="T16" s="13" t="n">
        <v>0</v>
      </c>
      <c r="U16" s="13" t="n">
        <v>0</v>
      </c>
      <c r="V16" s="13" t="n">
        <v>0</v>
      </c>
      <c r="W16" s="13" t="n">
        <v>0</v>
      </c>
      <c r="X16" s="13" t="n">
        <v>0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  <c r="AD16" s="13" t="n">
        <v>0</v>
      </c>
      <c r="AE16" s="15" t="n">
        <f aca="false">SUM(S16:AD16)</f>
        <v>3212434</v>
      </c>
      <c r="AF16" s="16"/>
      <c r="AG16" s="13"/>
      <c r="AH16" s="13"/>
      <c r="AI16" s="13" t="n">
        <f aca="false">AE16+AG16-AH16</f>
        <v>3212434</v>
      </c>
      <c r="AJ16" s="13" t="n">
        <f aca="false">AI16-AK16</f>
        <v>312770</v>
      </c>
      <c r="AK16" s="13" t="n">
        <v>2899664</v>
      </c>
      <c r="AO16" s="19" t="n">
        <f aca="false">S16-AI16</f>
        <v>0</v>
      </c>
    </row>
    <row r="17" customFormat="false" ht="15.75" hidden="false" customHeight="true" outlineLevel="0" collapsed="false">
      <c r="A17" s="26" t="s">
        <v>50</v>
      </c>
      <c r="B17" s="27" t="n">
        <v>57179789</v>
      </c>
      <c r="C17" s="28" t="n">
        <f aca="false">D17-B17</f>
        <v>-1084012</v>
      </c>
      <c r="D17" s="27" t="n">
        <v>56095777</v>
      </c>
      <c r="E17" s="27" t="n">
        <v>0</v>
      </c>
      <c r="F17" s="27" t="n">
        <f aca="false">152350+3565270.86</f>
        <v>3717620.86</v>
      </c>
      <c r="G17" s="27" t="n">
        <v>471133.12</v>
      </c>
      <c r="H17" s="27" t="n">
        <f aca="false">110964+150978.89+358100.26-353189.6</f>
        <v>266853.55</v>
      </c>
      <c r="I17" s="27" t="n">
        <v>400660.97</v>
      </c>
      <c r="J17" s="27" t="n">
        <v>0</v>
      </c>
      <c r="K17" s="27" t="n">
        <v>0</v>
      </c>
      <c r="L17" s="27" t="n">
        <f aca="false">1140.17</f>
        <v>1140.17</v>
      </c>
      <c r="M17" s="27" t="n">
        <v>0</v>
      </c>
      <c r="N17" s="29" t="n">
        <f aca="false">SUM(D17:M17)</f>
        <v>60953185.67</v>
      </c>
      <c r="O17" s="30" t="s">
        <v>51</v>
      </c>
      <c r="P17" s="27" t="n">
        <f aca="false">+'Asientos - para Consolidado'!D33</f>
        <v>881973.000000006</v>
      </c>
      <c r="Q17" s="27"/>
      <c r="R17" s="27" t="n">
        <f aca="false">N17+P17-Q17</f>
        <v>61835158.67</v>
      </c>
      <c r="S17" s="27" t="n">
        <v>66573020</v>
      </c>
      <c r="T17" s="27" t="n">
        <v>44671913</v>
      </c>
      <c r="U17" s="27" t="n">
        <v>3233810</v>
      </c>
      <c r="V17" s="27" t="n">
        <v>33545</v>
      </c>
      <c r="W17" s="27" t="n">
        <v>218631</v>
      </c>
      <c r="X17" s="27" t="n">
        <v>373713</v>
      </c>
      <c r="Y17" s="27" t="n">
        <v>0</v>
      </c>
      <c r="Z17" s="27" t="n">
        <v>0</v>
      </c>
      <c r="AA17" s="27" t="n">
        <v>1140</v>
      </c>
      <c r="AB17" s="27" t="n">
        <v>1718909</v>
      </c>
      <c r="AC17" s="27" t="n">
        <v>367967</v>
      </c>
      <c r="AD17" s="27" t="n">
        <v>209213</v>
      </c>
      <c r="AE17" s="29" t="n">
        <f aca="false">SUM(S17:AD17)</f>
        <v>117401861</v>
      </c>
      <c r="AF17" s="30" t="s">
        <v>52</v>
      </c>
      <c r="AG17" s="27" t="n">
        <f aca="false">'Diario 2015 (a)'!C10</f>
        <v>881973.000000006</v>
      </c>
      <c r="AH17" s="27"/>
      <c r="AI17" s="27" t="n">
        <f aca="false">AE17+AG17-AH17</f>
        <v>118283834</v>
      </c>
      <c r="AJ17" s="27" t="n">
        <f aca="false">AI17-AK17</f>
        <v>56448675</v>
      </c>
      <c r="AK17" s="27" t="n">
        <v>61835159</v>
      </c>
    </row>
    <row r="18" s="17" customFormat="true" ht="15.75" hidden="false" customHeight="true" outlineLevel="0" collapsed="false">
      <c r="A18" s="12" t="s">
        <v>53</v>
      </c>
      <c r="B18" s="13" t="n">
        <v>1073683</v>
      </c>
      <c r="C18" s="14" t="n">
        <f aca="false">D18-B18</f>
        <v>-213217</v>
      </c>
      <c r="D18" s="13" t="n">
        <v>860466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5" t="n">
        <f aca="false">SUM(D18:M18)</f>
        <v>860466</v>
      </c>
      <c r="O18" s="16"/>
      <c r="P18" s="13"/>
      <c r="Q18" s="13"/>
      <c r="R18" s="13" t="n">
        <f aca="false">N18+P18-Q18</f>
        <v>860466</v>
      </c>
      <c r="S18" s="13" t="n">
        <v>661755</v>
      </c>
      <c r="T18" s="13" t="n">
        <v>0</v>
      </c>
      <c r="U18" s="13" t="n">
        <v>0</v>
      </c>
      <c r="V18" s="13" t="n">
        <v>0</v>
      </c>
      <c r="W18" s="13" t="n">
        <v>0</v>
      </c>
      <c r="X18" s="13" t="n">
        <v>0</v>
      </c>
      <c r="Y18" s="13" t="n">
        <v>0</v>
      </c>
      <c r="Z18" s="13" t="n">
        <v>0</v>
      </c>
      <c r="AA18" s="13" t="n">
        <v>0</v>
      </c>
      <c r="AB18" s="13" t="n">
        <v>0</v>
      </c>
      <c r="AC18" s="13"/>
      <c r="AD18" s="13" t="n">
        <v>0</v>
      </c>
      <c r="AE18" s="15" t="n">
        <f aca="false">SUM(S18:AD18)</f>
        <v>661755</v>
      </c>
      <c r="AF18" s="16"/>
      <c r="AG18" s="13"/>
      <c r="AH18" s="13"/>
      <c r="AI18" s="13" t="n">
        <f aca="false">AE18+AG18-AH18</f>
        <v>661755</v>
      </c>
      <c r="AJ18" s="13" t="n">
        <f aca="false">AI18-AK18</f>
        <v>-198711</v>
      </c>
      <c r="AK18" s="13" t="n">
        <v>860466</v>
      </c>
    </row>
    <row r="19" customFormat="false" ht="15.75" hidden="false" customHeight="true" outlineLevel="0" collapsed="false">
      <c r="A19" s="26" t="s">
        <v>54</v>
      </c>
      <c r="B19" s="27" t="n">
        <v>12927724</v>
      </c>
      <c r="C19" s="28" t="n">
        <f aca="false">D19-B19</f>
        <v>0</v>
      </c>
      <c r="D19" s="27" t="n">
        <v>12927724</v>
      </c>
      <c r="E19" s="27" t="n">
        <f aca="false">6749770-6747316</f>
        <v>2454</v>
      </c>
      <c r="F19" s="27" t="n">
        <v>0</v>
      </c>
      <c r="G19" s="27" t="n">
        <v>552.25</v>
      </c>
      <c r="H19" s="27" t="n">
        <f aca="false">5778.16-5778.16</f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7" t="n">
        <v>0</v>
      </c>
      <c r="N19" s="29" t="n">
        <f aca="false">SUM(D19:M19)</f>
        <v>12930730.25</v>
      </c>
      <c r="O19" s="30" t="s">
        <v>41</v>
      </c>
      <c r="P19" s="27"/>
      <c r="Q19" s="27" t="n">
        <f aca="false">+'Asientos - para Consolidado'!E71</f>
        <v>940330</v>
      </c>
      <c r="R19" s="27" t="n">
        <f aca="false">N19+P19-Q19</f>
        <v>11990400.25</v>
      </c>
      <c r="S19" s="27" t="n">
        <v>11586243</v>
      </c>
      <c r="T19" s="31" t="n">
        <v>0</v>
      </c>
      <c r="U19" s="27" t="n">
        <v>0</v>
      </c>
      <c r="V19" s="27" t="n">
        <v>0</v>
      </c>
      <c r="W19" s="27" t="n">
        <v>0</v>
      </c>
      <c r="X19" s="27" t="n">
        <v>0</v>
      </c>
      <c r="Y19" s="27" t="n">
        <v>0</v>
      </c>
      <c r="Z19" s="27" t="n">
        <v>0</v>
      </c>
      <c r="AA19" s="27" t="n">
        <v>0</v>
      </c>
      <c r="AB19" s="27" t="n">
        <v>0</v>
      </c>
      <c r="AC19" s="27" t="n">
        <v>117971</v>
      </c>
      <c r="AD19" s="27" t="n">
        <v>0</v>
      </c>
      <c r="AE19" s="29" t="n">
        <f aca="false">SUM(S19:AD19)</f>
        <v>11704214</v>
      </c>
      <c r="AF19" s="30" t="s">
        <v>51</v>
      </c>
      <c r="AG19" s="27"/>
      <c r="AH19" s="27" t="e">
        <f aca="false">#REF!</f>
        <v>#REF!</v>
      </c>
      <c r="AI19" s="27" t="e">
        <f aca="false">AE19+AG19-AH19</f>
        <v>#REF!</v>
      </c>
      <c r="AJ19" s="27" t="e">
        <f aca="false">AI19-AK19</f>
        <v>#REF!</v>
      </c>
      <c r="AK19" s="27" t="n">
        <v>11990400</v>
      </c>
      <c r="AM19" s="4" t="n">
        <f aca="false">AK19+AK25</f>
        <v>12384735</v>
      </c>
    </row>
    <row r="20" customFormat="false" ht="15" hidden="false" customHeight="false" outlineLevel="0" collapsed="false">
      <c r="A20" s="26" t="s">
        <v>55</v>
      </c>
      <c r="B20" s="27" t="n">
        <v>29438688</v>
      </c>
      <c r="C20" s="28" t="n">
        <f aca="false">D20-B20</f>
        <v>-2307659</v>
      </c>
      <c r="D20" s="27" t="n">
        <v>27131029</v>
      </c>
      <c r="E20" s="27" t="n">
        <v>0</v>
      </c>
      <c r="F20" s="27" t="n">
        <v>0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7" t="n">
        <v>0</v>
      </c>
      <c r="N20" s="29" t="n">
        <f aca="false">SUM(D20:M20)</f>
        <v>27131029</v>
      </c>
      <c r="O20" s="30" t="s">
        <v>41</v>
      </c>
      <c r="P20" s="27"/>
      <c r="Q20" s="27" t="n">
        <f aca="false">+'Asientos - para Consolidado'!E72</f>
        <v>27269564.26</v>
      </c>
      <c r="R20" s="27" t="n">
        <f aca="false">N20+P20-Q20</f>
        <v>-138535.260000002</v>
      </c>
      <c r="S20" s="27" t="n">
        <v>0</v>
      </c>
      <c r="T20" s="27" t="n">
        <v>0</v>
      </c>
      <c r="U20" s="27" t="n">
        <v>0</v>
      </c>
      <c r="V20" s="27" t="n">
        <v>0</v>
      </c>
      <c r="W20" s="27" t="n">
        <v>0</v>
      </c>
      <c r="X20" s="27" t="n">
        <v>0</v>
      </c>
      <c r="Y20" s="27" t="n">
        <v>0</v>
      </c>
      <c r="Z20" s="27" t="n">
        <v>0</v>
      </c>
      <c r="AA20" s="27" t="n">
        <v>0</v>
      </c>
      <c r="AB20" s="27" t="n">
        <v>0</v>
      </c>
      <c r="AC20" s="27" t="n">
        <v>0</v>
      </c>
      <c r="AD20" s="27" t="n">
        <v>0</v>
      </c>
      <c r="AE20" s="29" t="n">
        <f aca="false">SUM(S20:AD20)</f>
        <v>0</v>
      </c>
      <c r="AF20" s="30"/>
      <c r="AG20" s="27"/>
      <c r="AH20" s="27"/>
      <c r="AI20" s="27" t="n">
        <f aca="false">AE20+AG20-AH20</f>
        <v>0</v>
      </c>
      <c r="AJ20" s="27" t="n">
        <f aca="false">AI20-AK20</f>
        <v>138535</v>
      </c>
      <c r="AK20" s="27" t="n">
        <v>-138535</v>
      </c>
      <c r="AM20" s="4" t="n">
        <f aca="false">AK20+AK23</f>
        <v>40281700</v>
      </c>
    </row>
    <row r="21" customFormat="false" ht="15" hidden="false" customHeight="false" outlineLevel="0" collapsed="false">
      <c r="A21" s="26" t="s">
        <v>56</v>
      </c>
      <c r="B21" s="27" t="n">
        <v>0</v>
      </c>
      <c r="C21" s="28" t="n">
        <f aca="false">D21-B21</f>
        <v>1297229</v>
      </c>
      <c r="D21" s="27" t="n">
        <v>1297229</v>
      </c>
      <c r="E21" s="27"/>
      <c r="F21" s="27"/>
      <c r="G21" s="27"/>
      <c r="H21" s="27"/>
      <c r="I21" s="27"/>
      <c r="J21" s="27"/>
      <c r="K21" s="27"/>
      <c r="L21" s="27"/>
      <c r="M21" s="27"/>
      <c r="N21" s="29" t="n">
        <f aca="false">SUM(D21:M21)</f>
        <v>1297229</v>
      </c>
      <c r="O21" s="30"/>
      <c r="P21" s="27"/>
      <c r="Q21" s="27"/>
      <c r="R21" s="27" t="n">
        <f aca="false">N21+P21-Q21</f>
        <v>1297229</v>
      </c>
      <c r="S21" s="27" t="n">
        <v>1422229</v>
      </c>
      <c r="T21" s="27" t="n">
        <v>0</v>
      </c>
      <c r="U21" s="27" t="n">
        <v>0</v>
      </c>
      <c r="V21" s="27" t="n">
        <v>0</v>
      </c>
      <c r="W21" s="27" t="n">
        <v>0</v>
      </c>
      <c r="X21" s="27" t="n">
        <v>0</v>
      </c>
      <c r="Y21" s="27" t="n">
        <v>0</v>
      </c>
      <c r="Z21" s="27" t="n">
        <v>0</v>
      </c>
      <c r="AA21" s="27" t="n">
        <v>0</v>
      </c>
      <c r="AB21" s="27" t="n">
        <v>0</v>
      </c>
      <c r="AC21" s="27" t="n">
        <v>0</v>
      </c>
      <c r="AD21" s="27" t="n">
        <v>0</v>
      </c>
      <c r="AE21" s="29" t="n">
        <f aca="false">SUM(S21:AD21)</f>
        <v>1422229</v>
      </c>
      <c r="AF21" s="30"/>
      <c r="AG21" s="27"/>
      <c r="AH21" s="27"/>
      <c r="AI21" s="27" t="n">
        <f aca="false">AE21+AG21-AH21</f>
        <v>1422229</v>
      </c>
      <c r="AJ21" s="27" t="n">
        <f aca="false">AI21-AK21</f>
        <v>125000</v>
      </c>
      <c r="AK21" s="27" t="n">
        <v>1297229</v>
      </c>
    </row>
    <row r="22" customFormat="false" ht="15" hidden="false" customHeight="false" outlineLevel="0" collapsed="false">
      <c r="A22" s="26" t="s">
        <v>57</v>
      </c>
      <c r="B22" s="27" t="n">
        <v>10163519</v>
      </c>
      <c r="C22" s="28" t="n">
        <f aca="false">D22-B22</f>
        <v>0</v>
      </c>
      <c r="D22" s="27" t="n">
        <v>10163519</v>
      </c>
      <c r="E22" s="27" t="n">
        <v>100</v>
      </c>
      <c r="F22" s="27" t="n">
        <v>0</v>
      </c>
      <c r="G22" s="27" t="n">
        <v>0</v>
      </c>
      <c r="H22" s="27" t="n">
        <v>0</v>
      </c>
      <c r="I22" s="27" t="n">
        <v>0</v>
      </c>
      <c r="J22" s="27" t="n">
        <v>0</v>
      </c>
      <c r="K22" s="27" t="n">
        <v>0</v>
      </c>
      <c r="L22" s="27" t="n">
        <v>0</v>
      </c>
      <c r="M22" s="27" t="n">
        <v>0</v>
      </c>
      <c r="N22" s="29" t="n">
        <f aca="false">SUM(D22:M22)</f>
        <v>10163619</v>
      </c>
      <c r="O22" s="30" t="s">
        <v>58</v>
      </c>
      <c r="P22" s="27"/>
      <c r="Q22" s="27" t="n">
        <f aca="false">+'Asientos - para Consolidado'!E17+'Asientos - para Consolidado'!E35+'Asientos - para Consolidado'!E80</f>
        <v>4846189.34</v>
      </c>
      <c r="R22" s="27" t="n">
        <f aca="false">N22+P22-Q22</f>
        <v>5317429.66</v>
      </c>
      <c r="S22" s="27" t="n">
        <v>44513438</v>
      </c>
      <c r="T22" s="27" t="n">
        <v>100</v>
      </c>
      <c r="U22" s="27" t="n">
        <v>0</v>
      </c>
      <c r="V22" s="27" t="n">
        <v>0</v>
      </c>
      <c r="W22" s="27" t="n">
        <v>0</v>
      </c>
      <c r="X22" s="27" t="n">
        <v>0</v>
      </c>
      <c r="Y22" s="27" t="n">
        <v>0</v>
      </c>
      <c r="Z22" s="27" t="n">
        <v>0</v>
      </c>
      <c r="AA22" s="27" t="n">
        <v>0</v>
      </c>
      <c r="AB22" s="27" t="n">
        <v>0</v>
      </c>
      <c r="AC22" s="27" t="n">
        <v>0</v>
      </c>
      <c r="AD22" s="27" t="n">
        <v>0</v>
      </c>
      <c r="AE22" s="29" t="n">
        <f aca="false">SUM(S22:AD22)</f>
        <v>44513538</v>
      </c>
      <c r="AF22" s="30" t="s">
        <v>59</v>
      </c>
      <c r="AG22" s="27" t="e">
        <f aca="false">#REF!</f>
        <v>#REF!</v>
      </c>
      <c r="AH22" s="27" t="e">
        <f aca="false">'Diario 2015 (a)'!D12+#REF!</f>
        <v>#REF!</v>
      </c>
      <c r="AI22" s="27" t="e">
        <f aca="false">AE22+AG22-AH22</f>
        <v>#REF!</v>
      </c>
      <c r="AJ22" s="27" t="e">
        <f aca="false">AI22-AK22</f>
        <v>#REF!</v>
      </c>
      <c r="AK22" s="27" t="n">
        <v>5317430</v>
      </c>
    </row>
    <row r="23" customFormat="false" ht="15" hidden="false" customHeight="false" outlineLevel="0" collapsed="false">
      <c r="A23" s="26" t="s">
        <v>60</v>
      </c>
      <c r="B23" s="32" t="n">
        <v>0</v>
      </c>
      <c r="C23" s="28" t="n">
        <f aca="false">D23-B23</f>
        <v>0</v>
      </c>
      <c r="D23" s="32" t="n">
        <v>0</v>
      </c>
      <c r="E23" s="32" t="n">
        <v>40420235</v>
      </c>
      <c r="F23" s="32" t="n">
        <v>0</v>
      </c>
      <c r="G23" s="32" t="n">
        <v>0</v>
      </c>
      <c r="H23" s="32" t="n">
        <v>0</v>
      </c>
      <c r="I23" s="32" t="n">
        <v>0</v>
      </c>
      <c r="J23" s="32" t="n">
        <v>0</v>
      </c>
      <c r="K23" s="32" t="n">
        <v>0</v>
      </c>
      <c r="L23" s="32" t="n">
        <v>0</v>
      </c>
      <c r="M23" s="32" t="n">
        <v>0</v>
      </c>
      <c r="N23" s="29" t="n">
        <f aca="false">SUM(D23:M23)</f>
        <v>40420235</v>
      </c>
      <c r="O23" s="30"/>
      <c r="P23" s="27"/>
      <c r="Q23" s="27"/>
      <c r="R23" s="27" t="n">
        <f aca="false">N23+P23-Q23</f>
        <v>40420235</v>
      </c>
      <c r="S23" s="32" t="n">
        <v>0</v>
      </c>
      <c r="T23" s="32" t="n">
        <v>883849</v>
      </c>
      <c r="U23" s="27" t="n">
        <v>0</v>
      </c>
      <c r="V23" s="27" t="n">
        <v>0</v>
      </c>
      <c r="W23" s="27" t="n">
        <v>0</v>
      </c>
      <c r="X23" s="27" t="n">
        <v>0</v>
      </c>
      <c r="Y23" s="27" t="n">
        <v>0</v>
      </c>
      <c r="Z23" s="27" t="n">
        <v>0</v>
      </c>
      <c r="AA23" s="27" t="n">
        <v>0</v>
      </c>
      <c r="AC23" s="27" t="n">
        <v>0</v>
      </c>
      <c r="AD23" s="27" t="n">
        <v>0</v>
      </c>
      <c r="AE23" s="29" t="n">
        <f aca="false">SUM(S23:AD23)</f>
        <v>883849</v>
      </c>
      <c r="AF23" s="30"/>
      <c r="AG23" s="27"/>
      <c r="AH23" s="27"/>
      <c r="AI23" s="27" t="n">
        <f aca="false">AE23+AG23-AH23</f>
        <v>883849</v>
      </c>
      <c r="AJ23" s="27" t="n">
        <f aca="false">AI23-AK23</f>
        <v>-39536386</v>
      </c>
      <c r="AK23" s="27" t="n">
        <v>40420235</v>
      </c>
    </row>
    <row r="24" customFormat="false" ht="15" hidden="false" customHeight="false" outlineLevel="0" collapsed="false">
      <c r="A24" s="26" t="s">
        <v>61</v>
      </c>
      <c r="B24" s="32" t="n">
        <v>105895</v>
      </c>
      <c r="C24" s="28" t="n">
        <f aca="false">D24-B24</f>
        <v>0</v>
      </c>
      <c r="D24" s="32" t="n">
        <v>105895</v>
      </c>
      <c r="E24" s="32" t="n">
        <v>0</v>
      </c>
      <c r="F24" s="32" t="n">
        <v>0</v>
      </c>
      <c r="G24" s="32" t="n">
        <v>0</v>
      </c>
      <c r="H24" s="32" t="n">
        <v>0</v>
      </c>
      <c r="I24" s="32" t="n">
        <v>0</v>
      </c>
      <c r="J24" s="32" t="n">
        <v>0</v>
      </c>
      <c r="K24" s="32" t="n">
        <v>0</v>
      </c>
      <c r="L24" s="32" t="n">
        <v>0</v>
      </c>
      <c r="M24" s="32" t="n">
        <v>0</v>
      </c>
      <c r="N24" s="29" t="n">
        <f aca="false">SUM(D24:M24)</f>
        <v>105895</v>
      </c>
      <c r="O24" s="30"/>
      <c r="P24" s="27"/>
      <c r="Q24" s="27"/>
      <c r="R24" s="27" t="n">
        <f aca="false">N24+P24-Q24</f>
        <v>105895</v>
      </c>
      <c r="S24" s="32" t="n">
        <v>105894</v>
      </c>
      <c r="T24" s="27" t="n">
        <v>0</v>
      </c>
      <c r="U24" s="27" t="n">
        <v>373443</v>
      </c>
      <c r="V24" s="27" t="n">
        <v>0</v>
      </c>
      <c r="W24" s="27" t="n">
        <v>0</v>
      </c>
      <c r="X24" s="27" t="n">
        <v>0</v>
      </c>
      <c r="Y24" s="27" t="n">
        <v>0</v>
      </c>
      <c r="Z24" s="27" t="n">
        <v>0</v>
      </c>
      <c r="AA24" s="27" t="n">
        <v>0</v>
      </c>
      <c r="AB24" s="27" t="n">
        <v>2963501</v>
      </c>
      <c r="AC24" s="27" t="n">
        <v>0</v>
      </c>
      <c r="AD24" s="27" t="n">
        <v>0</v>
      </c>
      <c r="AE24" s="29" t="n">
        <f aca="false">SUM(S24:AD24)</f>
        <v>3442838</v>
      </c>
      <c r="AF24" s="30"/>
      <c r="AG24" s="27"/>
      <c r="AH24" s="27"/>
      <c r="AI24" s="27" t="n">
        <f aca="false">AE24+AG24-AH24</f>
        <v>3442838</v>
      </c>
      <c r="AJ24" s="27" t="n">
        <f aca="false">AI24-AK24</f>
        <v>3336943</v>
      </c>
      <c r="AK24" s="27" t="n">
        <v>105895</v>
      </c>
    </row>
    <row r="25" customFormat="false" ht="15.75" hidden="false" customHeight="false" outlineLevel="0" collapsed="false">
      <c r="A25" s="26" t="s">
        <v>62</v>
      </c>
      <c r="B25" s="33" t="n">
        <v>0</v>
      </c>
      <c r="C25" s="28" t="n">
        <f aca="false">D25-B25</f>
        <v>0</v>
      </c>
      <c r="D25" s="33" t="n">
        <v>0</v>
      </c>
      <c r="E25" s="33" t="n">
        <v>0</v>
      </c>
      <c r="F25" s="33" t="n">
        <v>0</v>
      </c>
      <c r="G25" s="33" t="n">
        <v>0</v>
      </c>
      <c r="H25" s="33" t="n">
        <v>0</v>
      </c>
      <c r="I25" s="33" t="n">
        <v>0</v>
      </c>
      <c r="J25" s="33" t="n">
        <v>0</v>
      </c>
      <c r="K25" s="33" t="n">
        <v>0</v>
      </c>
      <c r="L25" s="33" t="n">
        <v>0</v>
      </c>
      <c r="M25" s="33" t="n">
        <v>0</v>
      </c>
      <c r="N25" s="34" t="n">
        <f aca="false">SUM(D25:M25)</f>
        <v>0</v>
      </c>
      <c r="O25" s="30" t="s">
        <v>51</v>
      </c>
      <c r="P25" s="27" t="n">
        <f aca="false">+'Asientos - para Consolidado'!D31</f>
        <v>394335.366944214</v>
      </c>
      <c r="Q25" s="27"/>
      <c r="R25" s="33" t="n">
        <f aca="false">N25+P25-Q25</f>
        <v>394335.366944214</v>
      </c>
      <c r="S25" s="33" t="n">
        <v>0</v>
      </c>
      <c r="T25" s="33" t="n">
        <v>0</v>
      </c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4" t="n">
        <f aca="false">SUM(S25:AD25)</f>
        <v>0</v>
      </c>
      <c r="AF25" s="30" t="s">
        <v>52</v>
      </c>
      <c r="AG25" s="27" t="n">
        <f aca="false">'Diario 2015 (a)'!C8</f>
        <v>394335.366944214</v>
      </c>
      <c r="AH25" s="27"/>
      <c r="AI25" s="33" t="n">
        <f aca="false">AE25+AG25-AH25</f>
        <v>394335.366944214</v>
      </c>
      <c r="AJ25" s="33" t="n">
        <f aca="false">AI25-AK25</f>
        <v>0.366944213979878</v>
      </c>
      <c r="AK25" s="33" t="n">
        <v>394335</v>
      </c>
    </row>
    <row r="26" customFormat="false" ht="15" hidden="false" customHeight="false" outlineLevel="0" collapsed="false">
      <c r="A26" s="35" t="s">
        <v>63</v>
      </c>
      <c r="B26" s="36" t="n">
        <f aca="false">SUM(B5:B25)</f>
        <v>190788012</v>
      </c>
      <c r="C26" s="35"/>
      <c r="D26" s="36" t="n">
        <f aca="false">SUM(D5:D25)</f>
        <v>188480353</v>
      </c>
      <c r="E26" s="36" t="n">
        <f aca="false">SUM(E5:E25)</f>
        <v>40551557</v>
      </c>
      <c r="F26" s="36" t="n">
        <f aca="false">SUM(F5:F25)</f>
        <v>4289462.9</v>
      </c>
      <c r="G26" s="36" t="n">
        <f aca="false">SUM(G5:G25)</f>
        <v>2316381.49</v>
      </c>
      <c r="H26" s="36" t="n">
        <f aca="false">SUM(H5:H25)</f>
        <v>376654.23</v>
      </c>
      <c r="I26" s="36" t="n">
        <f aca="false">SUM(I5:I25)</f>
        <v>400660.97</v>
      </c>
      <c r="J26" s="36" t="n">
        <f aca="false">SUM(J5:J25)</f>
        <v>7988.59</v>
      </c>
      <c r="K26" s="36" t="n">
        <f aca="false">SUM(K5:K25)</f>
        <v>10000</v>
      </c>
      <c r="L26" s="36" t="n">
        <f aca="false">SUM(L5:L25)</f>
        <v>1140.17</v>
      </c>
      <c r="M26" s="36" t="n">
        <f aca="false">SUM(M5:M25)</f>
        <v>800</v>
      </c>
      <c r="N26" s="36" t="n">
        <f aca="false">SUM(N5:N25)</f>
        <v>236434998.35</v>
      </c>
      <c r="O26" s="30"/>
      <c r="P26" s="36"/>
      <c r="Q26" s="36"/>
      <c r="R26" s="36" t="n">
        <f aca="false">SUM(R5:R25)</f>
        <v>198167127.226944</v>
      </c>
      <c r="S26" s="27" t="n">
        <f aca="false">SUM(S5:S25)</f>
        <v>197414677</v>
      </c>
      <c r="T26" s="36" t="n">
        <f aca="false">SUM(T5:T25)</f>
        <v>52108957</v>
      </c>
      <c r="U26" s="36" t="n">
        <f aca="false">SUM(U5:U25)</f>
        <v>4668021</v>
      </c>
      <c r="V26" s="36" t="n">
        <f aca="false">SUM(V5:V25)</f>
        <v>1160766</v>
      </c>
      <c r="W26" s="36" t="n">
        <f aca="false">SUM(W5:W25)</f>
        <v>364945</v>
      </c>
      <c r="X26" s="36" t="n">
        <f aca="false">SUM(X5:X25)</f>
        <v>373713</v>
      </c>
      <c r="Y26" s="36" t="n">
        <f aca="false">SUM(Y5:Y25)</f>
        <v>7989</v>
      </c>
      <c r="Z26" s="36" t="n">
        <f aca="false">SUM(Z5:Z25)</f>
        <v>10000</v>
      </c>
      <c r="AA26" s="36" t="n">
        <f aca="false">SUM(AA5:AA25)</f>
        <v>1140</v>
      </c>
      <c r="AB26" s="36" t="n">
        <f aca="false">SUM(AB5:AB25)</f>
        <v>5000055</v>
      </c>
      <c r="AC26" s="36" t="n">
        <f aca="false">SUM(AC5:AC25)</f>
        <v>649029</v>
      </c>
      <c r="AD26" s="36" t="n">
        <f aca="false">SUM(AD5:AD25)</f>
        <v>449254</v>
      </c>
      <c r="AE26" s="36" t="n">
        <f aca="false">SUM(AE5:AE25)</f>
        <v>262208546</v>
      </c>
      <c r="AF26" s="30"/>
      <c r="AG26" s="36" t="s">
        <v>44</v>
      </c>
      <c r="AH26" s="36" t="s">
        <v>44</v>
      </c>
      <c r="AI26" s="36" t="e">
        <f aca="false">SUM(AI5:AI25)</f>
        <v>#REF!</v>
      </c>
      <c r="AJ26" s="36" t="e">
        <f aca="false">AI26-AK26</f>
        <v>#REF!</v>
      </c>
      <c r="AK26" s="36" t="n">
        <f aca="false">SUM(AK5:AK25)</f>
        <v>198167128</v>
      </c>
    </row>
    <row r="27" customFormat="false" ht="15" hidden="false" customHeight="false" outlineLevel="0" collapsed="false">
      <c r="A27" s="26" t="s">
        <v>64</v>
      </c>
      <c r="B27" s="36"/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0"/>
      <c r="P27" s="36"/>
      <c r="Q27" s="36"/>
      <c r="R27" s="36"/>
      <c r="S27" s="27" t="n">
        <v>260402</v>
      </c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29" t="n">
        <f aca="false">SUM(S27:AD27)</f>
        <v>260402</v>
      </c>
      <c r="AF27" s="30"/>
      <c r="AG27" s="36" t="n">
        <v>0</v>
      </c>
      <c r="AH27" s="36" t="n">
        <v>0</v>
      </c>
      <c r="AI27" s="27" t="n">
        <f aca="false">AE27-AG27+AH27</f>
        <v>260402</v>
      </c>
      <c r="AJ27" s="36"/>
      <c r="AK27" s="36"/>
    </row>
    <row r="28" s="17" customFormat="true" ht="15" hidden="false" customHeight="false" outlineLevel="0" collapsed="false">
      <c r="A28" s="12" t="s">
        <v>65</v>
      </c>
      <c r="B28" s="13" t="n">
        <v>25932582</v>
      </c>
      <c r="C28" s="14" t="n">
        <f aca="false">D28-B28</f>
        <v>0</v>
      </c>
      <c r="D28" s="13" t="n">
        <v>25932582</v>
      </c>
      <c r="E28" s="13" t="n">
        <v>0</v>
      </c>
      <c r="F28" s="13" t="n">
        <v>0</v>
      </c>
      <c r="G28" s="13" t="n">
        <v>1776</v>
      </c>
      <c r="H28" s="13" t="n">
        <v>0</v>
      </c>
      <c r="I28" s="13" t="n">
        <v>0</v>
      </c>
      <c r="J28" s="13" t="n">
        <v>0</v>
      </c>
      <c r="K28" s="13" t="n">
        <v>0</v>
      </c>
      <c r="L28" s="13" t="n">
        <v>0</v>
      </c>
      <c r="M28" s="13" t="n">
        <v>0</v>
      </c>
      <c r="N28" s="15" t="n">
        <f aca="false">SUM(D28:M28)</f>
        <v>25934358</v>
      </c>
      <c r="O28" s="16"/>
      <c r="P28" s="13"/>
      <c r="Q28" s="13"/>
      <c r="R28" s="13" t="n">
        <f aca="false">N28-P28+Q28</f>
        <v>25934358</v>
      </c>
      <c r="S28" s="13" t="n">
        <v>13413675</v>
      </c>
      <c r="T28" s="13" t="n">
        <v>0</v>
      </c>
      <c r="U28" s="13" t="n">
        <v>0</v>
      </c>
      <c r="V28" s="13" t="n">
        <v>0</v>
      </c>
      <c r="W28" s="13" t="n">
        <v>0</v>
      </c>
      <c r="X28" s="13" t="n">
        <v>0</v>
      </c>
      <c r="Y28" s="13" t="n">
        <v>0</v>
      </c>
      <c r="Z28" s="13" t="n">
        <v>0</v>
      </c>
      <c r="AA28" s="13" t="n">
        <v>0</v>
      </c>
      <c r="AB28" s="13" t="n">
        <v>0</v>
      </c>
      <c r="AC28" s="13" t="n">
        <v>0</v>
      </c>
      <c r="AD28" s="13" t="n">
        <v>0</v>
      </c>
      <c r="AE28" s="15" t="n">
        <f aca="false">SUM(S28:AD28)</f>
        <v>13413675</v>
      </c>
      <c r="AF28" s="16"/>
      <c r="AG28" s="13"/>
      <c r="AH28" s="13"/>
      <c r="AI28" s="37" t="n">
        <f aca="false">AE28-AG28+AH28</f>
        <v>13413675</v>
      </c>
      <c r="AJ28" s="13" t="n">
        <f aca="false">AI28-AK28</f>
        <v>-12520683</v>
      </c>
      <c r="AK28" s="13" t="n">
        <v>25934358</v>
      </c>
    </row>
    <row r="29" s="17" customFormat="true" ht="15" hidden="false" customHeight="false" outlineLevel="0" collapsed="false">
      <c r="A29" s="12" t="s">
        <v>66</v>
      </c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3"/>
      <c r="Q29" s="13"/>
      <c r="R29" s="13"/>
      <c r="S29" s="13" t="n">
        <v>11459310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5" t="n">
        <f aca="false">SUM(S29:AD29)</f>
        <v>11459310</v>
      </c>
      <c r="AF29" s="16"/>
      <c r="AG29" s="13"/>
      <c r="AH29" s="13"/>
      <c r="AI29" s="37" t="n">
        <f aca="false">AE29-AG29+AH29</f>
        <v>11459310</v>
      </c>
      <c r="AJ29" s="13"/>
      <c r="AK29" s="13"/>
    </row>
    <row r="30" s="17" customFormat="true" ht="15.75" hidden="false" customHeight="true" outlineLevel="0" collapsed="false">
      <c r="A30" s="12" t="s">
        <v>67</v>
      </c>
      <c r="B30" s="13" t="n">
        <v>22920758</v>
      </c>
      <c r="C30" s="14" t="n">
        <f aca="false">D30-B30</f>
        <v>0</v>
      </c>
      <c r="D30" s="13" t="n">
        <v>22920758</v>
      </c>
      <c r="E30" s="13" t="n">
        <v>1677372</v>
      </c>
      <c r="F30" s="13" t="n">
        <f aca="false">76243.49+333</f>
        <v>76576.49</v>
      </c>
      <c r="G30" s="13" t="n">
        <v>0</v>
      </c>
      <c r="H30" s="13" t="n">
        <v>0</v>
      </c>
      <c r="I30" s="13" t="n">
        <v>0</v>
      </c>
      <c r="J30" s="13" t="n">
        <v>0</v>
      </c>
      <c r="K30" s="13" t="n">
        <v>0</v>
      </c>
      <c r="L30" s="13" t="n">
        <v>0</v>
      </c>
      <c r="M30" s="13" t="n">
        <v>0</v>
      </c>
      <c r="N30" s="15" t="n">
        <f aca="false">SUM(D30:M30)</f>
        <v>24674706.49</v>
      </c>
      <c r="O30" s="16"/>
      <c r="P30" s="13"/>
      <c r="Q30" s="13"/>
      <c r="R30" s="13" t="n">
        <f aca="false">N30-P30+Q30</f>
        <v>24674706.49</v>
      </c>
      <c r="S30" s="18" t="n">
        <v>18438625</v>
      </c>
      <c r="T30" s="13" t="n">
        <v>2041083</v>
      </c>
      <c r="U30" s="13" t="n">
        <v>42437</v>
      </c>
      <c r="V30" s="13" t="n">
        <v>0</v>
      </c>
      <c r="W30" s="13"/>
      <c r="X30" s="13" t="n">
        <v>0</v>
      </c>
      <c r="Y30" s="13" t="n">
        <v>0</v>
      </c>
      <c r="Z30" s="13" t="n">
        <v>0</v>
      </c>
      <c r="AA30" s="13" t="n">
        <v>0</v>
      </c>
      <c r="AB30" s="13" t="n">
        <v>24357</v>
      </c>
      <c r="AC30" s="13" t="n">
        <v>10173</v>
      </c>
      <c r="AD30" s="13" t="n">
        <v>55288</v>
      </c>
      <c r="AE30" s="15" t="n">
        <f aca="false">SUM(S30:AD30)</f>
        <v>20611963</v>
      </c>
      <c r="AF30" s="16" t="s">
        <v>39</v>
      </c>
      <c r="AG30" s="13" t="n">
        <f aca="false">+'Diarios Cxc Cxp relac (c)'!D32</f>
        <v>175918</v>
      </c>
      <c r="AH30" s="13"/>
      <c r="AI30" s="37" t="n">
        <f aca="false">AE30-AG30+AH30</f>
        <v>20436045</v>
      </c>
      <c r="AJ30" s="13" t="n">
        <f aca="false">AI30-AK30</f>
        <v>-4238661</v>
      </c>
      <c r="AK30" s="13" t="n">
        <v>24674706</v>
      </c>
    </row>
    <row r="31" s="25" customFormat="true" ht="15.75" hidden="false" customHeight="true" outlineLevel="0" collapsed="false">
      <c r="A31" s="20" t="s">
        <v>68</v>
      </c>
      <c r="B31" s="21" t="n">
        <v>1315987</v>
      </c>
      <c r="C31" s="22" t="n">
        <f aca="false">D31-B31</f>
        <v>0</v>
      </c>
      <c r="D31" s="21" t="n">
        <v>1315987</v>
      </c>
      <c r="E31" s="21" t="n">
        <v>2113253</v>
      </c>
      <c r="F31" s="21" t="n">
        <f aca="false">256939.18</f>
        <v>256939.18</v>
      </c>
      <c r="G31" s="21" t="n">
        <v>1374067</v>
      </c>
      <c r="H31" s="21" t="n">
        <v>505881.68</v>
      </c>
      <c r="I31" s="21" t="n">
        <v>0</v>
      </c>
      <c r="J31" s="21" t="n">
        <v>793.6</v>
      </c>
      <c r="K31" s="21" t="n">
        <v>0</v>
      </c>
      <c r="L31" s="21" t="n">
        <v>0</v>
      </c>
      <c r="M31" s="21" t="n">
        <v>0</v>
      </c>
      <c r="N31" s="23" t="n">
        <f aca="false">SUM(D31:M31)</f>
        <v>5566921.46</v>
      </c>
      <c r="O31" s="24" t="s">
        <v>41</v>
      </c>
      <c r="P31" s="21" t="n">
        <f aca="false"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4761490.89</v>
      </c>
      <c r="Q31" s="21"/>
      <c r="R31" s="21" t="n">
        <f aca="false">N31-P31+Q31</f>
        <v>805430.57</v>
      </c>
      <c r="S31" s="21" t="n">
        <v>1314903</v>
      </c>
      <c r="T31" s="21" t="n">
        <v>4733</v>
      </c>
      <c r="U31" s="21" t="n">
        <v>0</v>
      </c>
      <c r="V31" s="21" t="n">
        <v>180603</v>
      </c>
      <c r="W31" s="21" t="n">
        <v>1296079</v>
      </c>
      <c r="X31" s="21" t="n">
        <v>0</v>
      </c>
      <c r="Y31" s="21" t="n">
        <v>0</v>
      </c>
      <c r="Z31" s="21" t="n">
        <v>0</v>
      </c>
      <c r="AA31" s="21" t="n">
        <v>0</v>
      </c>
      <c r="AB31" s="21" t="n">
        <v>0</v>
      </c>
      <c r="AC31" s="21" t="n">
        <v>125748</v>
      </c>
      <c r="AD31" s="21" t="n">
        <v>901366</v>
      </c>
      <c r="AE31" s="23" t="n">
        <f aca="false">SUM(S31:AD31)</f>
        <v>3823432</v>
      </c>
      <c r="AF31" s="24" t="s">
        <v>69</v>
      </c>
      <c r="AG31" s="21" t="e">
        <f aca="false">#REF!+'Diarios Cxc Cxp relac (c)'!D29</f>
        <v>#REF!</v>
      </c>
      <c r="AH31" s="21"/>
      <c r="AI31" s="21" t="e">
        <f aca="false">AE31-AG31+AH31</f>
        <v>#REF!</v>
      </c>
      <c r="AJ31" s="21" t="e">
        <f aca="false">AI31-AK31</f>
        <v>#REF!</v>
      </c>
      <c r="AK31" s="21" t="n">
        <v>805431</v>
      </c>
    </row>
    <row r="32" s="17" customFormat="true" ht="15.75" hidden="false" customHeight="true" outlineLevel="0" collapsed="false">
      <c r="A32" s="12" t="s">
        <v>70</v>
      </c>
      <c r="B32" s="13"/>
      <c r="C32" s="14" t="n">
        <f aca="false">D32-B32</f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 t="n">
        <f aca="false">SUM(D32:M32)</f>
        <v>0</v>
      </c>
      <c r="O32" s="16"/>
      <c r="P32" s="13"/>
      <c r="Q32" s="13"/>
      <c r="R32" s="13" t="n">
        <f aca="false">N32-P32+Q32</f>
        <v>0</v>
      </c>
      <c r="S32" s="13" t="n">
        <v>0</v>
      </c>
      <c r="T32" s="13" t="n">
        <v>0</v>
      </c>
      <c r="U32" s="13" t="n">
        <v>0</v>
      </c>
      <c r="V32" s="13" t="n">
        <v>0</v>
      </c>
      <c r="W32" s="13" t="n">
        <v>0</v>
      </c>
      <c r="X32" s="13" t="n">
        <v>0</v>
      </c>
      <c r="Y32" s="13" t="n">
        <v>0</v>
      </c>
      <c r="Z32" s="13" t="n">
        <v>0</v>
      </c>
      <c r="AA32" s="13" t="n">
        <v>0</v>
      </c>
      <c r="AB32" s="13" t="n">
        <v>0</v>
      </c>
      <c r="AC32" s="13" t="n">
        <v>0</v>
      </c>
      <c r="AD32" s="13" t="n">
        <v>0</v>
      </c>
      <c r="AE32" s="15" t="n">
        <f aca="false">SUM(S32:AD32)</f>
        <v>0</v>
      </c>
      <c r="AF32" s="16"/>
      <c r="AG32" s="13"/>
      <c r="AH32" s="13"/>
      <c r="AI32" s="13" t="n">
        <f aca="false">AE32-AG32+AH32</f>
        <v>0</v>
      </c>
      <c r="AJ32" s="13" t="n">
        <f aca="false">AI32-AK32</f>
        <v>0</v>
      </c>
      <c r="AK32" s="13" t="n">
        <v>0</v>
      </c>
    </row>
    <row r="33" s="17" customFormat="true" ht="15.75" hidden="false" customHeight="true" outlineLevel="0" collapsed="false">
      <c r="A33" s="12" t="s">
        <v>71</v>
      </c>
      <c r="B33" s="13" t="n">
        <v>2513028</v>
      </c>
      <c r="C33" s="14" t="n">
        <f aca="false">D33-B33</f>
        <v>0</v>
      </c>
      <c r="D33" s="13" t="n">
        <v>2513028</v>
      </c>
      <c r="E33" s="13" t="n">
        <v>0</v>
      </c>
      <c r="F33" s="13" t="n">
        <v>3416.78</v>
      </c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13" t="n">
        <v>0</v>
      </c>
      <c r="M33" s="13" t="n">
        <v>0</v>
      </c>
      <c r="N33" s="15" t="n">
        <f aca="false">SUM(D33:M33)</f>
        <v>2516444.78</v>
      </c>
      <c r="O33" s="16"/>
      <c r="P33" s="13"/>
      <c r="Q33" s="13"/>
      <c r="R33" s="13" t="n">
        <f aca="false">N33-P33+Q33</f>
        <v>2516444.78</v>
      </c>
      <c r="S33" s="13" t="n">
        <v>4228478</v>
      </c>
      <c r="T33" s="13" t="n">
        <v>0</v>
      </c>
      <c r="U33" s="13" t="n">
        <v>39874</v>
      </c>
      <c r="V33" s="13" t="n">
        <v>0</v>
      </c>
      <c r="W33" s="13" t="n">
        <v>0</v>
      </c>
      <c r="X33" s="13" t="n">
        <v>0</v>
      </c>
      <c r="Y33" s="13" t="n">
        <v>0</v>
      </c>
      <c r="Z33" s="13" t="n">
        <v>0</v>
      </c>
      <c r="AA33" s="13" t="n">
        <v>0</v>
      </c>
      <c r="AB33" s="13" t="n">
        <v>0</v>
      </c>
      <c r="AC33" s="13" t="n">
        <v>6555</v>
      </c>
      <c r="AD33" s="13" t="n">
        <v>0</v>
      </c>
      <c r="AE33" s="15" t="n">
        <f aca="false">SUM(S33:AD33)</f>
        <v>4274907</v>
      </c>
      <c r="AF33" s="16"/>
      <c r="AG33" s="13"/>
      <c r="AH33" s="13"/>
      <c r="AI33" s="13" t="n">
        <f aca="false">AE33-AG33+AH33</f>
        <v>4274907</v>
      </c>
      <c r="AJ33" s="13" t="n">
        <f aca="false">AI33-AK33</f>
        <v>1758462</v>
      </c>
      <c r="AK33" s="13" t="n">
        <v>2516445</v>
      </c>
    </row>
    <row r="34" customFormat="false" ht="15.75" hidden="false" customHeight="true" outlineLevel="0" collapsed="false">
      <c r="A34" s="26" t="s">
        <v>72</v>
      </c>
      <c r="B34" s="27" t="n">
        <v>887149</v>
      </c>
      <c r="C34" s="28" t="n">
        <f aca="false">D34-B34</f>
        <v>0</v>
      </c>
      <c r="D34" s="27" t="n">
        <v>887149</v>
      </c>
      <c r="E34" s="27" t="n">
        <v>0</v>
      </c>
      <c r="F34" s="27" t="n">
        <v>0</v>
      </c>
      <c r="G34" s="27" t="n">
        <v>0</v>
      </c>
      <c r="H34" s="27" t="n">
        <v>39069.9</v>
      </c>
      <c r="I34" s="27" t="n">
        <v>0</v>
      </c>
      <c r="J34" s="27" t="n">
        <v>0</v>
      </c>
      <c r="K34" s="27" t="n">
        <v>0</v>
      </c>
      <c r="L34" s="27" t="n">
        <v>0</v>
      </c>
      <c r="M34" s="27" t="n">
        <v>0</v>
      </c>
      <c r="N34" s="29" t="n">
        <f aca="false">SUM(D34:M34)</f>
        <v>926218.9</v>
      </c>
      <c r="O34" s="30"/>
      <c r="P34" s="27"/>
      <c r="Q34" s="27"/>
      <c r="R34" s="27" t="n">
        <f aca="false">N34-P34+Q34</f>
        <v>926218.9</v>
      </c>
      <c r="S34" s="27" t="n">
        <v>4870701</v>
      </c>
      <c r="T34" s="27" t="n">
        <v>0</v>
      </c>
      <c r="U34" s="27" t="n">
        <v>19615</v>
      </c>
      <c r="V34" s="27" t="n">
        <v>0</v>
      </c>
      <c r="W34" s="27" t="n">
        <v>0</v>
      </c>
      <c r="X34" s="27" t="n">
        <v>0</v>
      </c>
      <c r="Y34" s="27" t="n">
        <v>0</v>
      </c>
      <c r="Z34" s="27" t="n">
        <v>0</v>
      </c>
      <c r="AA34" s="27" t="n">
        <v>0</v>
      </c>
      <c r="AB34" s="27" t="n">
        <v>551</v>
      </c>
      <c r="AC34" s="27" t="n">
        <f aca="false">26629+15462+477</f>
        <v>42568</v>
      </c>
      <c r="AD34" s="27" t="n">
        <v>22494</v>
      </c>
      <c r="AE34" s="29" t="n">
        <f aca="false">SUM(S34:AD34)</f>
        <v>4955929</v>
      </c>
      <c r="AF34" s="30" t="s">
        <v>73</v>
      </c>
      <c r="AG34" s="27"/>
      <c r="AH34" s="27" t="e">
        <f aca="false">+#REF!</f>
        <v>#REF!</v>
      </c>
      <c r="AI34" s="27" t="e">
        <f aca="false">AE34-AG34+AH34</f>
        <v>#REF!</v>
      </c>
      <c r="AJ34" s="27" t="e">
        <f aca="false">AI34-AK34</f>
        <v>#REF!</v>
      </c>
      <c r="AK34" s="27" t="n">
        <v>926219</v>
      </c>
    </row>
    <row r="35" customFormat="false" ht="15.75" hidden="false" customHeight="true" outlineLevel="0" collapsed="false">
      <c r="A35" s="26" t="s">
        <v>74</v>
      </c>
      <c r="B35" s="27" t="n">
        <v>10350691</v>
      </c>
      <c r="C35" s="28" t="n">
        <f aca="false">D35-B35</f>
        <v>0</v>
      </c>
      <c r="D35" s="27" t="n">
        <v>10350691</v>
      </c>
      <c r="E35" s="27" t="n">
        <v>0</v>
      </c>
      <c r="F35" s="27" t="n">
        <v>0</v>
      </c>
      <c r="G35" s="27" t="n">
        <v>0</v>
      </c>
      <c r="H35" s="27" t="n">
        <v>0</v>
      </c>
      <c r="I35" s="27" t="n">
        <v>0</v>
      </c>
      <c r="J35" s="27" t="n">
        <v>0</v>
      </c>
      <c r="K35" s="27" t="n">
        <v>0</v>
      </c>
      <c r="L35" s="27" t="n">
        <v>0</v>
      </c>
      <c r="M35" s="27" t="n">
        <v>0</v>
      </c>
      <c r="N35" s="29" t="n">
        <f aca="false">SUM(D35:M35)</f>
        <v>10350691</v>
      </c>
      <c r="O35" s="30"/>
      <c r="P35" s="27"/>
      <c r="Q35" s="27"/>
      <c r="R35" s="27" t="n">
        <f aca="false">N35-P35+Q35</f>
        <v>10350691</v>
      </c>
      <c r="S35" s="27" t="n">
        <v>1953502</v>
      </c>
      <c r="T35" s="27" t="n">
        <v>6540980</v>
      </c>
      <c r="U35" s="27" t="n">
        <v>0</v>
      </c>
      <c r="V35" s="27" t="n">
        <v>0</v>
      </c>
      <c r="W35" s="27" t="n">
        <v>0</v>
      </c>
      <c r="X35" s="27" t="n">
        <v>0</v>
      </c>
      <c r="Y35" s="27" t="n">
        <v>0</v>
      </c>
      <c r="Z35" s="27" t="n">
        <v>0</v>
      </c>
      <c r="AA35" s="27" t="n">
        <v>0</v>
      </c>
      <c r="AB35" s="27" t="n">
        <v>0</v>
      </c>
      <c r="AC35" s="27" t="n">
        <v>0</v>
      </c>
      <c r="AD35" s="27" t="n">
        <v>0</v>
      </c>
      <c r="AE35" s="29" t="n">
        <f aca="false">SUM(S35:AD35)</f>
        <v>8494482</v>
      </c>
      <c r="AF35" s="30"/>
      <c r="AG35" s="27"/>
      <c r="AH35" s="27"/>
      <c r="AI35" s="27" t="n">
        <f aca="false">AE35-AG35+AH35</f>
        <v>8494482</v>
      </c>
      <c r="AJ35" s="27" t="n">
        <f aca="false">AI35-AK35</f>
        <v>-1856209</v>
      </c>
      <c r="AK35" s="27" t="n">
        <v>10350691</v>
      </c>
    </row>
    <row r="36" customFormat="false" ht="15.75" hidden="false" customHeight="true" outlineLevel="0" collapsed="false">
      <c r="A36" s="26" t="s">
        <v>75</v>
      </c>
      <c r="B36" s="27" t="n">
        <v>4600587</v>
      </c>
      <c r="C36" s="28" t="n">
        <f aca="false">D36-B36</f>
        <v>0</v>
      </c>
      <c r="D36" s="27" t="n">
        <v>4600587</v>
      </c>
      <c r="E36" s="27" t="n">
        <v>0</v>
      </c>
      <c r="F36" s="27" t="n">
        <v>4059.05</v>
      </c>
      <c r="G36" s="27" t="n">
        <v>0</v>
      </c>
      <c r="H36" s="27" t="n">
        <v>0</v>
      </c>
      <c r="I36" s="27" t="n">
        <v>0</v>
      </c>
      <c r="J36" s="27" t="n">
        <v>0</v>
      </c>
      <c r="K36" s="27" t="n">
        <v>0</v>
      </c>
      <c r="L36" s="27" t="n">
        <v>0</v>
      </c>
      <c r="M36" s="27" t="n">
        <v>0</v>
      </c>
      <c r="N36" s="29" t="n">
        <f aca="false">SUM(D36:M36)</f>
        <v>4604646.05</v>
      </c>
      <c r="O36" s="30"/>
      <c r="P36" s="27"/>
      <c r="Q36" s="27"/>
      <c r="R36" s="27" t="n">
        <f aca="false">N36-P36+Q36</f>
        <v>4604646.05</v>
      </c>
      <c r="S36" s="27" t="n">
        <v>4524107</v>
      </c>
      <c r="T36" s="27" t="n">
        <v>0</v>
      </c>
      <c r="U36" s="27" t="n">
        <v>14447</v>
      </c>
      <c r="V36" s="27" t="n">
        <v>0</v>
      </c>
      <c r="W36" s="27" t="n">
        <v>0</v>
      </c>
      <c r="X36" s="27" t="n">
        <v>0</v>
      </c>
      <c r="Y36" s="27" t="n">
        <v>0</v>
      </c>
      <c r="Z36" s="27" t="n">
        <v>0</v>
      </c>
      <c r="AA36" s="27" t="n">
        <v>0</v>
      </c>
      <c r="AB36" s="27" t="n">
        <v>6596</v>
      </c>
      <c r="AC36" s="27" t="n">
        <f aca="false">11535+2782</f>
        <v>14317</v>
      </c>
      <c r="AD36" s="27" t="n">
        <v>0</v>
      </c>
      <c r="AE36" s="29" t="n">
        <f aca="false">SUM(S36:AD36)</f>
        <v>4559467</v>
      </c>
      <c r="AF36" s="30"/>
      <c r="AG36" s="27"/>
      <c r="AH36" s="27"/>
      <c r="AI36" s="27" t="n">
        <f aca="false">AE36-AG36+AH36</f>
        <v>4559467</v>
      </c>
      <c r="AJ36" s="27" t="n">
        <f aca="false">AI36-AK36</f>
        <v>-45179</v>
      </c>
      <c r="AK36" s="27" t="n">
        <v>4604646</v>
      </c>
    </row>
    <row r="37" s="17" customFormat="true" ht="15.75" hidden="false" customHeight="true" outlineLevel="0" collapsed="false">
      <c r="A37" s="12" t="s">
        <v>76</v>
      </c>
      <c r="B37" s="38" t="n">
        <v>3530956</v>
      </c>
      <c r="C37" s="14" t="n">
        <f aca="false">D37-B37</f>
        <v>0</v>
      </c>
      <c r="D37" s="38" t="n">
        <v>3530956</v>
      </c>
      <c r="E37" s="38" t="n">
        <v>0</v>
      </c>
      <c r="F37" s="38" t="n">
        <v>0</v>
      </c>
      <c r="G37" s="38" t="n">
        <v>0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</v>
      </c>
      <c r="N37" s="15" t="n">
        <f aca="false">SUM(D37:M37)</f>
        <v>3530956</v>
      </c>
      <c r="O37" s="16"/>
      <c r="P37" s="13"/>
      <c r="Q37" s="13"/>
      <c r="R37" s="13" t="n">
        <f aca="false">N37-P37+Q37</f>
        <v>3530956</v>
      </c>
      <c r="S37" s="38" t="n">
        <v>4183053</v>
      </c>
      <c r="T37" s="13" t="n">
        <v>0</v>
      </c>
      <c r="U37" s="13" t="n">
        <v>0</v>
      </c>
      <c r="V37" s="13" t="n">
        <v>0</v>
      </c>
      <c r="W37" s="13" t="n">
        <v>0</v>
      </c>
      <c r="X37" s="13" t="n">
        <v>0</v>
      </c>
      <c r="Y37" s="13" t="n">
        <v>0</v>
      </c>
      <c r="Z37" s="13" t="n">
        <v>0</v>
      </c>
      <c r="AA37" s="13" t="n">
        <v>0</v>
      </c>
      <c r="AB37" s="13" t="n">
        <v>0</v>
      </c>
      <c r="AC37" s="13" t="n">
        <v>0</v>
      </c>
      <c r="AD37" s="13" t="n">
        <v>0</v>
      </c>
      <c r="AE37" s="15" t="n">
        <f aca="false">SUM(S37:AD37)</f>
        <v>4183053</v>
      </c>
      <c r="AF37" s="16"/>
      <c r="AG37" s="13"/>
      <c r="AH37" s="13"/>
      <c r="AI37" s="13" t="n">
        <f aca="false">AE37-AG37+AH37</f>
        <v>4183053</v>
      </c>
      <c r="AJ37" s="13" t="n">
        <f aca="false">AI37-AK37</f>
        <v>652097</v>
      </c>
      <c r="AK37" s="13" t="n">
        <v>3530956</v>
      </c>
    </row>
    <row r="38" s="17" customFormat="true" ht="15.75" hidden="false" customHeight="true" outlineLevel="0" collapsed="false">
      <c r="A38" s="12" t="s">
        <v>77</v>
      </c>
      <c r="B38" s="38" t="n">
        <v>18309239</v>
      </c>
      <c r="C38" s="14" t="n">
        <f aca="false">D38-B38</f>
        <v>0</v>
      </c>
      <c r="D38" s="38" t="n">
        <v>18309239</v>
      </c>
      <c r="E38" s="38" t="n">
        <v>0</v>
      </c>
      <c r="F38" s="38" t="n">
        <v>0</v>
      </c>
      <c r="G38" s="38" t="n">
        <v>0</v>
      </c>
      <c r="H38" s="38" t="n">
        <v>25674.22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</v>
      </c>
      <c r="N38" s="15" t="n">
        <f aca="false">SUM(D38:M38)</f>
        <v>18334913.22</v>
      </c>
      <c r="O38" s="16"/>
      <c r="P38" s="13"/>
      <c r="Q38" s="13"/>
      <c r="R38" s="13" t="n">
        <f aca="false">N38-P38+Q38</f>
        <v>18334913.22</v>
      </c>
      <c r="S38" s="38" t="n">
        <v>9674932</v>
      </c>
      <c r="T38" s="13" t="n">
        <v>0</v>
      </c>
      <c r="U38" s="13" t="n">
        <v>0</v>
      </c>
      <c r="V38" s="13" t="n">
        <v>0</v>
      </c>
      <c r="W38" s="13" t="n">
        <v>0</v>
      </c>
      <c r="X38" s="13" t="n">
        <v>0</v>
      </c>
      <c r="Y38" s="13" t="n">
        <v>0</v>
      </c>
      <c r="Z38" s="13" t="n">
        <v>0</v>
      </c>
      <c r="AA38" s="13" t="n">
        <v>0</v>
      </c>
      <c r="AB38" s="13" t="n">
        <v>0</v>
      </c>
      <c r="AC38" s="13" t="n">
        <v>0</v>
      </c>
      <c r="AD38" s="13" t="n">
        <v>0</v>
      </c>
      <c r="AE38" s="15" t="n">
        <f aca="false">SUM(S38:AD38)</f>
        <v>9674932</v>
      </c>
      <c r="AF38" s="16"/>
      <c r="AG38" s="13"/>
      <c r="AH38" s="13"/>
      <c r="AI38" s="37" t="n">
        <f aca="false">AE38-AG38+AH38</f>
        <v>9674932</v>
      </c>
      <c r="AJ38" s="13" t="n">
        <f aca="false">AI38-AK38</f>
        <v>-8659981</v>
      </c>
      <c r="AK38" s="13" t="n">
        <v>18334913</v>
      </c>
    </row>
    <row r="39" s="17" customFormat="true" ht="15.75" hidden="false" customHeight="true" outlineLevel="0" collapsed="false">
      <c r="A39" s="12" t="s">
        <v>78</v>
      </c>
      <c r="B39" s="38"/>
      <c r="C39" s="14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15"/>
      <c r="O39" s="16"/>
      <c r="P39" s="13"/>
      <c r="Q39" s="13"/>
      <c r="R39" s="13"/>
      <c r="S39" s="38" t="n">
        <v>6710516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5" t="n">
        <f aca="false">SUM(S39:AD39)</f>
        <v>6710516</v>
      </c>
      <c r="AF39" s="16"/>
      <c r="AG39" s="13"/>
      <c r="AH39" s="13"/>
      <c r="AI39" s="37" t="n">
        <f aca="false">AE39-AG39+AH39</f>
        <v>6710516</v>
      </c>
      <c r="AJ39" s="13"/>
      <c r="AK39" s="13"/>
    </row>
    <row r="40" s="17" customFormat="true" ht="15.75" hidden="false" customHeight="true" outlineLevel="0" collapsed="false">
      <c r="A40" s="12" t="s">
        <v>79</v>
      </c>
      <c r="B40" s="38"/>
      <c r="C40" s="14" t="n">
        <f aca="false">D40-B40</f>
        <v>0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15" t="n">
        <f aca="false">SUM(D40:M40)</f>
        <v>0</v>
      </c>
      <c r="O40" s="16"/>
      <c r="P40" s="13"/>
      <c r="Q40" s="13"/>
      <c r="R40" s="13" t="n">
        <f aca="false">N40-P40+Q40</f>
        <v>0</v>
      </c>
      <c r="S40" s="38" t="n">
        <v>2203673</v>
      </c>
      <c r="T40" s="13" t="n">
        <v>0</v>
      </c>
      <c r="U40" s="13" t="n">
        <v>0</v>
      </c>
      <c r="V40" s="13" t="n">
        <v>0</v>
      </c>
      <c r="W40" s="13" t="n">
        <v>0</v>
      </c>
      <c r="X40" s="13" t="n">
        <v>0</v>
      </c>
      <c r="Y40" s="13" t="n">
        <v>0</v>
      </c>
      <c r="Z40" s="13" t="n">
        <v>0</v>
      </c>
      <c r="AA40" s="13" t="n">
        <v>0</v>
      </c>
      <c r="AB40" s="13" t="n">
        <v>0</v>
      </c>
      <c r="AC40" s="13" t="n">
        <v>0</v>
      </c>
      <c r="AD40" s="13" t="n">
        <v>0</v>
      </c>
      <c r="AE40" s="15" t="n">
        <f aca="false">SUM(S40:AD40)</f>
        <v>2203673</v>
      </c>
      <c r="AF40" s="16"/>
      <c r="AG40" s="13"/>
      <c r="AH40" s="13"/>
      <c r="AI40" s="37" t="n">
        <f aca="false">AE40-AG40+AH40</f>
        <v>2203673</v>
      </c>
      <c r="AJ40" s="13" t="n">
        <f aca="false">AI40-AK40</f>
        <v>2203673</v>
      </c>
      <c r="AK40" s="13" t="n">
        <v>0</v>
      </c>
    </row>
    <row r="41" customFormat="false" ht="15.75" hidden="false" customHeight="true" outlineLevel="0" collapsed="false">
      <c r="A41" s="26" t="s">
        <v>80</v>
      </c>
      <c r="B41" s="32" t="n">
        <v>14282894</v>
      </c>
      <c r="C41" s="28" t="n">
        <f aca="false">D41-B41</f>
        <v>0</v>
      </c>
      <c r="D41" s="32" t="n">
        <v>14282894</v>
      </c>
      <c r="E41" s="32" t="n">
        <v>0</v>
      </c>
      <c r="F41" s="32" t="n">
        <v>2666934.93</v>
      </c>
      <c r="G41" s="32" t="n">
        <v>0</v>
      </c>
      <c r="H41" s="32" t="n">
        <v>0</v>
      </c>
      <c r="I41" s="32" t="n">
        <v>0</v>
      </c>
      <c r="J41" s="32" t="n">
        <v>0</v>
      </c>
      <c r="K41" s="32" t="n">
        <v>0</v>
      </c>
      <c r="L41" s="32" t="n">
        <v>0</v>
      </c>
      <c r="M41" s="32" t="n">
        <v>0</v>
      </c>
      <c r="N41" s="29" t="n">
        <f aca="false">SUM(D41:M41)</f>
        <v>16949828.93</v>
      </c>
      <c r="O41" s="30" t="s">
        <v>41</v>
      </c>
      <c r="P41" s="27" t="n">
        <f aca="false">+'Asientos - para Consolidado'!D57</f>
        <v>2666934.93</v>
      </c>
      <c r="Q41" s="27"/>
      <c r="R41" s="27" t="n">
        <f aca="false">N41-P41+Q41</f>
        <v>14282894</v>
      </c>
      <c r="S41" s="32" t="n">
        <v>10628880</v>
      </c>
      <c r="T41" s="27" t="n">
        <v>0</v>
      </c>
      <c r="U41" s="32" t="n">
        <v>2566935</v>
      </c>
      <c r="V41" s="27" t="n">
        <v>0</v>
      </c>
      <c r="W41" s="27" t="n">
        <v>0</v>
      </c>
      <c r="X41" s="27" t="n">
        <v>0</v>
      </c>
      <c r="Y41" s="27" t="n">
        <v>0</v>
      </c>
      <c r="Z41" s="27" t="n">
        <v>0</v>
      </c>
      <c r="AA41" s="27" t="n">
        <v>0</v>
      </c>
      <c r="AB41" s="32" t="n">
        <v>3477854</v>
      </c>
      <c r="AC41" s="27" t="n">
        <v>507600</v>
      </c>
      <c r="AD41" s="27" t="n">
        <v>0</v>
      </c>
      <c r="AE41" s="29" t="n">
        <f aca="false">SUM(S41:AD41)</f>
        <v>17181269</v>
      </c>
      <c r="AF41" s="30" t="s">
        <v>39</v>
      </c>
      <c r="AG41" s="27" t="n">
        <f aca="false">+'Diarios Cxc Cxp relac (c)'!D30</f>
        <v>3985455</v>
      </c>
      <c r="AH41" s="27"/>
      <c r="AI41" s="27" t="n">
        <f aca="false">AE41-AG41+AH41</f>
        <v>13195814</v>
      </c>
      <c r="AJ41" s="27" t="n">
        <f aca="false">AI41-AK41</f>
        <v>-1087080</v>
      </c>
      <c r="AK41" s="27" t="n">
        <v>14282894</v>
      </c>
    </row>
    <row r="42" customFormat="false" ht="15.75" hidden="false" customHeight="true" outlineLevel="0" collapsed="false">
      <c r="A42" s="26" t="s">
        <v>81</v>
      </c>
      <c r="B42" s="32"/>
      <c r="C42" s="28" t="n">
        <f aca="false">D42-B42</f>
        <v>0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29" t="n">
        <f aca="false">SUM(D42:M42)</f>
        <v>0</v>
      </c>
      <c r="O42" s="30"/>
      <c r="P42" s="27"/>
      <c r="Q42" s="27"/>
      <c r="R42" s="27" t="n">
        <f aca="false">N42-P42+Q42</f>
        <v>0</v>
      </c>
      <c r="S42" s="32" t="n">
        <v>3182459</v>
      </c>
      <c r="T42" s="27" t="n">
        <v>0</v>
      </c>
      <c r="U42" s="27" t="n">
        <v>0</v>
      </c>
      <c r="V42" s="27" t="n">
        <v>0</v>
      </c>
      <c r="W42" s="27" t="n">
        <v>0</v>
      </c>
      <c r="X42" s="27" t="n">
        <v>0</v>
      </c>
      <c r="Y42" s="27" t="n">
        <v>0</v>
      </c>
      <c r="Z42" s="27" t="n">
        <v>0</v>
      </c>
      <c r="AA42" s="27" t="n">
        <v>0</v>
      </c>
      <c r="AB42" s="27" t="n">
        <v>16045</v>
      </c>
      <c r="AC42" s="27" t="n">
        <v>0</v>
      </c>
      <c r="AD42" s="27" t="n">
        <v>0</v>
      </c>
      <c r="AE42" s="29" t="n">
        <f aca="false">SUM(S42:AD42)</f>
        <v>3198504</v>
      </c>
      <c r="AF42" s="30" t="s">
        <v>39</v>
      </c>
      <c r="AG42" s="27" t="n">
        <f aca="false">+'Diarios Cxc Cxp relac (c)'!D31</f>
        <v>0</v>
      </c>
      <c r="AH42" s="27"/>
      <c r="AI42" s="27" t="n">
        <f aca="false">AE42-AG42+AH42</f>
        <v>3198504</v>
      </c>
      <c r="AJ42" s="27" t="n">
        <f aca="false">AI42-AK42</f>
        <v>3198504</v>
      </c>
      <c r="AK42" s="27" t="n">
        <v>0</v>
      </c>
    </row>
    <row r="43" customFormat="false" ht="15.75" hidden="false" customHeight="true" outlineLevel="0" collapsed="false">
      <c r="A43" s="26" t="s">
        <v>82</v>
      </c>
      <c r="B43" s="32"/>
      <c r="C43" s="28" t="n">
        <f aca="false">D43-B43</f>
        <v>0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29" t="n">
        <f aca="false">SUM(D43:M43)</f>
        <v>0</v>
      </c>
      <c r="O43" s="30"/>
      <c r="P43" s="27"/>
      <c r="Q43" s="27"/>
      <c r="R43" s="27" t="n">
        <f aca="false">N43-P43+Q43</f>
        <v>0</v>
      </c>
      <c r="S43" s="32" t="n">
        <v>0</v>
      </c>
      <c r="T43" s="27" t="n">
        <v>0</v>
      </c>
      <c r="U43" s="27" t="n">
        <v>0</v>
      </c>
      <c r="V43" s="27" t="n">
        <v>0</v>
      </c>
      <c r="W43" s="27" t="n">
        <v>0</v>
      </c>
      <c r="X43" s="27" t="n">
        <v>0</v>
      </c>
      <c r="Y43" s="27" t="n">
        <v>0</v>
      </c>
      <c r="Z43" s="27" t="n">
        <v>0</v>
      </c>
      <c r="AA43" s="27" t="n">
        <v>0</v>
      </c>
      <c r="AB43" s="32" t="n">
        <v>0</v>
      </c>
      <c r="AC43" s="27" t="n">
        <v>0</v>
      </c>
      <c r="AD43" s="27" t="n">
        <v>0</v>
      </c>
      <c r="AE43" s="29" t="n">
        <f aca="false">SUM(S43:AD43)</f>
        <v>0</v>
      </c>
      <c r="AF43" s="30"/>
      <c r="AG43" s="27"/>
      <c r="AH43" s="27"/>
      <c r="AI43" s="27" t="n">
        <f aca="false">AE43-AG43+AH43</f>
        <v>0</v>
      </c>
      <c r="AJ43" s="27" t="n">
        <f aca="false">AI43-AK43</f>
        <v>0</v>
      </c>
      <c r="AK43" s="27" t="n">
        <v>0</v>
      </c>
    </row>
    <row r="44" customFormat="false" ht="15.75" hidden="false" customHeight="true" outlineLevel="0" collapsed="false">
      <c r="A44" s="26" t="s">
        <v>83</v>
      </c>
      <c r="B44" s="32" t="n">
        <v>3513316</v>
      </c>
      <c r="C44" s="28" t="n">
        <f aca="false">D44-B44</f>
        <v>924346</v>
      </c>
      <c r="D44" s="32" t="n">
        <v>4437662</v>
      </c>
      <c r="E44" s="32" t="n">
        <v>0</v>
      </c>
      <c r="F44" s="32" t="n">
        <v>0</v>
      </c>
      <c r="G44" s="32" t="n">
        <v>0</v>
      </c>
      <c r="H44" s="32" t="n">
        <f aca="false">21025.63+12925.72</f>
        <v>33951.35</v>
      </c>
      <c r="I44" s="32" t="n">
        <v>0</v>
      </c>
      <c r="J44" s="32" t="n">
        <v>0</v>
      </c>
      <c r="K44" s="32" t="n">
        <v>0</v>
      </c>
      <c r="L44" s="32" t="n">
        <v>0</v>
      </c>
      <c r="M44" s="32" t="n">
        <v>0</v>
      </c>
      <c r="N44" s="29" t="n">
        <f aca="false">SUM(D44:M44)</f>
        <v>4471613.35</v>
      </c>
      <c r="O44" s="30"/>
      <c r="P44" s="27"/>
      <c r="Q44" s="27"/>
      <c r="R44" s="27" t="n">
        <f aca="false">N44-P44+Q44</f>
        <v>4471613.35</v>
      </c>
      <c r="S44" s="32" t="n">
        <v>5140510</v>
      </c>
      <c r="T44" s="27" t="n">
        <v>0</v>
      </c>
      <c r="U44" s="27" t="n">
        <v>0</v>
      </c>
      <c r="V44" s="27" t="n">
        <v>0</v>
      </c>
      <c r="W44" s="27" t="n">
        <v>0</v>
      </c>
      <c r="X44" s="27" t="n">
        <v>0</v>
      </c>
      <c r="Y44" s="27" t="n">
        <v>0</v>
      </c>
      <c r="Z44" s="27" t="n">
        <v>0</v>
      </c>
      <c r="AA44" s="27" t="n">
        <v>0</v>
      </c>
      <c r="AB44" s="32" t="n">
        <v>0</v>
      </c>
      <c r="AC44" s="32" t="n">
        <v>45037</v>
      </c>
      <c r="AD44" s="27" t="n">
        <v>0</v>
      </c>
      <c r="AE44" s="29" t="n">
        <f aca="false">SUM(S44:AD44)</f>
        <v>5185547</v>
      </c>
      <c r="AF44" s="30"/>
      <c r="AG44" s="27"/>
      <c r="AH44" s="27"/>
      <c r="AI44" s="27" t="n">
        <f aca="false">AE44-AG44+AH44</f>
        <v>5185547</v>
      </c>
      <c r="AJ44" s="27" t="n">
        <f aca="false">AI44-AK44</f>
        <v>713933</v>
      </c>
      <c r="AK44" s="27" t="n">
        <v>4471614</v>
      </c>
    </row>
    <row r="45" s="17" customFormat="true" ht="15.75" hidden="false" customHeight="true" outlineLevel="0" collapsed="false">
      <c r="A45" s="12" t="s">
        <v>84</v>
      </c>
      <c r="B45" s="38" t="n">
        <v>13213506</v>
      </c>
      <c r="C45" s="14" t="n">
        <f aca="false">D45-B45</f>
        <v>0</v>
      </c>
      <c r="D45" s="38" t="n">
        <v>13213506</v>
      </c>
      <c r="E45" s="38" t="n">
        <v>0</v>
      </c>
      <c r="F45" s="38" t="n">
        <v>0</v>
      </c>
      <c r="G45" s="38" t="n">
        <v>0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</v>
      </c>
      <c r="N45" s="15" t="n">
        <f aca="false">SUM(D45:M45)</f>
        <v>13213506</v>
      </c>
      <c r="O45" s="16"/>
      <c r="P45" s="13"/>
      <c r="Q45" s="13"/>
      <c r="R45" s="13" t="n">
        <f aca="false">N45-P45+Q45</f>
        <v>13213506</v>
      </c>
      <c r="S45" s="38" t="n">
        <v>20813206</v>
      </c>
      <c r="T45" s="13" t="n">
        <v>0</v>
      </c>
      <c r="U45" s="13" t="n">
        <v>0</v>
      </c>
      <c r="V45" s="13" t="n">
        <v>0</v>
      </c>
      <c r="W45" s="13" t="n">
        <v>0</v>
      </c>
      <c r="X45" s="13" t="n">
        <v>0</v>
      </c>
      <c r="Y45" s="13" t="n">
        <v>0</v>
      </c>
      <c r="Z45" s="13" t="n">
        <v>0</v>
      </c>
      <c r="AA45" s="13" t="n">
        <v>0</v>
      </c>
      <c r="AB45" s="38" t="n">
        <v>0</v>
      </c>
      <c r="AC45" s="13" t="n">
        <v>0</v>
      </c>
      <c r="AD45" s="13" t="n">
        <v>0</v>
      </c>
      <c r="AE45" s="15" t="n">
        <f aca="false">SUM(S45:AD45)</f>
        <v>20813206</v>
      </c>
      <c r="AF45" s="16"/>
      <c r="AG45" s="13"/>
      <c r="AH45" s="13"/>
      <c r="AI45" s="13" t="n">
        <f aca="false">AE45-AG45+AH45</f>
        <v>20813206</v>
      </c>
      <c r="AJ45" s="13" t="n">
        <f aca="false">AI45-AK45</f>
        <v>7599700</v>
      </c>
      <c r="AK45" s="13" t="n">
        <v>13213506</v>
      </c>
    </row>
    <row r="46" customFormat="false" ht="15.75" hidden="false" customHeight="true" outlineLevel="0" collapsed="false">
      <c r="A46" s="26" t="s">
        <v>85</v>
      </c>
      <c r="B46" s="33" t="n">
        <v>3572443</v>
      </c>
      <c r="C46" s="28" t="n">
        <f aca="false">D46-B46</f>
        <v>2334259</v>
      </c>
      <c r="D46" s="33" t="n">
        <v>5906702</v>
      </c>
      <c r="E46" s="33" t="n">
        <v>0</v>
      </c>
      <c r="F46" s="33" t="n">
        <v>0</v>
      </c>
      <c r="G46" s="33" t="n">
        <v>31406.06</v>
      </c>
      <c r="H46" s="33" t="n">
        <v>0</v>
      </c>
      <c r="I46" s="33" t="n">
        <v>0</v>
      </c>
      <c r="J46" s="33" t="n">
        <v>0</v>
      </c>
      <c r="K46" s="33" t="n">
        <v>0</v>
      </c>
      <c r="L46" s="33" t="n">
        <v>0</v>
      </c>
      <c r="M46" s="33" t="n">
        <v>0</v>
      </c>
      <c r="N46" s="34" t="n">
        <f aca="false">SUM(D46:M46)</f>
        <v>5938108.06</v>
      </c>
      <c r="O46" s="30"/>
      <c r="P46" s="27"/>
      <c r="Q46" s="27"/>
      <c r="R46" s="33" t="n">
        <f aca="false">N46-P46+Q46</f>
        <v>5938108.06</v>
      </c>
      <c r="S46" s="33" t="n">
        <v>3572443</v>
      </c>
      <c r="T46" s="33" t="n">
        <v>0</v>
      </c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4" t="n">
        <f aca="false">SUM(S46:AD46)</f>
        <v>3572443</v>
      </c>
      <c r="AF46" s="30"/>
      <c r="AG46" s="27"/>
      <c r="AH46" s="27"/>
      <c r="AI46" s="33" t="n">
        <f aca="false">AE46-AG46+AH46</f>
        <v>3572443</v>
      </c>
      <c r="AJ46" s="33" t="n">
        <f aca="false">AI46-AK46</f>
        <v>-2365666</v>
      </c>
      <c r="AK46" s="33" t="n">
        <v>5938109</v>
      </c>
    </row>
    <row r="47" customFormat="false" ht="15.75" hidden="false" customHeight="true" outlineLevel="0" collapsed="false">
      <c r="A47" s="35" t="s">
        <v>86</v>
      </c>
      <c r="B47" s="39" t="n">
        <f aca="false">SUM(B28:B46)</f>
        <v>124943136</v>
      </c>
      <c r="C47" s="40"/>
      <c r="D47" s="39" t="n">
        <f aca="false">SUM(D28:D46)</f>
        <v>128201741</v>
      </c>
      <c r="E47" s="39" t="n">
        <f aca="false">SUM(E28:E46)</f>
        <v>3790625</v>
      </c>
      <c r="F47" s="39" t="n">
        <f aca="false">SUM(F28:F46)</f>
        <v>3007926.43</v>
      </c>
      <c r="G47" s="39" t="n">
        <f aca="false">SUM(G28:G46)</f>
        <v>1407249.06</v>
      </c>
      <c r="H47" s="39" t="n">
        <f aca="false">SUM(H28:H46)</f>
        <v>604577.15</v>
      </c>
      <c r="I47" s="39" t="n">
        <f aca="false">SUM(I28:I46)</f>
        <v>0</v>
      </c>
      <c r="J47" s="39" t="n">
        <f aca="false">SUM(J28:J46)</f>
        <v>793.6</v>
      </c>
      <c r="K47" s="39" t="n">
        <f aca="false">SUM(K28:K46)</f>
        <v>0</v>
      </c>
      <c r="L47" s="39" t="n">
        <f aca="false">SUM(L28:L46)</f>
        <v>0</v>
      </c>
      <c r="M47" s="39" t="n">
        <f aca="false">SUM(M28:M46)</f>
        <v>0</v>
      </c>
      <c r="N47" s="39" t="n">
        <f aca="false">SUM(N28:N46)</f>
        <v>137012912.24</v>
      </c>
      <c r="O47" s="30"/>
      <c r="P47" s="36"/>
      <c r="Q47" s="36"/>
      <c r="R47" s="39" t="n">
        <f aca="false">SUM(R28:R46)</f>
        <v>129584486.42</v>
      </c>
      <c r="S47" s="39" t="n">
        <f aca="false">SUM(S27:S46)</f>
        <v>126573375</v>
      </c>
      <c r="T47" s="39" t="n">
        <f aca="false">SUM(T28:T46)</f>
        <v>8586796</v>
      </c>
      <c r="U47" s="39" t="n">
        <f aca="false">SUM(U28:U46)</f>
        <v>2683308</v>
      </c>
      <c r="V47" s="39" t="n">
        <f aca="false">SUM(V28:V46)</f>
        <v>180603</v>
      </c>
      <c r="W47" s="39" t="n">
        <f aca="false">SUM(W28:W46)</f>
        <v>1296079</v>
      </c>
      <c r="X47" s="39" t="n">
        <f aca="false">SUM(X28:X46)</f>
        <v>0</v>
      </c>
      <c r="Y47" s="39" t="n">
        <f aca="false">SUM(Y28:Y46)</f>
        <v>0</v>
      </c>
      <c r="Z47" s="39" t="n">
        <f aca="false">SUM(Z28:Z46)</f>
        <v>0</v>
      </c>
      <c r="AA47" s="39" t="n">
        <f aca="false">SUM(AA28:AA46)</f>
        <v>0</v>
      </c>
      <c r="AB47" s="39" t="n">
        <f aca="false">SUM(AB28:AB46)</f>
        <v>3525403</v>
      </c>
      <c r="AC47" s="39" t="n">
        <f aca="false">SUM(AC28:AC46)</f>
        <v>751998</v>
      </c>
      <c r="AD47" s="39" t="n">
        <f aca="false">SUM(AD28:AD46)</f>
        <v>979148</v>
      </c>
      <c r="AE47" s="39" t="n">
        <f aca="false">SUM(AE27:AE46)</f>
        <v>144576710</v>
      </c>
      <c r="AF47" s="30"/>
      <c r="AG47" s="36"/>
      <c r="AH47" s="36"/>
      <c r="AI47" s="39" t="e">
        <f aca="false">SUM(AI27:AI46)</f>
        <v>#REF!</v>
      </c>
      <c r="AJ47" s="39" t="e">
        <f aca="false">AI47-AK47</f>
        <v>#REF!</v>
      </c>
      <c r="AK47" s="39" t="n">
        <f aca="false">SUM(AK28:AK46)</f>
        <v>129584488</v>
      </c>
    </row>
    <row r="48" customFormat="false" ht="15.75" hidden="false" customHeight="true" outlineLevel="0" collapsed="false">
      <c r="A48" s="26" t="s">
        <v>87</v>
      </c>
      <c r="B48" s="27" t="n">
        <v>23879352</v>
      </c>
      <c r="C48" s="28" t="n">
        <f aca="false">D48-B48</f>
        <v>0</v>
      </c>
      <c r="D48" s="27" t="n">
        <v>23879352</v>
      </c>
      <c r="E48" s="41" t="n">
        <v>5000</v>
      </c>
      <c r="F48" s="41" t="n">
        <v>105000</v>
      </c>
      <c r="G48" s="41" t="n">
        <v>10000</v>
      </c>
      <c r="H48" s="27" t="n">
        <v>1000</v>
      </c>
      <c r="I48" s="27" t="n">
        <v>1000</v>
      </c>
      <c r="J48" s="27" t="n">
        <v>5000</v>
      </c>
      <c r="K48" s="27" t="n">
        <v>10000</v>
      </c>
      <c r="L48" s="27" t="n">
        <v>800</v>
      </c>
      <c r="M48" s="27" t="n">
        <v>800</v>
      </c>
      <c r="N48" s="29" t="n">
        <f aca="false">SUM(D48:M48)</f>
        <v>24017952</v>
      </c>
      <c r="O48" s="30" t="s">
        <v>51</v>
      </c>
      <c r="P48" s="27" t="n">
        <f aca="false">+'Asientos - para Consolidado'!D24</f>
        <v>138600</v>
      </c>
      <c r="Q48" s="27"/>
      <c r="R48" s="27" t="n">
        <f aca="false">N48-P48+Q48</f>
        <v>23879352</v>
      </c>
      <c r="S48" s="27" t="n">
        <v>30006697</v>
      </c>
      <c r="T48" s="41" t="n">
        <v>5000</v>
      </c>
      <c r="U48" s="41" t="n">
        <v>1105000</v>
      </c>
      <c r="V48" s="41" t="n">
        <v>10000</v>
      </c>
      <c r="W48" s="27" t="n">
        <v>1000</v>
      </c>
      <c r="X48" s="27" t="n">
        <v>1000</v>
      </c>
      <c r="Y48" s="27" t="n">
        <v>5000</v>
      </c>
      <c r="Z48" s="27" t="n">
        <v>10000</v>
      </c>
      <c r="AA48" s="27" t="n">
        <v>800</v>
      </c>
      <c r="AB48" s="27" t="n">
        <v>800</v>
      </c>
      <c r="AC48" s="27" t="n">
        <v>3661400</v>
      </c>
      <c r="AD48" s="27" t="n">
        <v>10000</v>
      </c>
      <c r="AE48" s="29" t="n">
        <f aca="false">SUM(S48:AD48)</f>
        <v>34816697</v>
      </c>
      <c r="AF48" s="30" t="s">
        <v>59</v>
      </c>
      <c r="AG48" s="27" t="e">
        <f aca="false">'Diario 2015 (a)'!C2+#REF!</f>
        <v>#REF!</v>
      </c>
      <c r="AH48" s="27"/>
      <c r="AI48" s="27" t="e">
        <f aca="false">AE48-AG48+AH48</f>
        <v>#REF!</v>
      </c>
      <c r="AJ48" s="27" t="e">
        <f aca="false">AI48-AK48</f>
        <v>#REF!</v>
      </c>
      <c r="AK48" s="27" t="n">
        <v>23879352</v>
      </c>
      <c r="AL48" s="4" t="e">
        <f aca="false">+S48-AI48</f>
        <v>#REF!</v>
      </c>
    </row>
    <row r="49" customFormat="false" ht="15.75" hidden="false" customHeight="true" outlineLevel="0" collapsed="false">
      <c r="A49" s="26" t="s">
        <v>88</v>
      </c>
      <c r="B49" s="27" t="n">
        <v>705936</v>
      </c>
      <c r="C49" s="28" t="n">
        <f aca="false">D49-B49</f>
        <v>0</v>
      </c>
      <c r="D49" s="27" t="n">
        <v>705936</v>
      </c>
      <c r="E49" s="41" t="n">
        <v>37184314</v>
      </c>
      <c r="F49" s="41" t="n">
        <f aca="false">1000000+260413.02</f>
        <v>1260413.02</v>
      </c>
      <c r="G49" s="41" t="n">
        <v>0</v>
      </c>
      <c r="H49" s="27" t="n">
        <v>49015</v>
      </c>
      <c r="I49" s="27" t="n">
        <v>330450</v>
      </c>
      <c r="J49" s="27" t="n">
        <v>0</v>
      </c>
      <c r="K49" s="27" t="n">
        <v>0</v>
      </c>
      <c r="L49" s="27" t="n">
        <v>0</v>
      </c>
      <c r="M49" s="27" t="n">
        <v>0</v>
      </c>
      <c r="N49" s="29" t="n">
        <f aca="false">SUM(D49:M49)</f>
        <v>39530128.02</v>
      </c>
      <c r="O49" s="30" t="s">
        <v>89</v>
      </c>
      <c r="P49" s="27" t="n">
        <f aca="false">+'Asientos - para Consolidado'!D16+'Asientos - para Consolidado'!D25+'Asientos - para Consolidado'!D62</f>
        <v>38824192</v>
      </c>
      <c r="Q49" s="27"/>
      <c r="R49" s="27" t="n">
        <f aca="false">N49-P49+Q49</f>
        <v>705936.020000003</v>
      </c>
      <c r="S49" s="27" t="n">
        <v>920</v>
      </c>
      <c r="T49" s="41" t="n">
        <v>42340052</v>
      </c>
      <c r="U49" s="41" t="n">
        <v>877313</v>
      </c>
      <c r="V49" s="27" t="n">
        <v>0</v>
      </c>
      <c r="W49" s="27" t="n">
        <v>49015</v>
      </c>
      <c r="X49" s="27" t="n">
        <v>330450</v>
      </c>
      <c r="Y49" s="27" t="n">
        <v>0</v>
      </c>
      <c r="Z49" s="27" t="n">
        <v>0</v>
      </c>
      <c r="AA49" s="27" t="n">
        <v>0</v>
      </c>
      <c r="AB49" s="27" t="n">
        <v>1833417</v>
      </c>
      <c r="AC49" s="27" t="n">
        <v>406800</v>
      </c>
      <c r="AD49" s="27" t="n">
        <v>0</v>
      </c>
      <c r="AE49" s="29" t="n">
        <f aca="false">SUM(S49:AD49)</f>
        <v>45837967</v>
      </c>
      <c r="AF49" s="30" t="s">
        <v>59</v>
      </c>
      <c r="AG49" s="27" t="e">
        <f aca="false">'Diario 2015 (a)'!C3+#REF!</f>
        <v>#REF!</v>
      </c>
      <c r="AH49" s="27"/>
      <c r="AI49" s="27" t="e">
        <f aca="false">AE49-AG49+AH49</f>
        <v>#REF!</v>
      </c>
      <c r="AJ49" s="27" t="e">
        <f aca="false">AI49-AK49</f>
        <v>#REF!</v>
      </c>
      <c r="AK49" s="27" t="n">
        <v>705936</v>
      </c>
      <c r="AL49" s="4" t="e">
        <f aca="false">+S49-AI49</f>
        <v>#REF!</v>
      </c>
      <c r="AO49" s="42" t="n">
        <f aca="false">AK26-AK47-AK58</f>
        <v>0</v>
      </c>
    </row>
    <row r="50" customFormat="false" ht="15.75" hidden="false" customHeight="true" outlineLevel="0" collapsed="false">
      <c r="A50" s="26" t="s">
        <v>90</v>
      </c>
      <c r="B50" s="27" t="n">
        <v>2640253</v>
      </c>
      <c r="C50" s="28" t="n">
        <f aca="false">D50-B50</f>
        <v>0</v>
      </c>
      <c r="D50" s="27" t="n">
        <v>2640253</v>
      </c>
      <c r="E50" s="41" t="n">
        <v>0</v>
      </c>
      <c r="F50" s="41" t="n">
        <v>0</v>
      </c>
      <c r="G50" s="41" t="n">
        <v>74426.57</v>
      </c>
      <c r="H50" s="27" t="n">
        <v>500</v>
      </c>
      <c r="I50" s="27" t="n">
        <v>109633.48</v>
      </c>
      <c r="J50" s="27" t="n">
        <v>0</v>
      </c>
      <c r="K50" s="27" t="n">
        <v>0</v>
      </c>
      <c r="L50" s="27" t="n">
        <v>0</v>
      </c>
      <c r="M50" s="27" t="n">
        <v>0</v>
      </c>
      <c r="N50" s="29" t="n">
        <f aca="false">SUM(D50:M50)</f>
        <v>2824813.05</v>
      </c>
      <c r="O50" s="30" t="s">
        <v>51</v>
      </c>
      <c r="P50" s="27" t="n">
        <f aca="false">+'Asientos - para Consolidado'!D26</f>
        <v>184560.05</v>
      </c>
      <c r="Q50" s="27"/>
      <c r="R50" s="27" t="n">
        <f aca="false">N50-P50+Q50</f>
        <v>2640253</v>
      </c>
      <c r="S50" s="27" t="n">
        <v>4662954</v>
      </c>
      <c r="T50" s="27" t="n">
        <v>0</v>
      </c>
      <c r="U50" s="27" t="n">
        <v>0</v>
      </c>
      <c r="V50" s="41" t="n">
        <v>74426</v>
      </c>
      <c r="W50" s="27" t="n">
        <v>500</v>
      </c>
      <c r="X50" s="27" t="n">
        <v>109633</v>
      </c>
      <c r="Y50" s="27" t="n">
        <v>0</v>
      </c>
      <c r="Z50" s="27" t="n">
        <v>0</v>
      </c>
      <c r="AA50" s="27" t="n">
        <v>0</v>
      </c>
      <c r="AB50" s="27" t="n">
        <v>0</v>
      </c>
      <c r="AC50" s="27" t="n">
        <v>0</v>
      </c>
      <c r="AD50" s="27" t="n">
        <v>0</v>
      </c>
      <c r="AE50" s="29" t="n">
        <f aca="false">SUM(S50:AD50)</f>
        <v>4847513</v>
      </c>
      <c r="AF50" s="30" t="s">
        <v>52</v>
      </c>
      <c r="AG50" s="27" t="n">
        <f aca="false">'Diario 2015 (a)'!C4</f>
        <v>184560.05</v>
      </c>
      <c r="AH50" s="27"/>
      <c r="AI50" s="27" t="n">
        <f aca="false">AE50-AG50+AH50</f>
        <v>4662952.95</v>
      </c>
      <c r="AJ50" s="27" t="n">
        <f aca="false">AI50-AK50</f>
        <v>2022699.95</v>
      </c>
      <c r="AK50" s="27" t="n">
        <v>2640253</v>
      </c>
      <c r="AL50" s="4" t="n">
        <f aca="false">+S50-AI50</f>
        <v>1.04999999981374</v>
      </c>
    </row>
    <row r="51" customFormat="false" ht="15.75" hidden="false" customHeight="true" outlineLevel="0" collapsed="false">
      <c r="A51" s="26" t="s">
        <v>91</v>
      </c>
      <c r="B51" s="27" t="n">
        <v>34797</v>
      </c>
      <c r="C51" s="28" t="n">
        <f aca="false">D51-B51</f>
        <v>0</v>
      </c>
      <c r="D51" s="27" t="n">
        <v>34797</v>
      </c>
      <c r="E51" s="41" t="n">
        <v>0</v>
      </c>
      <c r="F51" s="41" t="n">
        <v>0</v>
      </c>
      <c r="G51" s="41" t="n">
        <v>0</v>
      </c>
      <c r="H51" s="27" t="n">
        <v>0</v>
      </c>
      <c r="I51" s="27" t="n">
        <v>0</v>
      </c>
      <c r="J51" s="27" t="n">
        <v>0</v>
      </c>
      <c r="K51" s="27" t="n">
        <v>0</v>
      </c>
      <c r="L51" s="27" t="n">
        <v>0</v>
      </c>
      <c r="M51" s="27" t="n">
        <v>0</v>
      </c>
      <c r="N51" s="29" t="n">
        <f aca="false">SUM(D51:M51)</f>
        <v>34797</v>
      </c>
      <c r="O51" s="30"/>
      <c r="P51" s="27"/>
      <c r="Q51" s="27"/>
      <c r="R51" s="27" t="n">
        <f aca="false">N51-P51+Q51</f>
        <v>34797</v>
      </c>
      <c r="S51" s="27" t="n">
        <v>34797</v>
      </c>
      <c r="T51" s="27" t="n">
        <v>0</v>
      </c>
      <c r="U51" s="27" t="n">
        <v>0</v>
      </c>
      <c r="V51" s="27" t="n">
        <v>0</v>
      </c>
      <c r="W51" s="27" t="n">
        <v>0</v>
      </c>
      <c r="X51" s="27" t="n">
        <v>0</v>
      </c>
      <c r="Y51" s="27" t="n">
        <v>0</v>
      </c>
      <c r="Z51" s="27" t="n">
        <v>0</v>
      </c>
      <c r="AA51" s="27" t="n">
        <v>0</v>
      </c>
      <c r="AB51" s="27" t="n">
        <v>0</v>
      </c>
      <c r="AC51" s="27" t="n">
        <v>0</v>
      </c>
      <c r="AD51" s="27" t="n">
        <v>0</v>
      </c>
      <c r="AE51" s="29" t="n">
        <f aca="false">SUM(S51:AD51)</f>
        <v>34797</v>
      </c>
      <c r="AF51" s="30"/>
      <c r="AG51" s="27"/>
      <c r="AH51" s="27"/>
      <c r="AI51" s="27" t="n">
        <f aca="false">AE51-AG51+AH51</f>
        <v>34797</v>
      </c>
      <c r="AJ51" s="27" t="n">
        <f aca="false">AI51-AK51</f>
        <v>0</v>
      </c>
      <c r="AK51" s="27" t="n">
        <v>34797</v>
      </c>
      <c r="AL51" s="4" t="n">
        <f aca="false">+S51-AI51</f>
        <v>0</v>
      </c>
    </row>
    <row r="52" customFormat="false" ht="15.75" hidden="false" customHeight="true" outlineLevel="0" collapsed="false">
      <c r="A52" s="26" t="s">
        <v>92</v>
      </c>
      <c r="B52" s="27" t="n">
        <v>227072</v>
      </c>
      <c r="C52" s="28" t="n">
        <f aca="false">D52-B52</f>
        <v>0</v>
      </c>
      <c r="D52" s="27" t="n">
        <v>227072</v>
      </c>
      <c r="E52" s="41" t="n">
        <v>0</v>
      </c>
      <c r="F52" s="41" t="n">
        <v>0</v>
      </c>
      <c r="G52" s="41" t="n">
        <v>0</v>
      </c>
      <c r="H52" s="27" t="n">
        <v>0</v>
      </c>
      <c r="I52" s="27" t="n">
        <v>0</v>
      </c>
      <c r="J52" s="27" t="n">
        <v>1226.12</v>
      </c>
      <c r="K52" s="27" t="n">
        <v>0</v>
      </c>
      <c r="L52" s="27" t="n">
        <v>340.17</v>
      </c>
      <c r="M52" s="27" t="n">
        <v>0</v>
      </c>
      <c r="N52" s="29" t="n">
        <f aca="false">SUM(D52:M52)</f>
        <v>228638.29</v>
      </c>
      <c r="O52" s="30" t="s">
        <v>51</v>
      </c>
      <c r="P52" s="27" t="n">
        <f aca="false">+'Asientos - para Consolidado'!D27</f>
        <v>1566.29</v>
      </c>
      <c r="Q52" s="27"/>
      <c r="R52" s="27" t="n">
        <f aca="false">N52-P52+Q52</f>
        <v>227072</v>
      </c>
      <c r="S52" s="27" t="n">
        <v>227072</v>
      </c>
      <c r="T52" s="27" t="n">
        <v>0</v>
      </c>
      <c r="U52" s="27" t="n">
        <v>0</v>
      </c>
      <c r="V52" s="41" t="n">
        <v>0</v>
      </c>
      <c r="W52" s="27" t="n">
        <v>0</v>
      </c>
      <c r="X52" s="27" t="n">
        <v>0</v>
      </c>
      <c r="Y52" s="27" t="n">
        <v>1226</v>
      </c>
      <c r="Z52" s="27" t="n">
        <v>0</v>
      </c>
      <c r="AA52" s="27" t="n">
        <v>340</v>
      </c>
      <c r="AB52" s="27" t="n">
        <v>0</v>
      </c>
      <c r="AC52" s="27" t="n">
        <v>274690</v>
      </c>
      <c r="AD52" s="27" t="n">
        <v>0</v>
      </c>
      <c r="AE52" s="29" t="n">
        <f aca="false">SUM(S52:AD52)</f>
        <v>503328</v>
      </c>
      <c r="AF52" s="30" t="s">
        <v>52</v>
      </c>
      <c r="AG52" s="27" t="e">
        <f aca="false">'Diario 2015 (a)'!C5+#REF!</f>
        <v>#REF!</v>
      </c>
      <c r="AH52" s="27"/>
      <c r="AI52" s="27" t="e">
        <f aca="false">AE52-AG52+AH52</f>
        <v>#REF!</v>
      </c>
      <c r="AJ52" s="27" t="e">
        <f aca="false">AI52-AK52</f>
        <v>#REF!</v>
      </c>
      <c r="AK52" s="27" t="n">
        <v>227072</v>
      </c>
      <c r="AL52" s="4" t="e">
        <f aca="false">+S52-AI52</f>
        <v>#REF!</v>
      </c>
      <c r="AO52" s="4" t="n">
        <f aca="false">SUM(AK52:AK56)</f>
        <v>31964783</v>
      </c>
    </row>
    <row r="53" customFormat="false" ht="15.75" hidden="false" customHeight="true" outlineLevel="0" collapsed="false">
      <c r="A53" s="26" t="s">
        <v>93</v>
      </c>
      <c r="B53" s="27" t="n">
        <v>-3202431</v>
      </c>
      <c r="C53" s="28" t="n">
        <f aca="false">D53-B53</f>
        <v>0</v>
      </c>
      <c r="D53" s="27" t="n">
        <v>-3202431</v>
      </c>
      <c r="E53" s="41" t="n">
        <v>0</v>
      </c>
      <c r="F53" s="41" t="n">
        <v>0</v>
      </c>
      <c r="G53" s="41" t="n">
        <v>0</v>
      </c>
      <c r="H53" s="27" t="n">
        <v>82150.45</v>
      </c>
      <c r="I53" s="27" t="n">
        <v>0</v>
      </c>
      <c r="J53" s="27" t="n">
        <v>0</v>
      </c>
      <c r="K53" s="27" t="n">
        <v>0</v>
      </c>
      <c r="L53" s="27" t="n">
        <v>0</v>
      </c>
      <c r="M53" s="27" t="n">
        <v>0</v>
      </c>
      <c r="N53" s="29" t="n">
        <f aca="false">SUM(D53:M53)</f>
        <v>-3120280.55</v>
      </c>
      <c r="O53" s="30" t="s">
        <v>51</v>
      </c>
      <c r="P53" s="27" t="n">
        <f aca="false">+'Asientos - para Consolidado'!D28</f>
        <v>82150.45</v>
      </c>
      <c r="Q53" s="27"/>
      <c r="R53" s="27" t="n">
        <f aca="false">N53-P53+Q53</f>
        <v>-3202431</v>
      </c>
      <c r="S53" s="27" t="n">
        <v>-3202431</v>
      </c>
      <c r="T53" s="27" t="n">
        <v>0</v>
      </c>
      <c r="U53" s="27" t="n">
        <v>0</v>
      </c>
      <c r="V53" s="27" t="n">
        <v>0</v>
      </c>
      <c r="W53" s="27" t="n">
        <v>0</v>
      </c>
      <c r="X53" s="27" t="n">
        <v>0</v>
      </c>
      <c r="Y53" s="27" t="n">
        <v>0</v>
      </c>
      <c r="Z53" s="27" t="n">
        <v>0</v>
      </c>
      <c r="AA53" s="27" t="n">
        <v>0</v>
      </c>
      <c r="AB53" s="27" t="n">
        <v>0</v>
      </c>
      <c r="AC53" s="27" t="n">
        <v>-56932</v>
      </c>
      <c r="AD53" s="27" t="n">
        <v>0</v>
      </c>
      <c r="AE53" s="29" t="n">
        <f aca="false">SUM(S53:AD53)</f>
        <v>-3259363</v>
      </c>
      <c r="AF53" s="30" t="s">
        <v>59</v>
      </c>
      <c r="AG53" s="27" t="n">
        <f aca="false">'Diario 2015 (a)'!C6</f>
        <v>82150.45</v>
      </c>
      <c r="AH53" s="27" t="e">
        <f aca="false">#REF!</f>
        <v>#REF!</v>
      </c>
      <c r="AI53" s="27" t="e">
        <f aca="false">AE53-AG53+AH53</f>
        <v>#REF!</v>
      </c>
      <c r="AJ53" s="27" t="e">
        <f aca="false">AI53-AK53</f>
        <v>#REF!</v>
      </c>
      <c r="AK53" s="27" t="n">
        <v>-3202431</v>
      </c>
      <c r="AL53" s="4" t="e">
        <f aca="false">+S53-AI53</f>
        <v>#REF!</v>
      </c>
      <c r="AP53" s="6"/>
    </row>
    <row r="54" customFormat="false" ht="15.75" hidden="false" customHeight="true" outlineLevel="0" collapsed="false">
      <c r="A54" s="26" t="s">
        <v>94</v>
      </c>
      <c r="B54" s="27"/>
      <c r="C54" s="28"/>
      <c r="D54" s="27"/>
      <c r="E54" s="41"/>
      <c r="F54" s="41"/>
      <c r="G54" s="41"/>
      <c r="H54" s="27"/>
      <c r="I54" s="27"/>
      <c r="J54" s="27"/>
      <c r="K54" s="27"/>
      <c r="L54" s="27"/>
      <c r="M54" s="27"/>
      <c r="N54" s="29"/>
      <c r="O54" s="30"/>
      <c r="P54" s="27"/>
      <c r="Q54" s="27"/>
      <c r="R54" s="27"/>
      <c r="S54" s="27" t="n">
        <f aca="false">1849659-495802</f>
        <v>1353857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9" t="n">
        <f aca="false">SUM(S54:AD54)</f>
        <v>1353857</v>
      </c>
      <c r="AF54" s="30"/>
      <c r="AG54" s="27"/>
      <c r="AH54" s="27"/>
      <c r="AI54" s="27" t="n">
        <f aca="false">AE54-AG54+AH54</f>
        <v>1353857</v>
      </c>
      <c r="AJ54" s="27"/>
      <c r="AK54" s="27"/>
      <c r="AL54" s="4"/>
      <c r="AP54" s="6"/>
    </row>
    <row r="55" customFormat="false" ht="15.75" hidden="false" customHeight="true" outlineLevel="0" collapsed="false">
      <c r="A55" s="26" t="s">
        <v>95</v>
      </c>
      <c r="B55" s="27" t="n">
        <f aca="false">41559897-13418852</f>
        <v>28141045</v>
      </c>
      <c r="C55" s="28" t="n">
        <f aca="false">D55-B55</f>
        <v>-5585599</v>
      </c>
      <c r="D55" s="27" t="n">
        <v>22555446</v>
      </c>
      <c r="E55" s="41" t="n">
        <v>0</v>
      </c>
      <c r="F55" s="41" t="n">
        <v>-41629.31</v>
      </c>
      <c r="G55" s="41" t="n">
        <v>895753.95</v>
      </c>
      <c r="H55" s="27" t="n">
        <f aca="false">387853.68-258715.33</f>
        <v>129138.35</v>
      </c>
      <c r="I55" s="27" t="n">
        <v>-26948.34</v>
      </c>
      <c r="J55" s="27" t="n">
        <v>968.87</v>
      </c>
      <c r="K55" s="27" t="n">
        <v>0</v>
      </c>
      <c r="L55" s="27" t="n">
        <v>0</v>
      </c>
      <c r="M55" s="27" t="n">
        <v>0</v>
      </c>
      <c r="N55" s="29" t="n">
        <f aca="false">SUM(D55:M55)</f>
        <v>23512729.52</v>
      </c>
      <c r="O55" s="30" t="s">
        <v>96</v>
      </c>
      <c r="P55" s="27" t="n">
        <f aca="false">+'Asientos - para Consolidado'!D29+'Asientos - para Consolidado'!D32</f>
        <v>1785831.88364875</v>
      </c>
      <c r="Q55" s="27" t="n">
        <f aca="false">+'Asientos - para Consolidado'!E34</f>
        <v>1044878.7099375</v>
      </c>
      <c r="R55" s="27" t="n">
        <f aca="false">N55-P55+Q55</f>
        <v>22771776.3462888</v>
      </c>
      <c r="S55" s="18" t="n">
        <f aca="false">31666289+495802-200</f>
        <v>32161891</v>
      </c>
      <c r="T55" s="41" t="n">
        <v>2254833</v>
      </c>
      <c r="U55" s="41" t="n">
        <v>-16937</v>
      </c>
      <c r="V55" s="41" t="n">
        <v>911628</v>
      </c>
      <c r="W55" s="27" t="n">
        <v>-488265</v>
      </c>
      <c r="X55" s="27" t="n">
        <v>-53896</v>
      </c>
      <c r="Y55" s="27" t="n">
        <v>1763</v>
      </c>
      <c r="Z55" s="27" t="n">
        <v>0</v>
      </c>
      <c r="AA55" s="27" t="n">
        <v>0</v>
      </c>
      <c r="AB55" s="27" t="n">
        <v>-15422</v>
      </c>
      <c r="AC55" s="27" t="n">
        <v>-3886526</v>
      </c>
      <c r="AD55" s="27" t="n">
        <v>-144335</v>
      </c>
      <c r="AE55" s="29" t="n">
        <f aca="false">SUM(S55:AD55)</f>
        <v>30724734</v>
      </c>
      <c r="AF55" s="30" t="s">
        <v>97</v>
      </c>
      <c r="AG55" s="27" t="e">
        <f aca="false">'Diario 2015 (a)'!C7+'Diario 2015 (a)'!C9+#REF!</f>
        <v>#REF!</v>
      </c>
      <c r="AH55" s="27" t="e">
        <f aca="false">'Diario 2015 (a)'!D11+#REF!+'Diarios Cxc Cxp relac (c)'!E37</f>
        <v>#REF!</v>
      </c>
      <c r="AI55" s="27" t="e">
        <f aca="false">AE55-AG55+AH55</f>
        <v>#REF!</v>
      </c>
      <c r="AJ55" s="27" t="e">
        <f aca="false">AI55-AK55</f>
        <v>#REF!</v>
      </c>
      <c r="AK55" s="27" t="n">
        <v>22771776</v>
      </c>
      <c r="AL55" s="4" t="e">
        <f aca="false">S55-AI55</f>
        <v>#REF!</v>
      </c>
      <c r="AM55" s="4"/>
      <c r="AO55" s="4"/>
      <c r="AP55" s="6"/>
    </row>
    <row r="56" customFormat="false" ht="15.75" hidden="false" customHeight="true" outlineLevel="0" collapsed="false">
      <c r="A56" s="26" t="s">
        <v>98</v>
      </c>
      <c r="B56" s="32" t="n">
        <v>13418852</v>
      </c>
      <c r="C56" s="28" t="n">
        <f aca="false">D56-B56</f>
        <v>19335</v>
      </c>
      <c r="D56" s="32" t="n">
        <f aca="false">D76</f>
        <v>13438187</v>
      </c>
      <c r="E56" s="43" t="n">
        <v>-428382</v>
      </c>
      <c r="F56" s="43" t="n">
        <v>-42247.24</v>
      </c>
      <c r="G56" s="43" t="n">
        <v>-71048.58</v>
      </c>
      <c r="H56" s="32" t="n">
        <v>-489726.7199375</v>
      </c>
      <c r="I56" s="32" t="n">
        <v>-13474.17</v>
      </c>
      <c r="J56" s="32" t="n">
        <v>0</v>
      </c>
      <c r="K56" s="32" t="n">
        <v>0</v>
      </c>
      <c r="L56" s="32" t="n">
        <v>0</v>
      </c>
      <c r="M56" s="32" t="n">
        <v>0</v>
      </c>
      <c r="N56" s="29" t="n">
        <f aca="false">SUM(D56:M56)</f>
        <v>12393308.2900625</v>
      </c>
      <c r="O56" s="30" t="s">
        <v>69</v>
      </c>
      <c r="P56" s="27" t="n">
        <f aca="false">+'Asientos - para Consolidado'!D43+'Asientos - para Consolidado'!D79</f>
        <v>669524.34</v>
      </c>
      <c r="Q56" s="27" t="n">
        <f aca="false">+'Asientos - para Consolidado'!E44</f>
        <v>444582</v>
      </c>
      <c r="R56" s="27" t="n">
        <f aca="false">N56-P56+Q56</f>
        <v>12168365.9500625</v>
      </c>
      <c r="S56" s="44" t="n">
        <v>5595545</v>
      </c>
      <c r="T56" s="43" t="n">
        <v>-1077724</v>
      </c>
      <c r="U56" s="43" t="n">
        <v>19337</v>
      </c>
      <c r="V56" s="43" t="n">
        <v>-15891</v>
      </c>
      <c r="W56" s="32" t="n">
        <v>-493384</v>
      </c>
      <c r="X56" s="32" t="n">
        <v>-13474</v>
      </c>
      <c r="Y56" s="27" t="n">
        <v>0</v>
      </c>
      <c r="Z56" s="27" t="n">
        <v>0</v>
      </c>
      <c r="AA56" s="27" t="n">
        <v>0</v>
      </c>
      <c r="AB56" s="32" t="n">
        <v>-344143</v>
      </c>
      <c r="AC56" s="27" t="n">
        <v>-502401</v>
      </c>
      <c r="AD56" s="27" t="n">
        <f aca="false">AD76</f>
        <v>-395559</v>
      </c>
      <c r="AE56" s="29" t="n">
        <f aca="false">SUM(S56:AD56)</f>
        <v>2772306</v>
      </c>
      <c r="AF56" s="30" t="s">
        <v>51</v>
      </c>
      <c r="AG56" s="45" t="e">
        <f aca="false">#REF!+#REF!+(AG60-AH61-AH64-AH65)</f>
        <v>#REF!</v>
      </c>
      <c r="AH56" s="27" t="e">
        <f aca="false">#REF!</f>
        <v>#REF!</v>
      </c>
      <c r="AI56" s="27" t="e">
        <f aca="false">AE56-AG56+AH56</f>
        <v>#REF!</v>
      </c>
      <c r="AJ56" s="27" t="e">
        <f aca="false">AI56-AK56</f>
        <v>#REF!</v>
      </c>
      <c r="AK56" s="27" t="n">
        <v>12168366</v>
      </c>
      <c r="AL56" s="4" t="e">
        <f aca="false">AI56-S56</f>
        <v>#REF!</v>
      </c>
      <c r="AM56" s="46" t="e">
        <f aca="false">+AI56-AI81</f>
        <v>#REF!</v>
      </c>
      <c r="AP56" s="6"/>
      <c r="AQ56" s="4"/>
    </row>
    <row r="57" customFormat="false" ht="15.75" hidden="false" customHeight="true" outlineLevel="0" collapsed="false">
      <c r="A57" s="26" t="s">
        <v>99</v>
      </c>
      <c r="B57" s="33" t="n">
        <v>0</v>
      </c>
      <c r="C57" s="28" t="n">
        <f aca="false">D57-B57</f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 t="n">
        <v>0</v>
      </c>
      <c r="K57" s="33" t="n">
        <v>0</v>
      </c>
      <c r="L57" s="33" t="n">
        <v>0</v>
      </c>
      <c r="M57" s="33" t="n">
        <v>0</v>
      </c>
      <c r="N57" s="34" t="n">
        <f aca="false">SUM(D57:M57)</f>
        <v>0</v>
      </c>
      <c r="O57" s="30" t="s">
        <v>51</v>
      </c>
      <c r="P57" s="27"/>
      <c r="Q57" s="27" t="n">
        <f aca="false">+'Asientos - para Consolidado'!E36</f>
        <v>9357519.07065547</v>
      </c>
      <c r="R57" s="33" t="n">
        <f aca="false">N57-P57+Q57</f>
        <v>9357519.07065547</v>
      </c>
      <c r="S57" s="33" t="n">
        <v>0</v>
      </c>
      <c r="T57" s="33" t="n">
        <v>0</v>
      </c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4" t="n">
        <f aca="false">SUM(S57:AD57)</f>
        <v>0</v>
      </c>
      <c r="AF57" s="30" t="s">
        <v>59</v>
      </c>
      <c r="AG57" s="27" t="e">
        <f aca="false">#REF!</f>
        <v>#REF!</v>
      </c>
      <c r="AH57" s="27" t="e">
        <f aca="false">'Diario 2015 (a)'!D13+#REF!</f>
        <v>#REF!</v>
      </c>
      <c r="AI57" s="33" t="e">
        <f aca="false">AE57-AG57+AH57</f>
        <v>#REF!</v>
      </c>
      <c r="AJ57" s="33" t="e">
        <f aca="false">AI57-AK57</f>
        <v>#REF!</v>
      </c>
      <c r="AK57" s="33" t="n">
        <v>9357519</v>
      </c>
      <c r="AL57" s="4" t="e">
        <f aca="false">AL55-AL56</f>
        <v>#REF!</v>
      </c>
    </row>
    <row r="58" customFormat="false" ht="15.75" hidden="false" customHeight="true" outlineLevel="0" collapsed="false">
      <c r="A58" s="35" t="s">
        <v>100</v>
      </c>
      <c r="B58" s="47" t="n">
        <f aca="false">SUM(B48:B57)</f>
        <v>65844876</v>
      </c>
      <c r="C58" s="40"/>
      <c r="D58" s="47" t="n">
        <f aca="false">SUM(D48:D57)</f>
        <v>60278612</v>
      </c>
      <c r="E58" s="47" t="n">
        <f aca="false">SUM(E48:E57)</f>
        <v>36760932</v>
      </c>
      <c r="F58" s="47" t="n">
        <f aca="false">SUM(F48:F57)</f>
        <v>1281536.47</v>
      </c>
      <c r="G58" s="47" t="n">
        <f aca="false">SUM(G48:G57)</f>
        <v>909131.94</v>
      </c>
      <c r="H58" s="47" t="n">
        <f aca="false">SUM(H48:H57)</f>
        <v>-227922.9199375</v>
      </c>
      <c r="I58" s="47" t="n">
        <f aca="false">SUM(I48:I57)</f>
        <v>400660.97</v>
      </c>
      <c r="J58" s="47" t="n">
        <f aca="false">SUM(J48:J57)</f>
        <v>7194.99</v>
      </c>
      <c r="K58" s="47" t="n">
        <f aca="false">SUM(K48:K57)</f>
        <v>10000</v>
      </c>
      <c r="L58" s="47" t="n">
        <f aca="false">SUM(L48:L57)</f>
        <v>1140.17</v>
      </c>
      <c r="M58" s="47" t="n">
        <f aca="false">SUM(M48:M57)</f>
        <v>800</v>
      </c>
      <c r="N58" s="47" t="n">
        <f aca="false">SUM(N48:N57)</f>
        <v>99422085.6200625</v>
      </c>
      <c r="O58" s="48"/>
      <c r="P58" s="47"/>
      <c r="Q58" s="47"/>
      <c r="R58" s="47" t="n">
        <f aca="false">SUM(R48:R57)</f>
        <v>68582640.3870067</v>
      </c>
      <c r="S58" s="47" t="n">
        <f aca="false">SUM(S48:S57)</f>
        <v>70841302</v>
      </c>
      <c r="T58" s="47" t="n">
        <f aca="false">SUM(T48:T57)</f>
        <v>43522161</v>
      </c>
      <c r="U58" s="47" t="n">
        <f aca="false">SUM(U48:U57)</f>
        <v>1984713</v>
      </c>
      <c r="V58" s="47" t="n">
        <f aca="false">SUM(V48:V57)</f>
        <v>980163</v>
      </c>
      <c r="W58" s="47" t="n">
        <f aca="false">SUM(W48:W57)</f>
        <v>-931134</v>
      </c>
      <c r="X58" s="47" t="n">
        <f aca="false">SUM(X48:X57)</f>
        <v>373713</v>
      </c>
      <c r="Y58" s="47" t="n">
        <f aca="false">SUM(Y48:Y57)</f>
        <v>7989</v>
      </c>
      <c r="Z58" s="47" t="n">
        <f aca="false">SUM(Z48:Z57)</f>
        <v>10000</v>
      </c>
      <c r="AA58" s="47" t="n">
        <f aca="false">SUM(AA48:AA57)</f>
        <v>1140</v>
      </c>
      <c r="AB58" s="47" t="n">
        <f aca="false">SUM(AB48:AB57)</f>
        <v>1474652</v>
      </c>
      <c r="AC58" s="47" t="n">
        <f aca="false">SUM(AC48:AC57)</f>
        <v>-102969</v>
      </c>
      <c r="AD58" s="47" t="n">
        <f aca="false">SUM(AD48:AD57)</f>
        <v>-529894</v>
      </c>
      <c r="AE58" s="47" t="n">
        <f aca="false">SUM(AE48:AE57)</f>
        <v>117631836</v>
      </c>
      <c r="AF58" s="48"/>
      <c r="AG58" s="47"/>
      <c r="AH58" s="47"/>
      <c r="AI58" s="47" t="e">
        <f aca="false">SUM(AI48:AI57)</f>
        <v>#REF!</v>
      </c>
      <c r="AJ58" s="47" t="e">
        <f aca="false">AI58-AK58</f>
        <v>#REF!</v>
      </c>
      <c r="AK58" s="47" t="n">
        <f aca="false">SUM(AK48:AK57)</f>
        <v>68582640</v>
      </c>
    </row>
    <row r="59" customFormat="false" ht="15.75" hidden="false" customHeight="true" outlineLevel="0" collapsed="false">
      <c r="A59" s="35"/>
      <c r="B59" s="47"/>
      <c r="C59" s="40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8"/>
      <c r="P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8"/>
      <c r="AG59" s="47"/>
      <c r="AI59" s="47"/>
      <c r="AJ59" s="47"/>
      <c r="AK59" s="47"/>
      <c r="AL59" s="4" t="e">
        <f aca="false">+AI58+AI47</f>
        <v>#REF!</v>
      </c>
      <c r="AM59" s="4" t="e">
        <f aca="false">+AL59-AI26</f>
        <v>#REF!</v>
      </c>
    </row>
    <row r="60" customFormat="false" ht="15.75" hidden="false" customHeight="true" outlineLevel="0" collapsed="false">
      <c r="A60" s="26" t="s">
        <v>101</v>
      </c>
      <c r="B60" s="49" t="n">
        <v>124607414</v>
      </c>
      <c r="C60" s="28" t="n">
        <f aca="false">D60-B60</f>
        <v>0</v>
      </c>
      <c r="D60" s="49" t="n">
        <v>124607414</v>
      </c>
      <c r="E60" s="49" t="n">
        <v>0</v>
      </c>
      <c r="F60" s="49" t="n">
        <v>0</v>
      </c>
      <c r="G60" s="49" t="n">
        <v>0</v>
      </c>
      <c r="H60" s="49" t="n">
        <v>60885.43</v>
      </c>
      <c r="I60" s="49" t="n">
        <v>0</v>
      </c>
      <c r="J60" s="49" t="n">
        <v>0</v>
      </c>
      <c r="K60" s="49" t="n">
        <v>0</v>
      </c>
      <c r="L60" s="49" t="n">
        <v>0</v>
      </c>
      <c r="M60" s="49" t="n">
        <v>0</v>
      </c>
      <c r="N60" s="29" t="n">
        <f aca="false">SUM(D60:M60)</f>
        <v>124668299.43</v>
      </c>
      <c r="O60" s="50" t="s">
        <v>69</v>
      </c>
      <c r="P60" s="49" t="n">
        <f aca="false">+'Asientos - para Consolidado'!D43+'Asientos - para Consolidado'!D46</f>
        <v>455612</v>
      </c>
      <c r="Q60" s="49"/>
      <c r="R60" s="27" t="n">
        <f aca="false">N60-P60+Q60</f>
        <v>124212687.43</v>
      </c>
      <c r="S60" s="49" t="n">
        <v>152924768</v>
      </c>
      <c r="T60" s="49" t="n">
        <v>1907995</v>
      </c>
      <c r="U60" s="49" t="n">
        <v>636407</v>
      </c>
      <c r="V60" s="49" t="n">
        <v>0</v>
      </c>
      <c r="W60" s="49" t="n">
        <v>0</v>
      </c>
      <c r="X60" s="49" t="n">
        <v>0</v>
      </c>
      <c r="Y60" s="49" t="n">
        <v>0</v>
      </c>
      <c r="Z60" s="49" t="n">
        <v>0</v>
      </c>
      <c r="AA60" s="49" t="n">
        <v>0</v>
      </c>
      <c r="AB60" s="49" t="n">
        <v>120923</v>
      </c>
      <c r="AC60" s="49" t="n">
        <v>280002</v>
      </c>
      <c r="AD60" s="49" t="n">
        <v>162445</v>
      </c>
      <c r="AE60" s="29" t="n">
        <f aca="false">SUM(S60:AD60)</f>
        <v>156032540</v>
      </c>
      <c r="AF60" s="50" t="s">
        <v>41</v>
      </c>
      <c r="AG60" s="49" t="n">
        <f aca="false">'Ventas-Compras (d)'!D26</f>
        <v>376468.58</v>
      </c>
      <c r="AH60" s="49"/>
      <c r="AI60" s="27" t="n">
        <f aca="false">AE60-AG60+AH60</f>
        <v>155656071.42</v>
      </c>
      <c r="AJ60" s="27" t="n">
        <f aca="false">AI60-AK60</f>
        <v>31443384.42</v>
      </c>
      <c r="AK60" s="27" t="n">
        <v>124212687</v>
      </c>
    </row>
    <row r="61" customFormat="false" ht="15.75" hidden="false" customHeight="true" outlineLevel="0" collapsed="false">
      <c r="A61" s="26" t="s">
        <v>102</v>
      </c>
      <c r="B61" s="51" t="n">
        <v>-89506183</v>
      </c>
      <c r="C61" s="28" t="n">
        <f aca="false">D61-B61</f>
        <v>0</v>
      </c>
      <c r="D61" s="51" t="n">
        <v>-89506183</v>
      </c>
      <c r="E61" s="51" t="n">
        <v>0</v>
      </c>
      <c r="F61" s="51" t="n">
        <v>0</v>
      </c>
      <c r="G61" s="51" t="n">
        <v>0</v>
      </c>
      <c r="H61" s="51" t="n">
        <v>0</v>
      </c>
      <c r="I61" s="51" t="n">
        <v>0</v>
      </c>
      <c r="J61" s="51" t="n">
        <v>0</v>
      </c>
      <c r="K61" s="51" t="n">
        <v>0</v>
      </c>
      <c r="L61" s="51" t="n">
        <v>0</v>
      </c>
      <c r="M61" s="51" t="n">
        <v>0</v>
      </c>
      <c r="N61" s="34" t="n">
        <f aca="false">SUM(D61:M61)</f>
        <v>-89506183</v>
      </c>
      <c r="O61" s="50" t="s">
        <v>69</v>
      </c>
      <c r="P61" s="49"/>
      <c r="Q61" s="49" t="n">
        <f aca="false">+'Asientos - para Consolidado'!E44</f>
        <v>444582</v>
      </c>
      <c r="R61" s="33" t="n">
        <f aca="false">N61-P61+Q61</f>
        <v>-89061601</v>
      </c>
      <c r="S61" s="51" t="n">
        <v>-71809934</v>
      </c>
      <c r="T61" s="51" t="n">
        <v>-2677882</v>
      </c>
      <c r="U61" s="51" t="n">
        <v>-187557</v>
      </c>
      <c r="V61" s="51" t="n">
        <v>0</v>
      </c>
      <c r="W61" s="51" t="n">
        <v>0</v>
      </c>
      <c r="X61" s="51" t="n">
        <v>0</v>
      </c>
      <c r="Y61" s="51" t="n">
        <v>0</v>
      </c>
      <c r="Z61" s="51" t="n">
        <v>0</v>
      </c>
      <c r="AA61" s="51" t="n">
        <v>0</v>
      </c>
      <c r="AB61" s="51" t="n">
        <v>-299751</v>
      </c>
      <c r="AC61" s="51" t="n">
        <v>-199020</v>
      </c>
      <c r="AD61" s="51" t="n">
        <v>-118573</v>
      </c>
      <c r="AE61" s="34" t="n">
        <f aca="false">SUM(S61:AD61)</f>
        <v>-75292717</v>
      </c>
      <c r="AF61" s="50" t="s">
        <v>41</v>
      </c>
      <c r="AG61" s="49"/>
      <c r="AH61" s="49" t="n">
        <f aca="false">'Ventas-Compras (d)'!E27</f>
        <v>357344</v>
      </c>
      <c r="AI61" s="33" t="n">
        <f aca="false">AE61-AG61+AH61</f>
        <v>-74935373</v>
      </c>
      <c r="AJ61" s="33" t="n">
        <f aca="false">AI61-AK61</f>
        <v>14126228</v>
      </c>
      <c r="AK61" s="33" t="n">
        <v>-89061601</v>
      </c>
    </row>
    <row r="62" customFormat="false" ht="15.75" hidden="false" customHeight="true" outlineLevel="0" collapsed="false">
      <c r="A62" s="26" t="s">
        <v>103</v>
      </c>
      <c r="B62" s="52" t="n">
        <f aca="false">SUM(B60:B61)</f>
        <v>35101231</v>
      </c>
      <c r="C62" s="53"/>
      <c r="D62" s="52" t="n">
        <f aca="false">SUM(D60:D61)</f>
        <v>35101231</v>
      </c>
      <c r="E62" s="52" t="n">
        <f aca="false">SUM(E60:E61)</f>
        <v>0</v>
      </c>
      <c r="F62" s="52" t="n">
        <f aca="false">SUM(F60:F61)</f>
        <v>0</v>
      </c>
      <c r="G62" s="52" t="n">
        <f aca="false">SUM(G60:G61)</f>
        <v>0</v>
      </c>
      <c r="H62" s="52" t="n">
        <f aca="false">SUM(H60:H61)</f>
        <v>60885.43</v>
      </c>
      <c r="I62" s="52" t="n">
        <f aca="false">SUM(I60:I61)</f>
        <v>0</v>
      </c>
      <c r="J62" s="52" t="n">
        <f aca="false">SUM(J60:J61)</f>
        <v>0</v>
      </c>
      <c r="K62" s="52" t="n">
        <f aca="false">SUM(K60:K61)</f>
        <v>0</v>
      </c>
      <c r="L62" s="52" t="n">
        <f aca="false">SUM(L60:L61)</f>
        <v>0</v>
      </c>
      <c r="M62" s="52" t="n">
        <f aca="false">SUM(M60:M61)</f>
        <v>0</v>
      </c>
      <c r="N62" s="52" t="n">
        <f aca="false">SUM(N60:N61)</f>
        <v>35162116.43</v>
      </c>
      <c r="O62" s="50"/>
      <c r="P62" s="52"/>
      <c r="Q62" s="52"/>
      <c r="R62" s="52" t="n">
        <f aca="false">SUM(R60:R61)</f>
        <v>35151086.43</v>
      </c>
      <c r="S62" s="52" t="n">
        <f aca="false">SUM(S60:S61)</f>
        <v>81114834</v>
      </c>
      <c r="T62" s="52" t="n">
        <f aca="false">SUM(T60:T61)</f>
        <v>-769887</v>
      </c>
      <c r="U62" s="52" t="n">
        <f aca="false">SUM(U60:U61)</f>
        <v>448850</v>
      </c>
      <c r="V62" s="52" t="n">
        <f aca="false">SUM(V60:V61)</f>
        <v>0</v>
      </c>
      <c r="W62" s="52" t="n">
        <f aca="false">SUM(W60:W61)</f>
        <v>0</v>
      </c>
      <c r="X62" s="52" t="n">
        <f aca="false">SUM(X60:X61)</f>
        <v>0</v>
      </c>
      <c r="Y62" s="52" t="n">
        <f aca="false">SUM(Y60:Y61)</f>
        <v>0</v>
      </c>
      <c r="Z62" s="52" t="n">
        <f aca="false">SUM(Z60:Z61)</f>
        <v>0</v>
      </c>
      <c r="AA62" s="52" t="n">
        <f aca="false">SUM(AA60:AA61)</f>
        <v>0</v>
      </c>
      <c r="AB62" s="52" t="n">
        <f aca="false">SUM(AB60:AB61)</f>
        <v>-178828</v>
      </c>
      <c r="AC62" s="52" t="n">
        <f aca="false">SUM(AC60:AC61)</f>
        <v>80982</v>
      </c>
      <c r="AD62" s="52" t="n">
        <f aca="false">SUM(AD60:AD61)</f>
        <v>43872</v>
      </c>
      <c r="AE62" s="52" t="n">
        <f aca="false">SUM(AE60:AE61)</f>
        <v>80739823</v>
      </c>
      <c r="AF62" s="50"/>
      <c r="AG62" s="52" t="s">
        <v>44</v>
      </c>
      <c r="AH62" s="52"/>
      <c r="AI62" s="52" t="n">
        <f aca="false">SUM(AI60:AI61)</f>
        <v>80720698.42</v>
      </c>
      <c r="AJ62" s="52" t="n">
        <f aca="false">AI62-AK62</f>
        <v>45569612.42</v>
      </c>
      <c r="AK62" s="52" t="n">
        <f aca="false">SUM(AK60:AK61)</f>
        <v>35151086</v>
      </c>
    </row>
    <row r="63" customFormat="false" ht="15.75" hidden="false" customHeight="true" outlineLevel="0" collapsed="false">
      <c r="A63" s="54"/>
      <c r="B63" s="49"/>
      <c r="C63" s="54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29"/>
      <c r="O63" s="50"/>
      <c r="P63" s="49"/>
      <c r="Q63" s="49"/>
      <c r="R63" s="27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29"/>
      <c r="AF63" s="50"/>
      <c r="AG63" s="49"/>
      <c r="AH63" s="49"/>
      <c r="AI63" s="27"/>
      <c r="AJ63" s="27"/>
      <c r="AK63" s="27"/>
    </row>
    <row r="64" customFormat="false" ht="15.75" hidden="false" customHeight="true" outlineLevel="0" collapsed="false">
      <c r="A64" s="26" t="s">
        <v>104</v>
      </c>
      <c r="B64" s="49" t="n">
        <v>-30987428</v>
      </c>
      <c r="C64" s="28" t="n">
        <f aca="false">D64-B64</f>
        <v>4945</v>
      </c>
      <c r="D64" s="49" t="n">
        <v>-30982483</v>
      </c>
      <c r="E64" s="49" t="n">
        <f aca="false">-95542-332969</f>
        <v>-428511</v>
      </c>
      <c r="F64" s="49" t="n">
        <f aca="false">-27248.97-F68-24590.05</f>
        <v>-51169.02</v>
      </c>
      <c r="G64" s="49" t="n">
        <v>-40032</v>
      </c>
      <c r="H64" s="49" t="n">
        <f aca="false">-550678.35-H68</f>
        <v>-535525.17</v>
      </c>
      <c r="I64" s="49" t="n">
        <v>-13474.17</v>
      </c>
      <c r="J64" s="49" t="n">
        <v>0</v>
      </c>
      <c r="K64" s="49" t="n">
        <v>0</v>
      </c>
      <c r="L64" s="49" t="n">
        <v>0</v>
      </c>
      <c r="M64" s="49" t="n">
        <v>0</v>
      </c>
      <c r="N64" s="29" t="n">
        <f aca="false">SUM(D64:M64)</f>
        <v>-32051194.36</v>
      </c>
      <c r="O64" s="50" t="s">
        <v>69</v>
      </c>
      <c r="P64" s="49"/>
      <c r="Q64" s="49" t="n">
        <f aca="false">+'Asientos - para Consolidado'!E47</f>
        <v>11030</v>
      </c>
      <c r="R64" s="27" t="n">
        <f aca="false">N64-P64+Q64</f>
        <v>-32040164.36</v>
      </c>
      <c r="S64" s="49" t="n">
        <v>-61700666</v>
      </c>
      <c r="T64" s="49" t="n">
        <v>-306890</v>
      </c>
      <c r="U64" s="49" t="n">
        <v>-429513</v>
      </c>
      <c r="V64" s="49" t="n">
        <v>-15891</v>
      </c>
      <c r="W64" s="49" t="n">
        <v>-493384</v>
      </c>
      <c r="X64" s="49" t="n">
        <v>-13474</v>
      </c>
      <c r="Y64" s="49" t="n">
        <v>0</v>
      </c>
      <c r="Z64" s="49" t="n">
        <v>0</v>
      </c>
      <c r="AA64" s="49" t="n">
        <v>0</v>
      </c>
      <c r="AB64" s="49" t="n">
        <f aca="false">-165338+23</f>
        <v>-165315</v>
      </c>
      <c r="AC64" s="49" t="n">
        <v>-586188</v>
      </c>
      <c r="AD64" s="49" t="n">
        <v>-444288</v>
      </c>
      <c r="AE64" s="29" t="n">
        <f aca="false">SUM(S64:AD64)</f>
        <v>-64155609</v>
      </c>
      <c r="AF64" s="50"/>
      <c r="AG64" s="49"/>
      <c r="AH64" s="49" t="n">
        <f aca="false">'Ventas-Compras (d)'!E28</f>
        <v>7818.58</v>
      </c>
      <c r="AI64" s="27" t="n">
        <f aca="false">AE64-AG64+AH64</f>
        <v>-64147790.42</v>
      </c>
      <c r="AJ64" s="27" t="n">
        <f aca="false">AI64-AK64</f>
        <v>-32107626.42</v>
      </c>
      <c r="AK64" s="27" t="n">
        <v>-32040164</v>
      </c>
    </row>
    <row r="65" customFormat="false" ht="15.75" hidden="false" customHeight="true" outlineLevel="0" collapsed="false">
      <c r="A65" s="55" t="s">
        <v>105</v>
      </c>
      <c r="B65" s="51" t="n">
        <v>14857424</v>
      </c>
      <c r="C65" s="28" t="n">
        <f aca="false">D65-B65</f>
        <v>0</v>
      </c>
      <c r="D65" s="51" t="n">
        <v>14857424</v>
      </c>
      <c r="E65" s="51" t="n">
        <v>129</v>
      </c>
      <c r="F65" s="51" t="n">
        <v>9591.78</v>
      </c>
      <c r="G65" s="51" t="n">
        <v>-31016.58</v>
      </c>
      <c r="H65" s="51" t="n">
        <v>4334.35</v>
      </c>
      <c r="I65" s="51" t="n">
        <v>0</v>
      </c>
      <c r="J65" s="51" t="n">
        <v>0</v>
      </c>
      <c r="K65" s="51" t="n">
        <v>0</v>
      </c>
      <c r="L65" s="51" t="n">
        <v>0</v>
      </c>
      <c r="M65" s="51" t="n">
        <v>0</v>
      </c>
      <c r="N65" s="34" t="n">
        <f aca="false">SUM(D65:M65)</f>
        <v>14840462.55</v>
      </c>
      <c r="O65" s="50" t="s">
        <v>106</v>
      </c>
      <c r="P65" s="49" t="n">
        <f aca="false">+'Asientos - para Consolidado'!D79</f>
        <v>224942.34</v>
      </c>
      <c r="Q65" s="49"/>
      <c r="R65" s="33" t="n">
        <f aca="false">N65-P65+Q65</f>
        <v>14615520.21</v>
      </c>
      <c r="S65" s="51" t="n">
        <v>-3618624</v>
      </c>
      <c r="T65" s="51" t="n">
        <v>-947</v>
      </c>
      <c r="U65" s="51" t="n">
        <v>0</v>
      </c>
      <c r="V65" s="51" t="n">
        <v>0</v>
      </c>
      <c r="W65" s="51" t="n">
        <v>0</v>
      </c>
      <c r="X65" s="51" t="n">
        <v>0</v>
      </c>
      <c r="Y65" s="51" t="n">
        <v>0</v>
      </c>
      <c r="Z65" s="51" t="n">
        <v>0</v>
      </c>
      <c r="AA65" s="51" t="n">
        <v>0</v>
      </c>
      <c r="AB65" s="51" t="n">
        <v>0</v>
      </c>
      <c r="AC65" s="51" t="n">
        <v>17690</v>
      </c>
      <c r="AD65" s="51" t="n">
        <v>4857</v>
      </c>
      <c r="AE65" s="34" t="n">
        <f aca="false">SUM(S65:AD65)</f>
        <v>-3597024</v>
      </c>
      <c r="AF65" s="50" t="s">
        <v>51</v>
      </c>
      <c r="AG65" s="49" t="e">
        <f aca="false">#REF!</f>
        <v>#REF!</v>
      </c>
      <c r="AH65" s="49" t="e">
        <f aca="false">#REF!</f>
        <v>#REF!</v>
      </c>
      <c r="AI65" s="33" t="e">
        <f aca="false">AE65-AG65+AH65</f>
        <v>#REF!</v>
      </c>
      <c r="AJ65" s="33" t="e">
        <f aca="false">AI65-AK65</f>
        <v>#REF!</v>
      </c>
      <c r="AK65" s="33" t="n">
        <v>14615520</v>
      </c>
    </row>
    <row r="66" customFormat="false" ht="15.75" hidden="false" customHeight="true" outlineLevel="0" collapsed="false">
      <c r="A66" s="55" t="s">
        <v>107</v>
      </c>
      <c r="B66" s="52" t="n">
        <f aca="false">SUM(B62:B65)</f>
        <v>18971227</v>
      </c>
      <c r="C66" s="56"/>
      <c r="D66" s="52" t="n">
        <f aca="false">SUM(D62:D65)</f>
        <v>18976172</v>
      </c>
      <c r="E66" s="52" t="n">
        <f aca="false">SUM(E62:E65)</f>
        <v>-428382</v>
      </c>
      <c r="F66" s="52" t="n">
        <f aca="false">SUM(F62:F65)</f>
        <v>-41577.24</v>
      </c>
      <c r="G66" s="52" t="n">
        <f aca="false">SUM(G62:G65)</f>
        <v>-71048.58</v>
      </c>
      <c r="H66" s="52" t="n">
        <f aca="false">SUM(H62:H65)</f>
        <v>-470305.39</v>
      </c>
      <c r="I66" s="52" t="n">
        <f aca="false">SUM(I62:I65)</f>
        <v>-13474.17</v>
      </c>
      <c r="J66" s="52" t="n">
        <f aca="false">SUM(J62:J65)</f>
        <v>0</v>
      </c>
      <c r="K66" s="52" t="n">
        <f aca="false">SUM(K62:K65)</f>
        <v>0</v>
      </c>
      <c r="L66" s="52" t="n">
        <f aca="false">SUM(L62:L65)</f>
        <v>0</v>
      </c>
      <c r="M66" s="52" t="n">
        <f aca="false">SUM(M62:M65)</f>
        <v>0</v>
      </c>
      <c r="N66" s="52" t="n">
        <f aca="false">SUM(N62:N65)</f>
        <v>17951384.62</v>
      </c>
      <c r="O66" s="50"/>
      <c r="P66" s="52"/>
      <c r="Q66" s="52"/>
      <c r="R66" s="52" t="n">
        <f aca="false">SUM(R62:R65)</f>
        <v>17726442.28</v>
      </c>
      <c r="S66" s="52" t="n">
        <f aca="false">SUM(S62:S65)</f>
        <v>15795544</v>
      </c>
      <c r="T66" s="52" t="n">
        <f aca="false">SUM(T62:T65)</f>
        <v>-1077724</v>
      </c>
      <c r="U66" s="52" t="n">
        <f aca="false">SUM(U62:U65)</f>
        <v>19337</v>
      </c>
      <c r="V66" s="52" t="n">
        <f aca="false">SUM(V62:V65)</f>
        <v>-15891</v>
      </c>
      <c r="W66" s="52" t="n">
        <f aca="false">SUM(W62:W65)</f>
        <v>-493384</v>
      </c>
      <c r="X66" s="52" t="n">
        <f aca="false">SUM(X62:X65)</f>
        <v>-13474</v>
      </c>
      <c r="Y66" s="52" t="n">
        <f aca="false">SUM(Y62:Y65)</f>
        <v>0</v>
      </c>
      <c r="Z66" s="52" t="n">
        <f aca="false">SUM(Z62:Z65)</f>
        <v>0</v>
      </c>
      <c r="AA66" s="52" t="n">
        <f aca="false">SUM(AA62:AA65)</f>
        <v>0</v>
      </c>
      <c r="AB66" s="52" t="n">
        <f aca="false">SUM(AB62:AB65)</f>
        <v>-344143</v>
      </c>
      <c r="AC66" s="52" t="n">
        <f aca="false">SUM(AC62:AC65)</f>
        <v>-487516</v>
      </c>
      <c r="AD66" s="52" t="n">
        <f aca="false">SUM(AD62:AD65)</f>
        <v>-395559</v>
      </c>
      <c r="AE66" s="52" t="n">
        <f aca="false">SUM(AE62:AE65)</f>
        <v>12987190</v>
      </c>
      <c r="AF66" s="50"/>
      <c r="AG66" s="52"/>
      <c r="AH66" s="52"/>
      <c r="AI66" s="52" t="e">
        <f aca="false">SUM(AI62:AI65)</f>
        <v>#REF!</v>
      </c>
      <c r="AJ66" s="52" t="e">
        <f aca="false">AI66-AK66</f>
        <v>#REF!</v>
      </c>
      <c r="AK66" s="52" t="n">
        <f aca="false">SUM(AK62:AK65)</f>
        <v>17726442</v>
      </c>
    </row>
    <row r="67" customFormat="false" ht="15.75" hidden="false" customHeight="true" outlineLevel="0" collapsed="false">
      <c r="A67" s="55"/>
      <c r="B67" s="49"/>
      <c r="C67" s="55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29"/>
      <c r="O67" s="50"/>
      <c r="P67" s="49"/>
      <c r="Q67" s="49"/>
      <c r="R67" s="27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29"/>
      <c r="AF67" s="50"/>
      <c r="AG67" s="49"/>
      <c r="AH67" s="49"/>
      <c r="AI67" s="27"/>
      <c r="AJ67" s="27"/>
      <c r="AK67" s="27"/>
      <c r="AL67" s="4" t="e">
        <f aca="false">AH65+AH64+AH61</f>
        <v>#REF!</v>
      </c>
    </row>
    <row r="68" customFormat="false" ht="15.75" hidden="false" customHeight="true" outlineLevel="0" collapsed="false">
      <c r="A68" s="55" t="s">
        <v>108</v>
      </c>
      <c r="B68" s="51" t="n">
        <v>-3983540</v>
      </c>
      <c r="C68" s="28" t="n">
        <f aca="false">D68-B68</f>
        <v>0</v>
      </c>
      <c r="D68" s="51" t="n">
        <v>-3983540</v>
      </c>
      <c r="E68" s="51" t="n">
        <v>0</v>
      </c>
      <c r="F68" s="51" t="n">
        <v>-670</v>
      </c>
      <c r="G68" s="51" t="n">
        <v>0</v>
      </c>
      <c r="H68" s="51" t="n">
        <v>-15153.18</v>
      </c>
      <c r="I68" s="51" t="n">
        <v>0</v>
      </c>
      <c r="J68" s="51" t="n">
        <v>0</v>
      </c>
      <c r="K68" s="51" t="n">
        <v>0</v>
      </c>
      <c r="L68" s="51" t="n">
        <v>0</v>
      </c>
      <c r="M68" s="51" t="n">
        <v>0</v>
      </c>
      <c r="N68" s="34" t="n">
        <f aca="false">SUM(D68:M68)</f>
        <v>-3999363.18</v>
      </c>
      <c r="O68" s="50"/>
      <c r="P68" s="49"/>
      <c r="Q68" s="49"/>
      <c r="R68" s="33" t="n">
        <f aca="false">N68-P68+Q68</f>
        <v>-3999363.18</v>
      </c>
      <c r="S68" s="51" t="n">
        <f aca="false">-5186848</f>
        <v>-5186848</v>
      </c>
      <c r="T68" s="51" t="n">
        <v>0</v>
      </c>
      <c r="U68" s="51" t="n">
        <v>0</v>
      </c>
      <c r="V68" s="51" t="n">
        <v>0</v>
      </c>
      <c r="W68" s="51" t="n">
        <v>0</v>
      </c>
      <c r="X68" s="51" t="n">
        <v>0</v>
      </c>
      <c r="Y68" s="51" t="n">
        <v>0</v>
      </c>
      <c r="Z68" s="51" t="n">
        <v>0</v>
      </c>
      <c r="AA68" s="51" t="n">
        <v>0</v>
      </c>
      <c r="AB68" s="51" t="n">
        <v>0</v>
      </c>
      <c r="AC68" s="51" t="n">
        <v>-14885</v>
      </c>
      <c r="AD68" s="51" t="n">
        <v>0</v>
      </c>
      <c r="AE68" s="34" t="n">
        <f aca="false">SUM(S68:AD68)</f>
        <v>-5201733</v>
      </c>
      <c r="AF68" s="50"/>
      <c r="AG68" s="49"/>
      <c r="AH68" s="49"/>
      <c r="AI68" s="33" t="n">
        <f aca="false">AE68-AG68+AH68</f>
        <v>-5201733</v>
      </c>
      <c r="AJ68" s="33" t="n">
        <f aca="false">AI68-AK68</f>
        <v>-1202370</v>
      </c>
      <c r="AK68" s="33" t="n">
        <v>-3999363</v>
      </c>
      <c r="AL68" s="4" t="n">
        <f aca="false">AG60</f>
        <v>376468.58</v>
      </c>
    </row>
    <row r="69" customFormat="false" ht="15.75" hidden="false" customHeight="true" outlineLevel="0" collapsed="false">
      <c r="A69" s="55" t="s">
        <v>109</v>
      </c>
      <c r="B69" s="52" t="n">
        <f aca="false">+B66+B68</f>
        <v>14987687</v>
      </c>
      <c r="C69" s="56"/>
      <c r="D69" s="52" t="n">
        <f aca="false">+D66+D68</f>
        <v>14992632</v>
      </c>
      <c r="E69" s="52" t="n">
        <f aca="false">+E66+E68</f>
        <v>-428382</v>
      </c>
      <c r="F69" s="52" t="n">
        <f aca="false">+F66+F68</f>
        <v>-42247.24</v>
      </c>
      <c r="G69" s="52" t="n">
        <f aca="false">+G66+G68</f>
        <v>-71048.58</v>
      </c>
      <c r="H69" s="52" t="n">
        <f aca="false">+H66+H68</f>
        <v>-485458.57</v>
      </c>
      <c r="I69" s="52" t="n">
        <f aca="false">+I66+I68</f>
        <v>-13474.17</v>
      </c>
      <c r="J69" s="52" t="n">
        <f aca="false">+J66+J68</f>
        <v>0</v>
      </c>
      <c r="K69" s="52" t="n">
        <f aca="false">+K66+K68</f>
        <v>0</v>
      </c>
      <c r="L69" s="52" t="n">
        <f aca="false">+L66+L68</f>
        <v>0</v>
      </c>
      <c r="M69" s="52" t="n">
        <f aca="false">+M66+M68</f>
        <v>0</v>
      </c>
      <c r="N69" s="52" t="n">
        <f aca="false">+N66+N68</f>
        <v>13952021.44</v>
      </c>
      <c r="O69" s="50"/>
      <c r="P69" s="49"/>
      <c r="Q69" s="49"/>
      <c r="R69" s="52" t="n">
        <f aca="false">+R66+R68</f>
        <v>13727079.1</v>
      </c>
      <c r="S69" s="52" t="n">
        <f aca="false">+S66+S68</f>
        <v>10608696</v>
      </c>
      <c r="T69" s="52" t="n">
        <f aca="false">+T66+T68</f>
        <v>-1077724</v>
      </c>
      <c r="U69" s="52" t="n">
        <f aca="false">+U66+U68</f>
        <v>19337</v>
      </c>
      <c r="V69" s="52" t="n">
        <f aca="false">+V66+V68</f>
        <v>-15891</v>
      </c>
      <c r="W69" s="52" t="n">
        <f aca="false">+W66+W68</f>
        <v>-493384</v>
      </c>
      <c r="X69" s="52" t="n">
        <f aca="false">+X66+X68</f>
        <v>-13474</v>
      </c>
      <c r="Y69" s="52" t="n">
        <f aca="false">+Y66+Y68</f>
        <v>0</v>
      </c>
      <c r="Z69" s="52" t="n">
        <f aca="false">+Z66+Z68</f>
        <v>0</v>
      </c>
      <c r="AA69" s="52" t="n">
        <f aca="false">+AA66+AA68</f>
        <v>0</v>
      </c>
      <c r="AB69" s="52" t="n">
        <f aca="false">+AB66+AB68</f>
        <v>-344143</v>
      </c>
      <c r="AC69" s="52" t="n">
        <f aca="false">+AC66+AC68</f>
        <v>-502401</v>
      </c>
      <c r="AD69" s="52" t="n">
        <f aca="false">+AD66+AD68</f>
        <v>-395559</v>
      </c>
      <c r="AE69" s="52" t="n">
        <f aca="false">+AE66+AE68</f>
        <v>7785457</v>
      </c>
      <c r="AF69" s="50"/>
      <c r="AG69" s="49"/>
      <c r="AH69" s="49"/>
      <c r="AI69" s="52" t="e">
        <f aca="false">+AI66+AI68</f>
        <v>#REF!</v>
      </c>
      <c r="AJ69" s="52" t="e">
        <f aca="false">AI69-AK69</f>
        <v>#REF!</v>
      </c>
      <c r="AK69" s="52" t="n">
        <f aca="false">SUM(AK66:AK68)</f>
        <v>13727079</v>
      </c>
      <c r="AL69" s="4" t="e">
        <f aca="false">AL68-AL67</f>
        <v>#REF!</v>
      </c>
    </row>
    <row r="70" customFormat="false" ht="15.75" hidden="false" customHeight="true" outlineLevel="0" collapsed="false">
      <c r="A70" s="55"/>
      <c r="B70" s="52"/>
      <c r="C70" s="56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0"/>
      <c r="P70" s="49"/>
      <c r="Q70" s="49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0"/>
      <c r="AG70" s="49"/>
      <c r="AH70" s="49"/>
      <c r="AI70" s="52"/>
      <c r="AJ70" s="52"/>
      <c r="AK70" s="52"/>
    </row>
    <row r="71" customFormat="false" ht="15.75" hidden="false" customHeight="true" outlineLevel="0" collapsed="false">
      <c r="A71" s="55" t="s">
        <v>110</v>
      </c>
      <c r="B71" s="49"/>
      <c r="C71" s="55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29"/>
      <c r="O71" s="50"/>
      <c r="P71" s="49"/>
      <c r="Q71" s="49"/>
      <c r="R71" s="27"/>
      <c r="S71" s="49" t="n">
        <v>-1591304</v>
      </c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29"/>
      <c r="AF71" s="50"/>
      <c r="AG71" s="49"/>
      <c r="AH71" s="49"/>
      <c r="AI71" s="27"/>
      <c r="AJ71" s="27"/>
      <c r="AK71" s="27"/>
    </row>
    <row r="72" customFormat="false" ht="15.75" hidden="false" customHeight="true" outlineLevel="0" collapsed="false">
      <c r="A72" s="26" t="s">
        <v>111</v>
      </c>
      <c r="B72" s="27" t="n">
        <v>-1568835</v>
      </c>
      <c r="C72" s="28" t="n">
        <f aca="false">D72-B72</f>
        <v>0</v>
      </c>
      <c r="D72" s="27" t="n">
        <v>-1568835</v>
      </c>
      <c r="E72" s="27" t="n">
        <v>0</v>
      </c>
      <c r="F72" s="27" t="n">
        <v>0</v>
      </c>
      <c r="G72" s="27" t="n">
        <v>0</v>
      </c>
      <c r="H72" s="27" t="n">
        <v>-4268.15</v>
      </c>
      <c r="I72" s="27" t="n">
        <v>0</v>
      </c>
      <c r="J72" s="27" t="n">
        <v>0</v>
      </c>
      <c r="K72" s="27" t="n">
        <v>0</v>
      </c>
      <c r="L72" s="27" t="n">
        <v>0</v>
      </c>
      <c r="M72" s="27" t="n">
        <v>0</v>
      </c>
      <c r="N72" s="29" t="n">
        <f aca="false">SUM(D72:M72)</f>
        <v>-1573103.15</v>
      </c>
      <c r="O72" s="30"/>
      <c r="P72" s="27"/>
      <c r="Q72" s="49"/>
      <c r="R72" s="27" t="n">
        <f aca="false">N72-P72+Q72</f>
        <v>-1573103.15</v>
      </c>
      <c r="S72" s="27" t="n">
        <v>-3550763</v>
      </c>
      <c r="T72" s="27" t="n">
        <v>0</v>
      </c>
      <c r="U72" s="27" t="n">
        <v>0</v>
      </c>
      <c r="V72" s="27"/>
      <c r="W72" s="27" t="n">
        <v>0</v>
      </c>
      <c r="X72" s="27" t="n">
        <v>0</v>
      </c>
      <c r="Y72" s="27" t="n">
        <v>0</v>
      </c>
      <c r="Z72" s="27" t="n">
        <v>0</v>
      </c>
      <c r="AA72" s="27" t="n">
        <v>0</v>
      </c>
      <c r="AB72" s="27" t="n">
        <v>0</v>
      </c>
      <c r="AC72" s="27" t="n">
        <v>0</v>
      </c>
      <c r="AD72" s="27" t="n">
        <v>0</v>
      </c>
      <c r="AE72" s="29" t="n">
        <f aca="false">SUM(S72:AD72)</f>
        <v>-3550763</v>
      </c>
      <c r="AF72" s="30"/>
      <c r="AG72" s="27"/>
      <c r="AH72" s="49"/>
      <c r="AI72" s="27" t="n">
        <f aca="false">AE72-AG72+AH72</f>
        <v>-3550763</v>
      </c>
      <c r="AJ72" s="27" t="n">
        <f aca="false">AI72-AK72</f>
        <v>-1977660</v>
      </c>
      <c r="AK72" s="27" t="n">
        <v>-1573103</v>
      </c>
    </row>
    <row r="73" customFormat="false" ht="15" hidden="false" customHeight="false" outlineLevel="0" collapsed="false">
      <c r="A73" s="57" t="s">
        <v>112</v>
      </c>
      <c r="B73" s="58" t="n">
        <f aca="false">+B69+B72</f>
        <v>13418852</v>
      </c>
      <c r="C73" s="57"/>
      <c r="D73" s="58" t="n">
        <f aca="false">+D69+D72</f>
        <v>13423797</v>
      </c>
      <c r="E73" s="58" t="n">
        <f aca="false">+E69+E72</f>
        <v>-428382</v>
      </c>
      <c r="F73" s="58" t="n">
        <f aca="false">+F69+F72</f>
        <v>-42247.24</v>
      </c>
      <c r="G73" s="58" t="n">
        <f aca="false">+G69+G72</f>
        <v>-71048.58</v>
      </c>
      <c r="H73" s="58" t="n">
        <f aca="false">+H69+H72</f>
        <v>-489726.72</v>
      </c>
      <c r="I73" s="58" t="n">
        <f aca="false">+I69+I72</f>
        <v>-13474.17</v>
      </c>
      <c r="J73" s="58" t="n">
        <f aca="false">+J69+J72</f>
        <v>0</v>
      </c>
      <c r="K73" s="58" t="n">
        <f aca="false">+K69+K72</f>
        <v>0</v>
      </c>
      <c r="L73" s="58" t="n">
        <f aca="false">+L69+L72</f>
        <v>0</v>
      </c>
      <c r="M73" s="58" t="n">
        <f aca="false">+M69+M72</f>
        <v>0</v>
      </c>
      <c r="N73" s="58" t="n">
        <f aca="false">+N69+N72</f>
        <v>12378918.29</v>
      </c>
      <c r="O73" s="30"/>
      <c r="P73" s="58"/>
      <c r="Q73" s="58"/>
      <c r="R73" s="58" t="n">
        <f aca="false">+R69+R72</f>
        <v>12153975.95</v>
      </c>
      <c r="S73" s="58" t="n">
        <f aca="false">+S69+S71+S72</f>
        <v>5466629</v>
      </c>
      <c r="T73" s="58" t="n">
        <f aca="false">+T69+T72</f>
        <v>-1077724</v>
      </c>
      <c r="U73" s="58" t="n">
        <f aca="false">+U69+U72</f>
        <v>19337</v>
      </c>
      <c r="V73" s="58" t="n">
        <f aca="false">+V69+V72</f>
        <v>-15891</v>
      </c>
      <c r="W73" s="58" t="n">
        <f aca="false">+W69+W72</f>
        <v>-493384</v>
      </c>
      <c r="X73" s="58" t="n">
        <f aca="false">+X69+X72</f>
        <v>-13474</v>
      </c>
      <c r="Y73" s="58" t="n">
        <f aca="false">+Y69+Y72</f>
        <v>0</v>
      </c>
      <c r="Z73" s="58" t="n">
        <f aca="false">+Z69+Z72</f>
        <v>0</v>
      </c>
      <c r="AA73" s="58" t="n">
        <f aca="false">+AA69+AA72</f>
        <v>0</v>
      </c>
      <c r="AB73" s="58" t="n">
        <f aca="false">+AB69+AB72</f>
        <v>-344143</v>
      </c>
      <c r="AC73" s="58" t="n">
        <f aca="false">+AC69+AC72</f>
        <v>-502401</v>
      </c>
      <c r="AD73" s="58" t="n">
        <f aca="false">+AD69+AD72</f>
        <v>-395559</v>
      </c>
      <c r="AE73" s="58" t="n">
        <f aca="false">+AE69+AE72</f>
        <v>4234694</v>
      </c>
      <c r="AF73" s="30"/>
      <c r="AG73" s="58"/>
      <c r="AH73" s="58"/>
      <c r="AI73" s="58" t="e">
        <f aca="false">+AI69+AI72</f>
        <v>#REF!</v>
      </c>
      <c r="AJ73" s="58" t="e">
        <f aca="false">AI73-AK73</f>
        <v>#REF!</v>
      </c>
      <c r="AK73" s="58" t="n">
        <f aca="false">AK69+AK72</f>
        <v>12153976</v>
      </c>
    </row>
    <row r="74" customFormat="false" ht="15" hidden="false" customHeight="false" outlineLevel="0" collapsed="false">
      <c r="A74" s="57"/>
      <c r="B74" s="58"/>
      <c r="C74" s="57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30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30"/>
      <c r="AG74" s="58"/>
      <c r="AH74" s="58"/>
      <c r="AI74" s="58"/>
      <c r="AJ74" s="58"/>
      <c r="AK74" s="58"/>
    </row>
    <row r="75" customFormat="false" ht="15" hidden="false" customHeight="false" outlineLevel="0" collapsed="false">
      <c r="A75" s="59" t="s">
        <v>113</v>
      </c>
      <c r="B75" s="58" t="n">
        <v>0</v>
      </c>
      <c r="C75" s="59"/>
      <c r="D75" s="60" t="n">
        <v>14390</v>
      </c>
      <c r="E75" s="58"/>
      <c r="F75" s="58"/>
      <c r="G75" s="58"/>
      <c r="H75" s="58"/>
      <c r="I75" s="58"/>
      <c r="J75" s="58"/>
      <c r="K75" s="58"/>
      <c r="L75" s="58"/>
      <c r="M75" s="58"/>
      <c r="N75" s="29" t="n">
        <f aca="false">SUM(D75:M75)</f>
        <v>14390</v>
      </c>
      <c r="O75" s="30"/>
      <c r="P75" s="58"/>
      <c r="Q75" s="58"/>
      <c r="R75" s="27" t="n">
        <f aca="false">N75-P75+Q75</f>
        <v>14390</v>
      </c>
      <c r="S75" s="60" t="n">
        <v>1849659</v>
      </c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29" t="n">
        <f aca="false">SUM(S75:AD75)</f>
        <v>1849659</v>
      </c>
      <c r="AF75" s="30"/>
      <c r="AG75" s="58"/>
      <c r="AH75" s="58"/>
      <c r="AI75" s="27" t="n">
        <f aca="false">AE75-AG75+AH75</f>
        <v>1849659</v>
      </c>
      <c r="AJ75" s="27" t="n">
        <f aca="false">AI75-AK75</f>
        <v>1835269</v>
      </c>
      <c r="AK75" s="58" t="n">
        <v>14390</v>
      </c>
    </row>
    <row r="76" customFormat="false" ht="15" hidden="false" customHeight="false" outlineLevel="0" collapsed="false">
      <c r="A76" s="57" t="s">
        <v>98</v>
      </c>
      <c r="B76" s="58" t="n">
        <f aca="false">B73+B75</f>
        <v>13418852</v>
      </c>
      <c r="C76" s="28"/>
      <c r="D76" s="58" t="n">
        <f aca="false">D73+D75</f>
        <v>13438187</v>
      </c>
      <c r="E76" s="58" t="n">
        <f aca="false">E73+E75</f>
        <v>-428382</v>
      </c>
      <c r="F76" s="58" t="n">
        <f aca="false">F73+F75</f>
        <v>-42247.24</v>
      </c>
      <c r="G76" s="58" t="n">
        <f aca="false">G73+G75</f>
        <v>-71048.58</v>
      </c>
      <c r="H76" s="58" t="n">
        <f aca="false">H73+H75</f>
        <v>-489726.72</v>
      </c>
      <c r="I76" s="58" t="n">
        <f aca="false">I73+I75</f>
        <v>-13474.17</v>
      </c>
      <c r="J76" s="58" t="n">
        <f aca="false">J73+J75</f>
        <v>0</v>
      </c>
      <c r="K76" s="58" t="n">
        <f aca="false">K73+K75</f>
        <v>0</v>
      </c>
      <c r="L76" s="58" t="n">
        <f aca="false">L73+L75</f>
        <v>0</v>
      </c>
      <c r="M76" s="58" t="n">
        <f aca="false">M73+M75</f>
        <v>0</v>
      </c>
      <c r="N76" s="58" t="n">
        <f aca="false">N73+N75</f>
        <v>12393308.29</v>
      </c>
      <c r="O76" s="30"/>
      <c r="P76" s="58"/>
      <c r="Q76" s="58"/>
      <c r="R76" s="58" t="n">
        <f aca="false">R73+R75</f>
        <v>12168365.95</v>
      </c>
      <c r="S76" s="58" t="n">
        <f aca="false">S73+S75</f>
        <v>7316288</v>
      </c>
      <c r="T76" s="58" t="n">
        <f aca="false">T73+T75</f>
        <v>-1077724</v>
      </c>
      <c r="U76" s="58" t="n">
        <f aca="false">U73+U75</f>
        <v>19337</v>
      </c>
      <c r="V76" s="58" t="n">
        <f aca="false">V73+V75</f>
        <v>-15891</v>
      </c>
      <c r="W76" s="58" t="n">
        <f aca="false">W73+W75</f>
        <v>-493384</v>
      </c>
      <c r="X76" s="58" t="n">
        <f aca="false">X73+X75</f>
        <v>-13474</v>
      </c>
      <c r="Y76" s="58" t="n">
        <f aca="false">Y73+Y75</f>
        <v>0</v>
      </c>
      <c r="Z76" s="58" t="n">
        <f aca="false">Z73+Z75</f>
        <v>0</v>
      </c>
      <c r="AA76" s="58" t="n">
        <f aca="false">AA73+AA75</f>
        <v>0</v>
      </c>
      <c r="AB76" s="58" t="n">
        <f aca="false">AB73+AB75</f>
        <v>-344143</v>
      </c>
      <c r="AC76" s="58" t="n">
        <f aca="false">AC73+AC75</f>
        <v>-502401</v>
      </c>
      <c r="AD76" s="58" t="n">
        <f aca="false">AD73+AD75</f>
        <v>-395559</v>
      </c>
      <c r="AE76" s="58" t="n">
        <f aca="false">AE73+AE75</f>
        <v>6084353</v>
      </c>
      <c r="AF76" s="30"/>
      <c r="AG76" s="58"/>
      <c r="AH76" s="58"/>
      <c r="AI76" s="58" t="e">
        <f aca="false">AI73+AI75</f>
        <v>#REF!</v>
      </c>
      <c r="AJ76" s="58" t="e">
        <f aca="false">AJ73+AJ75</f>
        <v>#REF!</v>
      </c>
      <c r="AK76" s="58" t="n">
        <f aca="false">SUM(AK73:AK75)</f>
        <v>12168366</v>
      </c>
    </row>
    <row r="77" customFormat="false" ht="15" hidden="false" customHeight="false" outlineLevel="0" collapsed="false">
      <c r="A77" s="61"/>
      <c r="B77" s="62"/>
      <c r="C77" s="61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3"/>
      <c r="P77" s="62"/>
      <c r="Q77" s="62"/>
      <c r="R77" s="62"/>
      <c r="S77" s="62"/>
      <c r="T77" s="62"/>
      <c r="U77" s="62"/>
      <c r="V77" s="64"/>
      <c r="W77" s="62"/>
      <c r="X77" s="62"/>
      <c r="Y77" s="62"/>
      <c r="Z77" s="62"/>
      <c r="AA77" s="62"/>
      <c r="AB77" s="62"/>
      <c r="AC77" s="62"/>
      <c r="AD77" s="62"/>
      <c r="AE77" s="62"/>
      <c r="AF77" s="63"/>
      <c r="AG77" s="62"/>
      <c r="AH77" s="62"/>
      <c r="AI77" s="62"/>
      <c r="AJ77" s="62"/>
      <c r="AK77" s="62"/>
    </row>
    <row r="78" s="67" customFormat="true" ht="21.75" hidden="false" customHeight="true" outlineLevel="0" collapsed="false">
      <c r="A78" s="65"/>
      <c r="B78" s="66"/>
      <c r="C78" s="65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P78" s="68" t="n">
        <f aca="false">SUM(P5:P73)</f>
        <v>51071713.540593</v>
      </c>
      <c r="Q78" s="68" t="n">
        <f aca="false">SUM(Q5:Q73)</f>
        <v>50846771.270593</v>
      </c>
      <c r="R78" s="66"/>
      <c r="S78" s="69"/>
      <c r="AJ78" s="66"/>
      <c r="AK78" s="66"/>
    </row>
    <row r="79" s="67" customFormat="true" ht="21.75" hidden="false" customHeight="true" outlineLevel="0" collapsed="false">
      <c r="A79" s="70"/>
      <c r="B79" s="71" t="n">
        <f aca="false">+B58+B47-B26</f>
        <v>0</v>
      </c>
      <c r="C79" s="70"/>
      <c r="D79" s="71" t="n">
        <f aca="false">+D58+D47-D26</f>
        <v>0</v>
      </c>
      <c r="E79" s="71" t="n">
        <f aca="false">+E58+E47-E26</f>
        <v>0</v>
      </c>
      <c r="F79" s="71" t="n">
        <f aca="false">+F58+F47-F26</f>
        <v>0</v>
      </c>
      <c r="G79" s="71" t="n">
        <f aca="false">+G58+G47-G26</f>
        <v>-0.489999999757856</v>
      </c>
      <c r="H79" s="71" t="n">
        <f aca="false">+H58+H47-H26</f>
        <v>6.24999520368874E-005</v>
      </c>
      <c r="I79" s="71" t="n">
        <f aca="false">+I58+I47-I26</f>
        <v>0</v>
      </c>
      <c r="J79" s="71" t="n">
        <f aca="false">+J58+J47-J26</f>
        <v>0</v>
      </c>
      <c r="K79" s="71" t="n">
        <f aca="false">+K58+K47-K26</f>
        <v>0</v>
      </c>
      <c r="L79" s="71" t="n">
        <f aca="false">+L58+L47-L26</f>
        <v>0</v>
      </c>
      <c r="M79" s="71" t="n">
        <f aca="false">+M58+M47-M26</f>
        <v>0</v>
      </c>
      <c r="N79" s="71" t="n">
        <f aca="false">+N58+N47-N26</f>
        <v>-0.489937454462051</v>
      </c>
      <c r="P79" s="72" t="n">
        <f aca="false">P78-Q78</f>
        <v>224942.270000011</v>
      </c>
      <c r="Q79" s="72"/>
      <c r="R79" s="73" t="s">
        <v>114</v>
      </c>
      <c r="S79" s="71" t="n">
        <f aca="false">+S58+S47-S26</f>
        <v>0</v>
      </c>
      <c r="T79" s="71" t="n">
        <f aca="false">+T58+T47-T26</f>
        <v>0</v>
      </c>
      <c r="U79" s="71" t="n">
        <f aca="false">+U58+U47-U26</f>
        <v>0</v>
      </c>
      <c r="V79" s="71" t="n">
        <f aca="false">+V58+V47-V26</f>
        <v>0</v>
      </c>
      <c r="W79" s="71" t="n">
        <f aca="false">+W58+W47-W26</f>
        <v>0</v>
      </c>
      <c r="X79" s="71" t="n">
        <f aca="false">+X58+X47-X26</f>
        <v>0</v>
      </c>
      <c r="Y79" s="71" t="n">
        <f aca="false">+Y58+Y47-Y26</f>
        <v>0</v>
      </c>
      <c r="Z79" s="71" t="n">
        <f aca="false">+Z58+Z47-Z26</f>
        <v>0</v>
      </c>
      <c r="AA79" s="71" t="n">
        <f aca="false">+AA58+AA47-AA26</f>
        <v>0</v>
      </c>
      <c r="AB79" s="71" t="n">
        <f aca="false">+AB58+AB47-AB26</f>
        <v>0</v>
      </c>
      <c r="AC79" s="71" t="n">
        <f aca="false">+AC58+AC47-AC26</f>
        <v>0</v>
      </c>
      <c r="AD79" s="71" t="n">
        <f aca="false">+AD58+AD47-AD26</f>
        <v>0</v>
      </c>
      <c r="AE79" s="71" t="n">
        <f aca="false">+AE58+AE47-AE26</f>
        <v>0</v>
      </c>
      <c r="AG79" s="69" t="e">
        <f aca="false">SUM(AG5:AG78)</f>
        <v>#REF!</v>
      </c>
      <c r="AH79" s="69" t="e">
        <f aca="false">SUM(AH5:AH78)</f>
        <v>#REF!</v>
      </c>
      <c r="AI79" s="71" t="e">
        <f aca="false">+AI58+AI47-AI26</f>
        <v>#REF!</v>
      </c>
      <c r="AJ79" s="74" t="e">
        <f aca="false">AI79*2</f>
        <v>#REF!</v>
      </c>
      <c r="AK79" s="73"/>
    </row>
    <row r="80" customFormat="false" ht="15" hidden="false" customHeight="false" outlineLevel="0" collapsed="false">
      <c r="H80" s="4" t="n">
        <f aca="false">+H73-H56</f>
        <v>-6.24999520368874E-005</v>
      </c>
      <c r="N80" s="4"/>
      <c r="S80" s="4" t="n">
        <f aca="false">S56-S76</f>
        <v>-1720743</v>
      </c>
      <c r="T80" s="4" t="n">
        <f aca="false">T56-T73</f>
        <v>0</v>
      </c>
      <c r="U80" s="4" t="n">
        <f aca="false">U56-U73</f>
        <v>0</v>
      </c>
      <c r="V80" s="4" t="n">
        <f aca="false">V56-V73</f>
        <v>0</v>
      </c>
      <c r="W80" s="4" t="n">
        <f aca="false">W56-W73</f>
        <v>0</v>
      </c>
      <c r="X80" s="4" t="n">
        <f aca="false">X56-X73</f>
        <v>0</v>
      </c>
      <c r="Y80" s="4" t="n">
        <f aca="false">Y56-Y73</f>
        <v>0</v>
      </c>
      <c r="Z80" s="4" t="n">
        <f aca="false">Z56-Z73</f>
        <v>0</v>
      </c>
      <c r="AA80" s="4" t="n">
        <f aca="false">AA56-AA73</f>
        <v>0</v>
      </c>
      <c r="AB80" s="4" t="n">
        <f aca="false">AB56-AB73</f>
        <v>0</v>
      </c>
      <c r="AC80" s="4" t="n">
        <f aca="false">AC56-AC73</f>
        <v>0</v>
      </c>
      <c r="AD80" s="4"/>
      <c r="AH80" s="4" t="e">
        <f aca="false">AG79-AH79</f>
        <v>#REF!</v>
      </c>
      <c r="AM80" s="4"/>
    </row>
    <row r="81" customFormat="false" ht="15.75" hidden="false" customHeight="false" outlineLevel="0" collapsed="false">
      <c r="A81" s="75" t="s">
        <v>115</v>
      </c>
      <c r="C81" s="75"/>
      <c r="M81" s="76"/>
      <c r="P81" s="77" t="s">
        <v>114</v>
      </c>
      <c r="Q81" s="78" t="n">
        <f aca="false">+'Asientos - para Consolidado'!D79</f>
        <v>224942.34</v>
      </c>
      <c r="R81" s="0" t="s">
        <v>116</v>
      </c>
      <c r="S81" s="6" t="n">
        <f aca="false">+S76*100%</f>
        <v>7316288</v>
      </c>
      <c r="T81" s="6" t="n">
        <f aca="false">+T76*'Variación Patrimonio 2017-2016'!L4</f>
        <v>-808508.5448</v>
      </c>
      <c r="U81" s="6" t="n">
        <f aca="false">+U76*'Variación Patrimonio 2017-2016'!L21</f>
        <v>19336.1250226244</v>
      </c>
      <c r="V81" s="4" t="n">
        <f aca="false">+V76*'Variación Patrimonio 2017-2016'!L40</f>
        <v>-10805.88</v>
      </c>
      <c r="W81" s="4" t="n">
        <f aca="false">+W76*'Variación Patrimonio 2017-2016'!L56</f>
        <v>-246692</v>
      </c>
      <c r="X81" s="4" t="n">
        <f aca="false">+X76*'Variación Patrimonio 2017-2016'!L74</f>
        <v>-10105.5</v>
      </c>
      <c r="Y81" s="6" t="n">
        <v>0</v>
      </c>
      <c r="Z81" s="6" t="n">
        <v>0</v>
      </c>
      <c r="AA81" s="6" t="n">
        <v>0</v>
      </c>
      <c r="AB81" s="6" t="n">
        <f aca="false">+AB76*'Variación Patrimonio 2017-2016'!L143</f>
        <v>-318332.275</v>
      </c>
      <c r="AC81" s="6" t="n">
        <f aca="false">+AC76*'Variación Patrimonio 2017-2016'!L160</f>
        <v>-492352.98</v>
      </c>
      <c r="AD81" s="6" t="n">
        <f aca="false">+AD76*'Variación Patrimonio 2017-2016'!L185</f>
        <v>-395559</v>
      </c>
      <c r="AE81" s="8" t="n">
        <f aca="false">SUM(S81:AD81)</f>
        <v>5053267.94522262</v>
      </c>
      <c r="AG81" s="4" t="e">
        <f aca="false">+AG65+AG60</f>
        <v>#REF!</v>
      </c>
      <c r="AH81" s="8" t="e">
        <f aca="false">AH61+AH65+AH64</f>
        <v>#REF!</v>
      </c>
      <c r="AI81" s="8" t="e">
        <f aca="false">+AE81-AG81+AH81</f>
        <v>#REF!</v>
      </c>
      <c r="AJ81" s="74" t="e">
        <f aca="false">AI79/2</f>
        <v>#REF!</v>
      </c>
      <c r="AL81" s="46" t="e">
        <f aca="false">+AI56-AI81</f>
        <v>#REF!</v>
      </c>
    </row>
    <row r="82" customFormat="false" ht="15" hidden="false" customHeight="false" outlineLevel="0" collapsed="false">
      <c r="A82" s="75" t="s">
        <v>117</v>
      </c>
      <c r="C82" s="75"/>
      <c r="S82" s="6" t="n">
        <f aca="false">+S76-S81</f>
        <v>0</v>
      </c>
      <c r="T82" s="42" t="n">
        <f aca="false">+T76-T81</f>
        <v>-269215.4552</v>
      </c>
      <c r="U82" s="42" t="n">
        <f aca="false">+U76-U81</f>
        <v>0.874977375566232</v>
      </c>
      <c r="V82" s="6" t="n">
        <f aca="false">+V76-V81</f>
        <v>-5085.12</v>
      </c>
      <c r="W82" s="6" t="n">
        <f aca="false">+W76-W81</f>
        <v>-246692</v>
      </c>
      <c r="X82" s="6" t="n">
        <f aca="false">+X76-X81</f>
        <v>-3368.5</v>
      </c>
      <c r="Y82" s="6" t="n">
        <f aca="false">+Y76-Y81</f>
        <v>0</v>
      </c>
      <c r="Z82" s="6" t="n">
        <f aca="false">+Z76-Z81</f>
        <v>0</v>
      </c>
      <c r="AA82" s="6" t="n">
        <f aca="false">+AA76-AA81</f>
        <v>0</v>
      </c>
      <c r="AB82" s="42" t="n">
        <f aca="false">+AB76-AB81</f>
        <v>-25810.725</v>
      </c>
      <c r="AC82" s="42" t="n">
        <f aca="false">+AC76-AC81</f>
        <v>-10048.02</v>
      </c>
      <c r="AD82" s="6" t="n">
        <f aca="false">+AD76-AD81</f>
        <v>0</v>
      </c>
      <c r="AE82" s="8" t="n">
        <f aca="false">SUM(S82:AD82)</f>
        <v>-560218.945222625</v>
      </c>
      <c r="AH82" s="8"/>
      <c r="AI82" s="8" t="n">
        <f aca="false">+AE82-AG82+AH82</f>
        <v>-560218.945222625</v>
      </c>
      <c r="AN82" s="6"/>
      <c r="AO82" s="8"/>
    </row>
    <row r="85" customFormat="false" ht="15" hidden="false" customHeight="false" outlineLevel="0" collapsed="false">
      <c r="AH85" s="42" t="e">
        <f aca="false">'Diario 2015 (a)'!F15</f>
        <v>#REF!</v>
      </c>
    </row>
  </sheetData>
  <mergeCells count="3">
    <mergeCell ref="P3:Q3"/>
    <mergeCell ref="AG3:AH3"/>
    <mergeCell ref="P79:Q79"/>
  </mergeCells>
  <printOptions headings="false" gridLines="false" gridLinesSet="true" horizontalCentered="true" verticalCentered="false"/>
  <pageMargins left="0" right="0" top="0.747916666666667" bottom="0.39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5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8" activeCellId="0" sqref="B8"/>
    </sheetView>
  </sheetViews>
  <sheetFormatPr defaultColWidth="11.43359375" defaultRowHeight="12.75" zeroHeight="false" outlineLevelRow="0" outlineLevelCol="0"/>
  <cols>
    <col collapsed="false" customWidth="false" hidden="false" outlineLevel="0" max="1" min="1" style="302" width="11.42"/>
    <col collapsed="false" customWidth="true" hidden="false" outlineLevel="0" max="2" min="2" style="302" width="25.71"/>
    <col collapsed="false" customWidth="false" hidden="false" outlineLevel="0" max="1024" min="3" style="302" width="11.42"/>
  </cols>
  <sheetData>
    <row r="1" customFormat="false" ht="12.75" hidden="false" customHeight="false" outlineLevel="0" collapsed="false">
      <c r="C1" s="303" t="s">
        <v>340</v>
      </c>
      <c r="D1" s="303"/>
    </row>
    <row r="2" customFormat="false" ht="12.75" hidden="false" customHeight="false" outlineLevel="0" collapsed="false">
      <c r="C2" s="303" t="s">
        <v>341</v>
      </c>
      <c r="D2" s="303" t="n">
        <v>101</v>
      </c>
    </row>
    <row r="3" customFormat="false" ht="12.75" hidden="false" customHeight="false" outlineLevel="0" collapsed="false">
      <c r="B3" s="304" t="s">
        <v>342</v>
      </c>
      <c r="C3" s="305" t="n">
        <v>77</v>
      </c>
      <c r="D3" s="305" t="n">
        <v>70.5</v>
      </c>
    </row>
    <row r="4" customFormat="false" ht="12.75" hidden="false" customHeight="false" outlineLevel="0" collapsed="false">
      <c r="B4" s="306" t="s">
        <v>343</v>
      </c>
      <c r="C4" s="305" t="n">
        <v>113.8</v>
      </c>
      <c r="D4" s="305" t="n">
        <v>137.05</v>
      </c>
    </row>
    <row r="5" customFormat="false" ht="12.75" hidden="false" customHeight="false" outlineLevel="0" collapsed="false">
      <c r="B5" s="306" t="s">
        <v>344</v>
      </c>
      <c r="C5" s="305" t="n">
        <v>72</v>
      </c>
      <c r="D5" s="305" t="n">
        <v>67.55</v>
      </c>
    </row>
    <row r="6" customFormat="false" ht="12.75" hidden="false" customHeight="false" outlineLevel="0" collapsed="false">
      <c r="B6" s="306" t="s">
        <v>345</v>
      </c>
      <c r="C6" s="305" t="n">
        <v>52.9</v>
      </c>
      <c r="D6" s="305" t="n">
        <v>53.3</v>
      </c>
    </row>
    <row r="7" customFormat="false" ht="12.75" hidden="false" customHeight="false" outlineLevel="0" collapsed="false">
      <c r="B7" s="306" t="s">
        <v>100</v>
      </c>
      <c r="C7" s="305" t="n">
        <v>65.8</v>
      </c>
      <c r="D7" s="305" t="n">
        <v>76.98</v>
      </c>
    </row>
    <row r="8" customFormat="false" ht="12.75" hidden="false" customHeight="false" outlineLevel="0" collapsed="false">
      <c r="B8" s="306" t="s">
        <v>346</v>
      </c>
      <c r="C8" s="305" t="n">
        <v>124.6</v>
      </c>
      <c r="D8" s="305" t="n">
        <v>140.44</v>
      </c>
    </row>
    <row r="9" customFormat="false" ht="12.75" hidden="false" customHeight="false" outlineLevel="0" collapsed="false">
      <c r="B9" s="306" t="s">
        <v>347</v>
      </c>
      <c r="C9" s="305" t="n">
        <f aca="false">-(+C8+C10+C11-C12)</f>
        <v>-106.96</v>
      </c>
      <c r="D9" s="305" t="n">
        <f aca="false">-(+D8+D10+D11-D12)</f>
        <v>-116.58</v>
      </c>
    </row>
    <row r="10" customFormat="false" ht="12.75" hidden="false" customHeight="false" outlineLevel="0" collapsed="false">
      <c r="B10" s="306" t="s">
        <v>110</v>
      </c>
      <c r="C10" s="305" t="n">
        <v>-2.64</v>
      </c>
      <c r="D10" s="305" t="n">
        <v>-2.9</v>
      </c>
    </row>
    <row r="11" customFormat="false" ht="12.75" hidden="false" customHeight="false" outlineLevel="0" collapsed="false">
      <c r="B11" s="306" t="s">
        <v>111</v>
      </c>
      <c r="C11" s="305" t="n">
        <v>-1.6</v>
      </c>
      <c r="D11" s="305" t="n">
        <v>-1.6</v>
      </c>
    </row>
    <row r="12" customFormat="false" ht="12.75" hidden="false" customHeight="false" outlineLevel="0" collapsed="false">
      <c r="B12" s="307" t="s">
        <v>348</v>
      </c>
      <c r="C12" s="308" t="n">
        <v>13.4</v>
      </c>
      <c r="D12" s="308" t="n">
        <v>19.36</v>
      </c>
    </row>
    <row r="14" customFormat="false" ht="12.75" hidden="false" customHeight="false" outlineLevel="0" collapsed="false">
      <c r="C14" s="303" t="s">
        <v>349</v>
      </c>
      <c r="D14" s="303"/>
      <c r="E14" s="303"/>
    </row>
    <row r="15" customFormat="false" ht="25.5" hidden="false" customHeight="false" outlineLevel="0" collapsed="false">
      <c r="C15" s="309" t="s">
        <v>350</v>
      </c>
      <c r="D15" s="310" t="n">
        <v>101</v>
      </c>
      <c r="E15" s="309" t="s">
        <v>351</v>
      </c>
    </row>
    <row r="16" customFormat="false" ht="12.75" hidden="false" customHeight="false" outlineLevel="0" collapsed="false">
      <c r="B16" s="304" t="s">
        <v>342</v>
      </c>
      <c r="C16" s="305"/>
      <c r="D16" s="305"/>
      <c r="E16" s="305" t="n">
        <v>82.6</v>
      </c>
    </row>
    <row r="17" customFormat="false" ht="12.75" hidden="false" customHeight="false" outlineLevel="0" collapsed="false">
      <c r="B17" s="306" t="s">
        <v>343</v>
      </c>
      <c r="C17" s="305"/>
      <c r="D17" s="305"/>
      <c r="E17" s="305" t="n">
        <v>118.2</v>
      </c>
    </row>
    <row r="18" customFormat="false" ht="12.75" hidden="false" customHeight="false" outlineLevel="0" collapsed="false">
      <c r="B18" s="306" t="s">
        <v>344</v>
      </c>
      <c r="C18" s="305"/>
      <c r="D18" s="305"/>
      <c r="E18" s="305" t="n">
        <v>85.8</v>
      </c>
    </row>
    <row r="19" customFormat="false" ht="12.75" hidden="false" customHeight="false" outlineLevel="0" collapsed="false">
      <c r="B19" s="306" t="s">
        <v>345</v>
      </c>
      <c r="C19" s="305"/>
      <c r="D19" s="305"/>
      <c r="E19" s="305" t="n">
        <v>59.5</v>
      </c>
    </row>
    <row r="20" customFormat="false" ht="12.75" hidden="false" customHeight="false" outlineLevel="0" collapsed="false">
      <c r="B20" s="306" t="s">
        <v>100</v>
      </c>
      <c r="C20" s="305"/>
      <c r="D20" s="305"/>
      <c r="E20" s="305" t="n">
        <v>55.5</v>
      </c>
    </row>
    <row r="21" customFormat="false" ht="12.75" hidden="false" customHeight="false" outlineLevel="0" collapsed="false">
      <c r="B21" s="306" t="s">
        <v>346</v>
      </c>
      <c r="C21" s="305"/>
      <c r="D21" s="305"/>
      <c r="E21" s="305" t="n">
        <v>104.1</v>
      </c>
    </row>
    <row r="22" customFormat="false" ht="12.75" hidden="false" customHeight="false" outlineLevel="0" collapsed="false">
      <c r="B22" s="306" t="s">
        <v>347</v>
      </c>
      <c r="C22" s="305"/>
      <c r="D22" s="305"/>
      <c r="E22" s="305" t="n">
        <f aca="false">-(+E21+E23+E24-E25)</f>
        <v>-74.1</v>
      </c>
    </row>
    <row r="23" customFormat="false" ht="12.75" hidden="false" customHeight="false" outlineLevel="0" collapsed="false">
      <c r="B23" s="306" t="s">
        <v>110</v>
      </c>
      <c r="C23" s="305"/>
      <c r="D23" s="305"/>
      <c r="E23" s="305" t="n">
        <v>-3.4</v>
      </c>
    </row>
    <row r="24" customFormat="false" ht="12.75" hidden="false" customHeight="false" outlineLevel="0" collapsed="false">
      <c r="B24" s="306" t="s">
        <v>111</v>
      </c>
      <c r="C24" s="305"/>
      <c r="D24" s="305"/>
      <c r="E24" s="305" t="n">
        <v>-1.8</v>
      </c>
    </row>
    <row r="25" customFormat="false" ht="12.75" hidden="false" customHeight="false" outlineLevel="0" collapsed="false">
      <c r="B25" s="307" t="s">
        <v>348</v>
      </c>
      <c r="C25" s="308"/>
      <c r="D25" s="308"/>
      <c r="E25" s="308" t="n">
        <v>24.8</v>
      </c>
    </row>
  </sheetData>
  <mergeCells count="2">
    <mergeCell ref="C1:D1"/>
    <mergeCell ref="C14:E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08"/>
  <sheetViews>
    <sheetView showFormulas="false" showGridLines="true" showRowColHeaders="true" showZeros="true" rightToLeft="false" tabSelected="false" showOutlineSymbols="true" defaultGridColor="true" view="normal" topLeftCell="A66" colorId="64" zoomScale="80" zoomScaleNormal="80" zoomScalePageLayoutView="100" workbookViewId="0">
      <selection pane="topLeft" activeCell="J18" activeCellId="0" sqref="J18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311" width="11.42"/>
    <col collapsed="false" customWidth="true" hidden="false" outlineLevel="0" max="2" min="2" style="311" width="37.42"/>
    <col collapsed="false" customWidth="true" hidden="false" outlineLevel="0" max="3" min="3" style="267" width="13.7"/>
    <col collapsed="false" customWidth="true" hidden="false" outlineLevel="0" max="4" min="4" style="267" width="21.29"/>
    <col collapsed="false" customWidth="true" hidden="false" outlineLevel="0" max="5" min="5" style="267" width="13.7"/>
    <col collapsed="false" customWidth="true" hidden="false" outlineLevel="0" max="6" min="6" style="267" width="17.4"/>
    <col collapsed="false" customWidth="true" hidden="false" outlineLevel="0" max="7" min="7" style="267" width="19.14"/>
    <col collapsed="false" customWidth="true" hidden="false" outlineLevel="0" max="8" min="8" style="267" width="13.7"/>
    <col collapsed="false" customWidth="true" hidden="false" outlineLevel="0" max="9" min="9" style="267" width="14.69"/>
    <col collapsed="false" customWidth="true" hidden="false" outlineLevel="0" max="10" min="10" style="267" width="17.59"/>
    <col collapsed="false" customWidth="true" hidden="false" outlineLevel="0" max="11" min="11" style="267" width="15.15"/>
    <col collapsed="false" customWidth="true" hidden="false" outlineLevel="0" max="12" min="12" style="311" width="13.43"/>
    <col collapsed="false" customWidth="true" hidden="false" outlineLevel="0" max="13" min="13" style="311" width="15.15"/>
    <col collapsed="false" customWidth="true" hidden="false" outlineLevel="0" max="14" min="14" style="311" width="13.43"/>
    <col collapsed="false" customWidth="true" hidden="false" outlineLevel="0" max="15" min="15" style="311" width="14.28"/>
    <col collapsed="false" customWidth="true" hidden="false" outlineLevel="0" max="16" min="16" style="311" width="10.29"/>
    <col collapsed="false" customWidth="false" hidden="false" outlineLevel="0" max="17" min="17" style="311" width="11.42"/>
    <col collapsed="false" customWidth="true" hidden="false" outlineLevel="0" max="18" min="18" style="311" width="19.42"/>
    <col collapsed="false" customWidth="true" hidden="false" outlineLevel="0" max="19" min="19" style="311" width="16.29"/>
    <col collapsed="false" customWidth="false" hidden="false" outlineLevel="0" max="1024" min="20" style="311" width="11.42"/>
  </cols>
  <sheetData>
    <row r="1" customFormat="false" ht="15" hidden="false" customHeight="false" outlineLevel="0" collapsed="false">
      <c r="F1" s="312" t="s">
        <v>352</v>
      </c>
      <c r="G1" s="312" t="s">
        <v>353</v>
      </c>
    </row>
    <row r="2" customFormat="false" ht="15" hidden="false" customHeight="false" outlineLevel="0" collapsed="false">
      <c r="B2" s="313" t="s">
        <v>354</v>
      </c>
      <c r="C2" s="314" t="s">
        <v>355</v>
      </c>
      <c r="D2" s="314" t="s">
        <v>356</v>
      </c>
      <c r="E2" s="314" t="s">
        <v>5</v>
      </c>
      <c r="F2" s="315" t="n">
        <f aca="false">+L4</f>
        <v>0.7502</v>
      </c>
      <c r="G2" s="316" t="n">
        <f aca="false">+L5</f>
        <v>0.2498</v>
      </c>
      <c r="H2" s="314"/>
    </row>
    <row r="3" customFormat="false" ht="15" hidden="false" customHeight="false" outlineLevel="0" collapsed="false">
      <c r="B3" s="311" t="s">
        <v>87</v>
      </c>
      <c r="C3" s="267" t="n">
        <v>5000</v>
      </c>
      <c r="D3" s="267" t="n">
        <v>5000</v>
      </c>
      <c r="E3" s="267" t="n">
        <f aca="false">+C3-D3</f>
        <v>0</v>
      </c>
      <c r="F3" s="267" t="n">
        <f aca="false">+E3*$F$2</f>
        <v>0</v>
      </c>
      <c r="G3" s="267" t="n">
        <f aca="false">+E3*$G$2</f>
        <v>0</v>
      </c>
      <c r="K3" s="317" t="n">
        <v>2017</v>
      </c>
      <c r="L3" s="317"/>
      <c r="M3" s="317" t="n">
        <v>2016</v>
      </c>
      <c r="N3" s="317"/>
      <c r="O3" s="317" t="s">
        <v>5</v>
      </c>
      <c r="P3" s="317"/>
    </row>
    <row r="4" customFormat="false" ht="15" hidden="false" customHeight="false" outlineLevel="0" collapsed="false">
      <c r="B4" s="311" t="s">
        <v>88</v>
      </c>
      <c r="C4" s="267" t="n">
        <f aca="false">'ESF - ERI'!T49</f>
        <v>42340052</v>
      </c>
      <c r="D4" s="267" t="n">
        <v>42837231</v>
      </c>
      <c r="E4" s="267" t="n">
        <f aca="false">+C4-D4</f>
        <v>-497179</v>
      </c>
      <c r="F4" s="267" t="n">
        <f aca="false">+E4*$F$2</f>
        <v>-372983.6858</v>
      </c>
      <c r="G4" s="267" t="n">
        <f aca="false">+E4*$G$2</f>
        <v>-124195.3142</v>
      </c>
      <c r="J4" s="267" t="s">
        <v>293</v>
      </c>
      <c r="K4" s="277" t="n">
        <v>3751</v>
      </c>
      <c r="L4" s="278" t="n">
        <f aca="false">+K4/$K$6</f>
        <v>0.7502</v>
      </c>
      <c r="M4" s="277" t="n">
        <v>3751</v>
      </c>
      <c r="N4" s="278" t="n">
        <f aca="false">+M4/$M$6</f>
        <v>0.7502</v>
      </c>
      <c r="O4" s="277" t="n">
        <f aca="false">+K4-M4</f>
        <v>0</v>
      </c>
      <c r="P4" s="278" t="n">
        <f aca="false">+L4-N4</f>
        <v>0</v>
      </c>
    </row>
    <row r="5" customFormat="false" ht="15" hidden="false" customHeight="false" outlineLevel="0" collapsed="false">
      <c r="B5" s="311" t="s">
        <v>90</v>
      </c>
      <c r="E5" s="267" t="n">
        <f aca="false">+C5-D5</f>
        <v>0</v>
      </c>
      <c r="F5" s="267" t="n">
        <f aca="false">+E5*$F$2</f>
        <v>0</v>
      </c>
      <c r="G5" s="267" t="n">
        <f aca="false">+E5*$G$2</f>
        <v>0</v>
      </c>
      <c r="J5" s="267" t="s">
        <v>296</v>
      </c>
      <c r="K5" s="282" t="n">
        <v>1249</v>
      </c>
      <c r="L5" s="278" t="n">
        <f aca="false">+K5/$K$6</f>
        <v>0.2498</v>
      </c>
      <c r="M5" s="282" t="n">
        <v>1249</v>
      </c>
      <c r="N5" s="278" t="n">
        <f aca="false">+M5/$M$6</f>
        <v>0.2498</v>
      </c>
      <c r="O5" s="277" t="n">
        <f aca="false">+K5-M5</f>
        <v>0</v>
      </c>
      <c r="P5" s="278" t="n">
        <f aca="false">+L5-N5</f>
        <v>0</v>
      </c>
    </row>
    <row r="6" customFormat="false" ht="14.25" hidden="false" customHeight="false" outlineLevel="0" collapsed="false">
      <c r="B6" s="311" t="s">
        <v>91</v>
      </c>
      <c r="E6" s="267" t="n">
        <f aca="false">+C6-D6</f>
        <v>0</v>
      </c>
      <c r="F6" s="267" t="n">
        <f aca="false">+E6*$F$2</f>
        <v>0</v>
      </c>
      <c r="G6" s="267" t="n">
        <f aca="false">+E6*$G$2</f>
        <v>0</v>
      </c>
      <c r="K6" s="277" t="n">
        <f aca="false">SUM(K4:K5)</f>
        <v>5000</v>
      </c>
      <c r="L6" s="285"/>
      <c r="M6" s="277" t="n">
        <f aca="false">SUM(M4:M5)</f>
        <v>5000</v>
      </c>
      <c r="N6" s="285"/>
      <c r="O6" s="277" t="n">
        <f aca="false">SUM(O4:O5)</f>
        <v>0</v>
      </c>
      <c r="P6" s="285"/>
      <c r="R6" s="318"/>
    </row>
    <row r="7" customFormat="false" ht="14.25" hidden="false" customHeight="false" outlineLevel="0" collapsed="false">
      <c r="B7" s="311" t="s">
        <v>92</v>
      </c>
      <c r="E7" s="267" t="n">
        <f aca="false">+C7-D7</f>
        <v>0</v>
      </c>
      <c r="F7" s="267" t="n">
        <f aca="false">+E7*$F$2</f>
        <v>0</v>
      </c>
      <c r="G7" s="267" t="n">
        <f aca="false">+E7*$G$2</f>
        <v>0</v>
      </c>
      <c r="R7" s="318"/>
    </row>
    <row r="8" customFormat="false" ht="15" hidden="false" customHeight="false" outlineLevel="0" collapsed="false">
      <c r="B8" s="311" t="s">
        <v>93</v>
      </c>
      <c r="E8" s="267" t="n">
        <f aca="false">+C8-D8</f>
        <v>0</v>
      </c>
      <c r="F8" s="267" t="n">
        <f aca="false">+E8*$F$2</f>
        <v>0</v>
      </c>
      <c r="G8" s="267" t="n">
        <f aca="false">+E8*$G$2</f>
        <v>0</v>
      </c>
      <c r="J8" s="312" t="s">
        <v>357</v>
      </c>
      <c r="K8" s="317" t="n">
        <v>2017</v>
      </c>
      <c r="L8" s="317"/>
      <c r="M8" s="317" t="n">
        <v>2016</v>
      </c>
      <c r="N8" s="317"/>
      <c r="O8" s="317" t="s">
        <v>5</v>
      </c>
      <c r="P8" s="317"/>
    </row>
    <row r="9" customFormat="false" ht="15" hidden="false" customHeight="false" outlineLevel="0" collapsed="false">
      <c r="B9" s="311" t="s">
        <v>95</v>
      </c>
      <c r="C9" s="267" t="n">
        <v>0</v>
      </c>
      <c r="D9" s="267" t="n">
        <v>0</v>
      </c>
      <c r="E9" s="267" t="n">
        <f aca="false">+C9-D9</f>
        <v>0</v>
      </c>
      <c r="F9" s="267" t="n">
        <f aca="false">+E9*$F$2</f>
        <v>0</v>
      </c>
      <c r="G9" s="267" t="n">
        <f aca="false">+E9*$G$2</f>
        <v>0</v>
      </c>
      <c r="J9" s="312"/>
      <c r="K9" s="319"/>
      <c r="L9" s="319"/>
      <c r="M9" s="319"/>
      <c r="N9" s="319"/>
      <c r="O9" s="319"/>
      <c r="P9" s="319"/>
    </row>
    <row r="10" customFormat="false" ht="15" hidden="false" customHeight="false" outlineLevel="0" collapsed="false">
      <c r="B10" s="311" t="s">
        <v>95</v>
      </c>
      <c r="C10" s="267" t="n">
        <f aca="false">'ESF - ERI'!T55</f>
        <v>2254833</v>
      </c>
      <c r="D10" s="267" t="n">
        <v>-392726</v>
      </c>
      <c r="E10" s="320" t="n">
        <f aca="false">+C10-D10</f>
        <v>2647559</v>
      </c>
      <c r="F10" s="267" t="n">
        <f aca="false">+E10*$F$2</f>
        <v>1986198.7618</v>
      </c>
      <c r="G10" s="267" t="n">
        <f aca="false">+E10*$G$2</f>
        <v>661360.2382</v>
      </c>
      <c r="J10" s="267" t="s">
        <v>293</v>
      </c>
      <c r="K10" s="267" t="n">
        <f aca="false">32414459-497179</f>
        <v>31917280</v>
      </c>
      <c r="L10" s="321" t="n">
        <f aca="false">+K10/K12</f>
        <v>0.753831856418126</v>
      </c>
      <c r="M10" s="267" t="n">
        <v>32414459</v>
      </c>
      <c r="N10" s="321" t="n">
        <f aca="false">+M10/M12</f>
        <v>0.75668894191597</v>
      </c>
      <c r="O10" s="277" t="n">
        <f aca="false">+K10-M10</f>
        <v>-497179</v>
      </c>
      <c r="P10" s="278" t="n">
        <f aca="false">+L10-N10</f>
        <v>-0.00285708549784403</v>
      </c>
      <c r="R10" s="273" t="n">
        <f aca="false">D4*N5</f>
        <v>10700740.3038</v>
      </c>
      <c r="S10" s="318"/>
    </row>
    <row r="11" customFormat="false" ht="15" hidden="false" customHeight="false" outlineLevel="0" collapsed="false">
      <c r="B11" s="311" t="s">
        <v>358</v>
      </c>
      <c r="C11" s="322" t="n">
        <f aca="false">'ESF - ERI'!T56</f>
        <v>-1077724</v>
      </c>
      <c r="D11" s="322" t="n">
        <v>1823983</v>
      </c>
      <c r="E11" s="322" t="n">
        <f aca="false">+C11-D11</f>
        <v>-2901707</v>
      </c>
      <c r="F11" s="322" t="n">
        <f aca="false">+E11*$F$2</f>
        <v>-2176860.5914</v>
      </c>
      <c r="G11" s="322" t="n">
        <f aca="false">+E11*$G$2</f>
        <v>-724846.4086</v>
      </c>
      <c r="J11" s="267" t="s">
        <v>296</v>
      </c>
      <c r="K11" s="322" t="n">
        <v>10422772</v>
      </c>
      <c r="L11" s="321" t="n">
        <f aca="false">+K11/K12</f>
        <v>0.246168143581874</v>
      </c>
      <c r="M11" s="322" t="n">
        <v>10422772</v>
      </c>
      <c r="N11" s="321" t="n">
        <f aca="false">+M11/M12</f>
        <v>0.24331105808403</v>
      </c>
      <c r="O11" s="323" t="n">
        <f aca="false">+K11-M11</f>
        <v>0</v>
      </c>
      <c r="P11" s="278" t="n">
        <f aca="false">+L11-N11</f>
        <v>0.00285708549784397</v>
      </c>
      <c r="R11" s="318"/>
    </row>
    <row r="12" customFormat="false" ht="15" hidden="false" customHeight="false" outlineLevel="0" collapsed="false">
      <c r="K12" s="312" t="n">
        <f aca="false">SUM(K10:K11)</f>
        <v>42340052</v>
      </c>
      <c r="M12" s="312" t="n">
        <f aca="false">SUM(M10:M11)</f>
        <v>42837231</v>
      </c>
      <c r="O12" s="277" t="n">
        <f aca="false">SUM(O10:O11)</f>
        <v>-497179</v>
      </c>
      <c r="P12" s="285"/>
    </row>
    <row r="13" customFormat="false" ht="15" hidden="false" customHeight="false" outlineLevel="0" collapsed="false">
      <c r="B13" s="313" t="s">
        <v>359</v>
      </c>
      <c r="C13" s="312" t="n">
        <f aca="false">SUM(C3:C12)</f>
        <v>43522161</v>
      </c>
      <c r="D13" s="312" t="n">
        <f aca="false">SUM(D3:D12)</f>
        <v>44273488</v>
      </c>
      <c r="E13" s="312" t="n">
        <f aca="false">SUM(E3:E11)</f>
        <v>-751327</v>
      </c>
      <c r="F13" s="312" t="n">
        <f aca="false">SUM(F3:F11)</f>
        <v>-563645.5154</v>
      </c>
      <c r="G13" s="312" t="n">
        <f aca="false">SUM(G3:G11)</f>
        <v>-187681.4846</v>
      </c>
      <c r="H13" s="312"/>
    </row>
    <row r="14" customFormat="false" ht="15" hidden="false" customHeight="false" outlineLevel="0" collapsed="false">
      <c r="B14" s="324" t="s">
        <v>360</v>
      </c>
      <c r="C14" s="312" t="n">
        <f aca="false">+(C13)*$F$2</f>
        <v>32650325.1822</v>
      </c>
      <c r="D14" s="312" t="n">
        <f aca="false">+(D13)*$F$2</f>
        <v>33213970.6976</v>
      </c>
      <c r="E14" s="312" t="n">
        <f aca="false">+C14-D14</f>
        <v>-563645.5154</v>
      </c>
      <c r="F14" s="312"/>
      <c r="G14" s="312"/>
      <c r="H14" s="312"/>
    </row>
    <row r="15" customFormat="false" ht="15" hidden="false" customHeight="false" outlineLevel="0" collapsed="false">
      <c r="B15" s="324" t="s">
        <v>361</v>
      </c>
      <c r="C15" s="312" t="n">
        <f aca="false">+(C13)*$G$2</f>
        <v>10871835.8178</v>
      </c>
      <c r="D15" s="312" t="n">
        <f aca="false">+(D13)*$G$2</f>
        <v>11059517.3024</v>
      </c>
      <c r="E15" s="312" t="n">
        <f aca="false">+C15-D15</f>
        <v>-187681.4846</v>
      </c>
      <c r="F15" s="312"/>
      <c r="G15" s="312"/>
      <c r="H15" s="312"/>
      <c r="L15" s="325"/>
      <c r="M15" s="267"/>
      <c r="N15" s="326"/>
      <c r="R15" s="318"/>
    </row>
    <row r="16" customFormat="false" ht="15" hidden="false" customHeight="false" outlineLevel="0" collapsed="false">
      <c r="B16" s="324" t="s">
        <v>259</v>
      </c>
      <c r="C16" s="312" t="n">
        <f aca="false">SUM(C14:C15)</f>
        <v>43522161</v>
      </c>
      <c r="D16" s="312" t="n">
        <f aca="false">SUM(D14:D15)</f>
        <v>44273488</v>
      </c>
      <c r="E16" s="312" t="n">
        <f aca="false">+C16-D16</f>
        <v>-751327</v>
      </c>
      <c r="F16" s="312"/>
      <c r="G16" s="312"/>
      <c r="H16" s="312"/>
      <c r="M16" s="267"/>
      <c r="N16" s="326"/>
    </row>
    <row r="17" customFormat="false" ht="15" hidden="false" customHeight="false" outlineLevel="0" collapsed="false">
      <c r="B17" s="324"/>
      <c r="C17" s="267" t="n">
        <f aca="false">C13-C16</f>
        <v>0</v>
      </c>
      <c r="D17" s="267" t="n">
        <f aca="false">D13-D16</f>
        <v>0</v>
      </c>
      <c r="E17" s="312" t="n">
        <f aca="false">+C17-D17</f>
        <v>0</v>
      </c>
      <c r="F17" s="312"/>
      <c r="G17" s="312"/>
      <c r="H17" s="312"/>
      <c r="M17" s="267"/>
      <c r="N17" s="326"/>
    </row>
    <row r="18" customFormat="false" ht="15" hidden="false" customHeight="false" outlineLevel="0" collapsed="false">
      <c r="C18" s="311"/>
      <c r="F18" s="312" t="s">
        <v>352</v>
      </c>
      <c r="G18" s="312" t="s">
        <v>353</v>
      </c>
      <c r="M18" s="267"/>
    </row>
    <row r="19" customFormat="false" ht="15" hidden="false" customHeight="false" outlineLevel="0" collapsed="false">
      <c r="B19" s="313" t="s">
        <v>362</v>
      </c>
      <c r="C19" s="314" t="s">
        <v>355</v>
      </c>
      <c r="D19" s="314" t="s">
        <v>356</v>
      </c>
      <c r="E19" s="314" t="s">
        <v>5</v>
      </c>
      <c r="F19" s="315" t="n">
        <f aca="false">+L21</f>
        <v>0.999954751131222</v>
      </c>
      <c r="G19" s="316" t="n">
        <f aca="false">+L22</f>
        <v>4.52488687782805E-005</v>
      </c>
      <c r="H19" s="314"/>
    </row>
    <row r="20" customFormat="false" ht="15" hidden="false" customHeight="false" outlineLevel="0" collapsed="false">
      <c r="B20" s="311" t="s">
        <v>87</v>
      </c>
      <c r="C20" s="267" t="n">
        <v>1105000</v>
      </c>
      <c r="D20" s="267" t="n">
        <v>1105000</v>
      </c>
      <c r="E20" s="267" t="n">
        <f aca="false">+C20-D20</f>
        <v>0</v>
      </c>
      <c r="F20" s="267" t="n">
        <v>0</v>
      </c>
      <c r="G20" s="267" t="n">
        <v>0</v>
      </c>
      <c r="H20" s="314"/>
      <c r="K20" s="317" t="n">
        <v>2017</v>
      </c>
      <c r="L20" s="317"/>
      <c r="M20" s="317" t="n">
        <v>2016</v>
      </c>
      <c r="N20" s="317"/>
      <c r="O20" s="317" t="s">
        <v>5</v>
      </c>
      <c r="P20" s="317"/>
    </row>
    <row r="21" customFormat="false" ht="15" hidden="false" customHeight="false" outlineLevel="0" collapsed="false">
      <c r="B21" s="311" t="s">
        <v>88</v>
      </c>
      <c r="C21" s="267" t="n">
        <v>877313</v>
      </c>
      <c r="D21" s="267" t="n">
        <v>646013</v>
      </c>
      <c r="E21" s="267" t="n">
        <f aca="false">+C21-D21</f>
        <v>231300</v>
      </c>
      <c r="F21" s="267" t="n">
        <v>0</v>
      </c>
      <c r="G21" s="267" t="n">
        <v>0</v>
      </c>
      <c r="H21" s="314"/>
      <c r="J21" s="267" t="s">
        <v>293</v>
      </c>
      <c r="K21" s="277" t="n">
        <v>1104950</v>
      </c>
      <c r="L21" s="278" t="n">
        <f aca="false">+K21/$K$23</f>
        <v>0.999954751131222</v>
      </c>
      <c r="M21" s="277" t="n">
        <v>1104950</v>
      </c>
      <c r="N21" s="278" t="n">
        <f aca="false">+M21/$M$23</f>
        <v>0.999954751131222</v>
      </c>
      <c r="O21" s="277" t="n">
        <f aca="false">+K21-M21</f>
        <v>0</v>
      </c>
      <c r="P21" s="278" t="n">
        <f aca="false">+L21-N21</f>
        <v>0</v>
      </c>
    </row>
    <row r="22" customFormat="false" ht="15" hidden="false" customHeight="false" outlineLevel="0" collapsed="false">
      <c r="B22" s="311" t="s">
        <v>90</v>
      </c>
      <c r="E22" s="267" t="n">
        <f aca="false">+C22-D22</f>
        <v>0</v>
      </c>
      <c r="F22" s="267" t="n">
        <f aca="false">+E22*$F$19</f>
        <v>0</v>
      </c>
      <c r="G22" s="267" t="n">
        <f aca="false">+E22*$G$19</f>
        <v>0</v>
      </c>
      <c r="J22" s="267" t="s">
        <v>296</v>
      </c>
      <c r="K22" s="282" t="n">
        <v>50</v>
      </c>
      <c r="L22" s="278" t="n">
        <f aca="false">+K22/$K$23</f>
        <v>4.52488687782805E-005</v>
      </c>
      <c r="M22" s="282" t="n">
        <v>50</v>
      </c>
      <c r="N22" s="278" t="n">
        <f aca="false">+M22/$M$23</f>
        <v>4.52488687782805E-005</v>
      </c>
      <c r="O22" s="277" t="n">
        <f aca="false">+K22-M22</f>
        <v>0</v>
      </c>
      <c r="P22" s="278" t="n">
        <f aca="false">+L22-N22</f>
        <v>0</v>
      </c>
    </row>
    <row r="23" customFormat="false" ht="14.25" hidden="false" customHeight="false" outlineLevel="0" collapsed="false">
      <c r="B23" s="311" t="s">
        <v>91</v>
      </c>
      <c r="E23" s="267" t="n">
        <f aca="false">+C23-D23</f>
        <v>0</v>
      </c>
      <c r="F23" s="267" t="n">
        <f aca="false">+E23*$F$19</f>
        <v>0</v>
      </c>
      <c r="G23" s="267" t="n">
        <f aca="false">+E23*$G$19</f>
        <v>0</v>
      </c>
      <c r="K23" s="277" t="n">
        <f aca="false">SUM(K21:K22)</f>
        <v>1105000</v>
      </c>
      <c r="L23" s="285"/>
      <c r="M23" s="277" t="n">
        <f aca="false">SUM(M21:M22)</f>
        <v>1105000</v>
      </c>
      <c r="N23" s="285"/>
      <c r="O23" s="277" t="n">
        <f aca="false">SUM(O21:O22)</f>
        <v>0</v>
      </c>
      <c r="P23" s="285"/>
    </row>
    <row r="24" customFormat="false" ht="14.25" hidden="false" customHeight="false" outlineLevel="0" collapsed="false">
      <c r="B24" s="311" t="s">
        <v>92</v>
      </c>
      <c r="E24" s="267" t="n">
        <f aca="false">+C24-D24</f>
        <v>0</v>
      </c>
      <c r="F24" s="267" t="n">
        <f aca="false">+E24*$F$19</f>
        <v>0</v>
      </c>
      <c r="G24" s="267" t="n">
        <f aca="false">+E24*$G$19</f>
        <v>0</v>
      </c>
    </row>
    <row r="25" customFormat="false" ht="14.25" hidden="false" customHeight="false" outlineLevel="0" collapsed="false">
      <c r="B25" s="311" t="s">
        <v>93</v>
      </c>
      <c r="E25" s="267" t="n">
        <f aca="false">+C25-D25</f>
        <v>0</v>
      </c>
      <c r="F25" s="267" t="n">
        <f aca="false">+E25*$F$19</f>
        <v>0</v>
      </c>
      <c r="G25" s="267" t="n">
        <f aca="false">+E25*$G$19</f>
        <v>0</v>
      </c>
    </row>
    <row r="26" customFormat="false" ht="19.5" hidden="false" customHeight="false" outlineLevel="0" collapsed="false">
      <c r="B26" s="311" t="s">
        <v>95</v>
      </c>
      <c r="C26" s="267" t="n">
        <f aca="false">'ESF - ERI'!U55</f>
        <v>-16937</v>
      </c>
      <c r="D26" s="267" t="n">
        <v>-85803</v>
      </c>
      <c r="E26" s="267" t="n">
        <f aca="false">+C26-D26</f>
        <v>68866</v>
      </c>
      <c r="F26" s="267" t="n">
        <f aca="false">+E26*$F$19</f>
        <v>68862.8838914027</v>
      </c>
      <c r="G26" s="267" t="n">
        <f aca="false">+E26*$G$19</f>
        <v>3.11610859728506</v>
      </c>
      <c r="I26" s="327" t="s">
        <v>363</v>
      </c>
    </row>
    <row r="27" customFormat="false" ht="14.25" hidden="false" customHeight="false" outlineLevel="0" collapsed="false">
      <c r="B27" s="311" t="s">
        <v>358</v>
      </c>
      <c r="C27" s="322" t="n">
        <f aca="false">'ESF - ERI'!U56</f>
        <v>19337</v>
      </c>
      <c r="D27" s="322" t="n">
        <v>-113288</v>
      </c>
      <c r="E27" s="322" t="n">
        <f aca="false">+C27-D27</f>
        <v>132625</v>
      </c>
      <c r="F27" s="267" t="n">
        <f aca="false">+E27*$F$19</f>
        <v>132618.998868778</v>
      </c>
      <c r="G27" s="267" t="n">
        <f aca="false">+E27*$G$19</f>
        <v>6.00113122171945</v>
      </c>
    </row>
    <row r="29" customFormat="false" ht="15" hidden="false" customHeight="false" outlineLevel="0" collapsed="false">
      <c r="B29" s="313" t="s">
        <v>359</v>
      </c>
      <c r="C29" s="312" t="n">
        <f aca="false">SUM(C20:C28)</f>
        <v>1984713</v>
      </c>
      <c r="D29" s="312" t="n">
        <f aca="false">SUM(D20:D28)</f>
        <v>1551922</v>
      </c>
      <c r="E29" s="312" t="n">
        <f aca="false">SUM(E20:E27)</f>
        <v>432791</v>
      </c>
      <c r="F29" s="312"/>
      <c r="G29" s="312"/>
      <c r="H29" s="312"/>
    </row>
    <row r="30" customFormat="false" ht="15" hidden="false" customHeight="false" outlineLevel="0" collapsed="false">
      <c r="B30" s="311" t="s">
        <v>364</v>
      </c>
      <c r="C30" s="312" t="n">
        <v>0</v>
      </c>
      <c r="D30" s="312" t="n">
        <v>0</v>
      </c>
      <c r="E30" s="312"/>
      <c r="F30" s="312"/>
      <c r="G30" s="312"/>
      <c r="H30" s="312"/>
      <c r="J30" s="267" t="s">
        <v>365</v>
      </c>
    </row>
    <row r="31" customFormat="false" ht="15" hidden="false" customHeight="false" outlineLevel="0" collapsed="false">
      <c r="B31" s="311" t="s">
        <v>366</v>
      </c>
      <c r="C31" s="328" t="n">
        <f aca="false">-C21</f>
        <v>-877313</v>
      </c>
      <c r="D31" s="328" t="n">
        <f aca="false">-D21</f>
        <v>-646013</v>
      </c>
      <c r="F31" s="312"/>
      <c r="G31" s="312"/>
      <c r="H31" s="312"/>
    </row>
    <row r="32" customFormat="false" ht="15" hidden="false" customHeight="false" outlineLevel="0" collapsed="false">
      <c r="B32" s="313" t="s">
        <v>367</v>
      </c>
      <c r="C32" s="312" t="n">
        <f aca="false">SUM(C29:C31)</f>
        <v>1107400</v>
      </c>
      <c r="D32" s="312" t="n">
        <f aca="false">SUM(D29:D31)</f>
        <v>905909</v>
      </c>
      <c r="E32" s="267" t="n">
        <f aca="false">+C32-D32</f>
        <v>201491</v>
      </c>
      <c r="F32" s="312"/>
      <c r="G32" s="312"/>
      <c r="H32" s="312"/>
    </row>
    <row r="33" customFormat="false" ht="15" hidden="false" customHeight="false" outlineLevel="0" collapsed="false">
      <c r="B33" s="324" t="s">
        <v>360</v>
      </c>
      <c r="C33" s="312" t="n">
        <f aca="false">+(C32)*$F$19</f>
        <v>1107349.89140272</v>
      </c>
      <c r="D33" s="312" t="n">
        <f aca="false">+(D32)*$F$19</f>
        <v>905868.008642534</v>
      </c>
      <c r="E33" s="267" t="n">
        <f aca="false">+C33-D33</f>
        <v>201481.882760181</v>
      </c>
      <c r="F33" s="312"/>
      <c r="G33" s="312"/>
      <c r="H33" s="312"/>
    </row>
    <row r="34" customFormat="false" ht="15" hidden="false" customHeight="false" outlineLevel="0" collapsed="false">
      <c r="B34" s="324" t="s">
        <v>361</v>
      </c>
      <c r="C34" s="312" t="n">
        <f aca="false">+C32*$G$19</f>
        <v>50.1085972850678</v>
      </c>
      <c r="D34" s="312" t="n">
        <f aca="false">+D32*$G$19</f>
        <v>40.9913574660633</v>
      </c>
      <c r="E34" s="312" t="n">
        <f aca="false">+C34-D34</f>
        <v>9.11723981900452</v>
      </c>
    </row>
    <row r="35" customFormat="false" ht="15" hidden="false" customHeight="false" outlineLevel="0" collapsed="false">
      <c r="B35" s="324" t="s">
        <v>259</v>
      </c>
      <c r="C35" s="312" t="n">
        <f aca="false">SUM(C33:C34)</f>
        <v>1107400</v>
      </c>
      <c r="D35" s="312" t="n">
        <f aca="false">SUM(D33:D34)</f>
        <v>905909</v>
      </c>
    </row>
    <row r="36" customFormat="false" ht="14.25" hidden="false" customHeight="false" outlineLevel="0" collapsed="false">
      <c r="C36" s="267" t="n">
        <f aca="false">C32-C35</f>
        <v>0</v>
      </c>
      <c r="D36" s="267" t="n">
        <f aca="false">D32-D35</f>
        <v>0</v>
      </c>
    </row>
    <row r="37" customFormat="false" ht="15" hidden="false" customHeight="false" outlineLevel="0" collapsed="false">
      <c r="F37" s="312" t="s">
        <v>352</v>
      </c>
      <c r="G37" s="312" t="s">
        <v>353</v>
      </c>
    </row>
    <row r="38" customFormat="false" ht="15" hidden="false" customHeight="false" outlineLevel="0" collapsed="false">
      <c r="B38" s="313" t="s">
        <v>368</v>
      </c>
      <c r="C38" s="314" t="s">
        <v>355</v>
      </c>
      <c r="D38" s="314" t="s">
        <v>356</v>
      </c>
      <c r="E38" s="314" t="s">
        <v>5</v>
      </c>
      <c r="F38" s="315" t="n">
        <f aca="false">+L40</f>
        <v>0.68</v>
      </c>
      <c r="G38" s="316" t="n">
        <f aca="false">+L41</f>
        <v>0.32</v>
      </c>
      <c r="H38" s="314"/>
    </row>
    <row r="39" customFormat="false" ht="15" hidden="false" customHeight="false" outlineLevel="0" collapsed="false">
      <c r="B39" s="311" t="s">
        <v>87</v>
      </c>
      <c r="C39" s="267" t="n">
        <v>10000</v>
      </c>
      <c r="D39" s="267" t="n">
        <v>10000</v>
      </c>
      <c r="E39" s="267" t="n">
        <f aca="false">+C39-D39</f>
        <v>0</v>
      </c>
      <c r="F39" s="267" t="n">
        <f aca="false">+E39*$F$38</f>
        <v>0</v>
      </c>
      <c r="G39" s="267" t="n">
        <f aca="false">+E39*$G$38</f>
        <v>0</v>
      </c>
      <c r="K39" s="317" t="n">
        <v>2017</v>
      </c>
      <c r="L39" s="317"/>
      <c r="M39" s="317" t="n">
        <v>2016</v>
      </c>
      <c r="N39" s="317"/>
      <c r="O39" s="317" t="s">
        <v>5</v>
      </c>
      <c r="P39" s="317"/>
    </row>
    <row r="40" customFormat="false" ht="15" hidden="false" customHeight="false" outlineLevel="0" collapsed="false">
      <c r="B40" s="311" t="s">
        <v>88</v>
      </c>
      <c r="C40" s="267" t="n">
        <v>0</v>
      </c>
      <c r="D40" s="267" t="n">
        <v>0</v>
      </c>
      <c r="E40" s="267" t="n">
        <f aca="false">+C40-D40</f>
        <v>0</v>
      </c>
      <c r="F40" s="267" t="n">
        <f aca="false">+E40*$F$38</f>
        <v>0</v>
      </c>
      <c r="G40" s="267" t="n">
        <f aca="false">+E40*$G$38</f>
        <v>0</v>
      </c>
      <c r="J40" s="267" t="s">
        <v>293</v>
      </c>
      <c r="K40" s="277" t="n">
        <v>6800</v>
      </c>
      <c r="L40" s="278" t="n">
        <f aca="false">+K40/$K$42</f>
        <v>0.68</v>
      </c>
      <c r="M40" s="277" t="n">
        <v>6800</v>
      </c>
      <c r="N40" s="278" t="n">
        <f aca="false">+M40/$M$42</f>
        <v>0.68</v>
      </c>
      <c r="O40" s="277" t="n">
        <f aca="false">+K40-M40</f>
        <v>0</v>
      </c>
      <c r="P40" s="278" t="n">
        <f aca="false">+L40-N40</f>
        <v>0</v>
      </c>
    </row>
    <row r="41" customFormat="false" ht="15" hidden="false" customHeight="false" outlineLevel="0" collapsed="false">
      <c r="B41" s="311" t="s">
        <v>90</v>
      </c>
      <c r="C41" s="267" t="n">
        <f aca="false">'ESF - ERI'!V50</f>
        <v>74426</v>
      </c>
      <c r="D41" s="267" t="n">
        <v>74426.57</v>
      </c>
      <c r="E41" s="267" t="n">
        <f aca="false">+C41-D41</f>
        <v>-0.570000000006985</v>
      </c>
      <c r="F41" s="267" t="n">
        <f aca="false">+E41*$F$38</f>
        <v>-0.38760000000475</v>
      </c>
      <c r="G41" s="267" t="n">
        <f aca="false">+E41*$G$38</f>
        <v>-0.182400000002235</v>
      </c>
      <c r="J41" s="267" t="s">
        <v>296</v>
      </c>
      <c r="K41" s="282" t="n">
        <v>3200</v>
      </c>
      <c r="L41" s="278" t="n">
        <f aca="false">+K41/$K$42</f>
        <v>0.32</v>
      </c>
      <c r="M41" s="282" t="n">
        <v>3200</v>
      </c>
      <c r="N41" s="278" t="n">
        <f aca="false">+M41/$M$42</f>
        <v>0.32</v>
      </c>
      <c r="O41" s="277" t="n">
        <f aca="false">+K41-M41</f>
        <v>0</v>
      </c>
      <c r="P41" s="278" t="n">
        <f aca="false">+L41-N41</f>
        <v>0</v>
      </c>
    </row>
    <row r="42" customFormat="false" ht="14.25" hidden="false" customHeight="false" outlineLevel="0" collapsed="false">
      <c r="B42" s="311" t="s">
        <v>91</v>
      </c>
      <c r="E42" s="267" t="n">
        <f aca="false">+C42-D42</f>
        <v>0</v>
      </c>
      <c r="F42" s="267" t="n">
        <f aca="false">+E42*$F$38</f>
        <v>0</v>
      </c>
      <c r="G42" s="267" t="n">
        <f aca="false">+E42*$G$38</f>
        <v>0</v>
      </c>
      <c r="K42" s="277" t="n">
        <f aca="false">SUM(K40:K41)</f>
        <v>10000</v>
      </c>
      <c r="L42" s="285"/>
      <c r="M42" s="277" t="n">
        <f aca="false">SUM(M40:M41)</f>
        <v>10000</v>
      </c>
      <c r="N42" s="285"/>
      <c r="O42" s="277" t="n">
        <f aca="false">SUM(O40:O41)</f>
        <v>0</v>
      </c>
      <c r="P42" s="285"/>
    </row>
    <row r="43" customFormat="false" ht="14.25" hidden="false" customHeight="false" outlineLevel="0" collapsed="false">
      <c r="B43" s="311" t="s">
        <v>92</v>
      </c>
      <c r="E43" s="267" t="n">
        <f aca="false">+C43-D43</f>
        <v>0</v>
      </c>
      <c r="F43" s="267" t="n">
        <f aca="false">+E43*$F$38</f>
        <v>0</v>
      </c>
      <c r="G43" s="267" t="n">
        <f aca="false">+E43*$G$38</f>
        <v>0</v>
      </c>
    </row>
    <row r="44" customFormat="false" ht="14.25" hidden="false" customHeight="false" outlineLevel="0" collapsed="false">
      <c r="B44" s="311" t="s">
        <v>93</v>
      </c>
      <c r="E44" s="267" t="n">
        <f aca="false">+C44-D44</f>
        <v>0</v>
      </c>
      <c r="F44" s="267" t="n">
        <f aca="false">+E44*$F$38</f>
        <v>0</v>
      </c>
      <c r="G44" s="267" t="n">
        <f aca="false">+E44*$G$38</f>
        <v>0</v>
      </c>
    </row>
    <row r="45" customFormat="false" ht="19.5" hidden="false" customHeight="false" outlineLevel="0" collapsed="false">
      <c r="B45" s="311" t="s">
        <v>95</v>
      </c>
      <c r="C45" s="267" t="n">
        <f aca="false">'ESF - ERI'!V55</f>
        <v>911628</v>
      </c>
      <c r="D45" s="267" t="n">
        <v>989917</v>
      </c>
      <c r="E45" s="267" t="n">
        <f aca="false">+C45-D45</f>
        <v>-78289</v>
      </c>
      <c r="F45" s="267" t="n">
        <f aca="false">+E45*$F$38</f>
        <v>-53236.52</v>
      </c>
      <c r="G45" s="267" t="n">
        <f aca="false">+E45*$G$38</f>
        <v>-25052.48</v>
      </c>
      <c r="I45" s="327" t="s">
        <v>369</v>
      </c>
      <c r="L45" s="267" t="n">
        <f aca="false">228012-128950-6829+71048+1931</f>
        <v>165212</v>
      </c>
    </row>
    <row r="46" customFormat="false" ht="14.25" hidden="false" customHeight="false" outlineLevel="0" collapsed="false">
      <c r="B46" s="311" t="s">
        <v>358</v>
      </c>
      <c r="C46" s="322" t="n">
        <f aca="false">'ESF - ERI'!V56</f>
        <v>-15891</v>
      </c>
      <c r="D46" s="322" t="n">
        <v>-56384</v>
      </c>
      <c r="E46" s="322" t="n">
        <f aca="false">+C46-D46</f>
        <v>40493</v>
      </c>
      <c r="F46" s="267" t="n">
        <f aca="false">+E46*$F$38</f>
        <v>27535.24</v>
      </c>
      <c r="G46" s="267" t="n">
        <f aca="false">+E46*$G$38</f>
        <v>12957.76</v>
      </c>
    </row>
    <row r="48" customFormat="false" ht="15" hidden="false" customHeight="false" outlineLevel="0" collapsed="false">
      <c r="B48" s="313" t="s">
        <v>359</v>
      </c>
      <c r="C48" s="312" t="n">
        <f aca="false">SUM(C39:C47)</f>
        <v>980163</v>
      </c>
      <c r="D48" s="312" t="n">
        <f aca="false">SUM(D39:D47)</f>
        <v>1017959.57</v>
      </c>
      <c r="E48" s="312" t="n">
        <f aca="false">SUM(E39:E46)</f>
        <v>-37796.57</v>
      </c>
      <c r="F48" s="312"/>
      <c r="G48" s="312"/>
      <c r="H48" s="312"/>
    </row>
    <row r="49" customFormat="false" ht="15" hidden="false" customHeight="false" outlineLevel="0" collapsed="false">
      <c r="B49" s="324" t="s">
        <v>360</v>
      </c>
      <c r="C49" s="312" t="n">
        <f aca="false">+(C48)*$F$38</f>
        <v>666510.84</v>
      </c>
      <c r="D49" s="312" t="n">
        <f aca="false">+(D48)*$F$38</f>
        <v>692212.5076</v>
      </c>
      <c r="E49" s="312" t="n">
        <f aca="false">+C49-D49</f>
        <v>-25701.6676</v>
      </c>
      <c r="F49" s="312"/>
      <c r="G49" s="312"/>
      <c r="H49" s="312"/>
    </row>
    <row r="50" customFormat="false" ht="15" hidden="false" customHeight="false" outlineLevel="0" collapsed="false">
      <c r="B50" s="324" t="s">
        <v>361</v>
      </c>
      <c r="C50" s="312" t="n">
        <f aca="false">+C48*$G$38</f>
        <v>313652.16</v>
      </c>
      <c r="D50" s="312" t="n">
        <f aca="false">+D48*$G$38</f>
        <v>325747.0624</v>
      </c>
      <c r="E50" s="312" t="n">
        <f aca="false">+C50-D50</f>
        <v>-12094.9024</v>
      </c>
    </row>
    <row r="51" customFormat="false" ht="15" hidden="false" customHeight="false" outlineLevel="0" collapsed="false">
      <c r="B51" s="324" t="s">
        <v>259</v>
      </c>
      <c r="C51" s="312" t="n">
        <f aca="false">SUM(C49:C50)</f>
        <v>980163</v>
      </c>
      <c r="D51" s="312" t="n">
        <f aca="false">SUM(D49:D50)</f>
        <v>1017959.57</v>
      </c>
      <c r="E51" s="312" t="n">
        <f aca="false">+C51-D51</f>
        <v>-37796.5700000001</v>
      </c>
    </row>
    <row r="52" customFormat="false" ht="15" hidden="false" customHeight="false" outlineLevel="0" collapsed="false">
      <c r="B52" s="324"/>
      <c r="C52" s="267" t="n">
        <f aca="false">C48-C51</f>
        <v>0</v>
      </c>
      <c r="D52" s="267" t="n">
        <f aca="false">D48-D51</f>
        <v>0</v>
      </c>
      <c r="E52" s="312"/>
    </row>
    <row r="53" customFormat="false" ht="15" hidden="false" customHeight="false" outlineLevel="0" collapsed="false">
      <c r="C53" s="311"/>
      <c r="D53" s="311"/>
      <c r="F53" s="312" t="s">
        <v>352</v>
      </c>
      <c r="G53" s="312" t="s">
        <v>353</v>
      </c>
    </row>
    <row r="54" customFormat="false" ht="15" hidden="false" customHeight="false" outlineLevel="0" collapsed="false">
      <c r="B54" s="313" t="s">
        <v>370</v>
      </c>
      <c r="C54" s="314" t="s">
        <v>355</v>
      </c>
      <c r="D54" s="314" t="s">
        <v>356</v>
      </c>
      <c r="E54" s="314" t="s">
        <v>5</v>
      </c>
      <c r="F54" s="315" t="n">
        <f aca="false">+L56</f>
        <v>0.5</v>
      </c>
      <c r="G54" s="316" t="n">
        <f aca="false">+L57</f>
        <v>0.5</v>
      </c>
      <c r="H54" s="314"/>
    </row>
    <row r="55" customFormat="false" ht="15" hidden="false" customHeight="false" outlineLevel="0" collapsed="false">
      <c r="B55" s="311" t="s">
        <v>87</v>
      </c>
      <c r="C55" s="267" t="n">
        <v>1000</v>
      </c>
      <c r="D55" s="267" t="n">
        <v>1000</v>
      </c>
      <c r="E55" s="267" t="n">
        <f aca="false">+C55-D55</f>
        <v>0</v>
      </c>
      <c r="F55" s="267" t="n">
        <f aca="false">+E55*$F$54</f>
        <v>0</v>
      </c>
      <c r="G55" s="267" t="n">
        <f aca="false">+E55*$G$54</f>
        <v>0</v>
      </c>
      <c r="K55" s="317" t="n">
        <v>2017</v>
      </c>
      <c r="L55" s="317"/>
      <c r="M55" s="317" t="n">
        <v>2016</v>
      </c>
      <c r="N55" s="317"/>
      <c r="O55" s="317" t="s">
        <v>5</v>
      </c>
      <c r="P55" s="317"/>
    </row>
    <row r="56" customFormat="false" ht="15" hidden="false" customHeight="false" outlineLevel="0" collapsed="false">
      <c r="B56" s="311" t="s">
        <v>88</v>
      </c>
      <c r="C56" s="267" t="n">
        <v>49015</v>
      </c>
      <c r="D56" s="267" t="n">
        <v>49015</v>
      </c>
      <c r="E56" s="267" t="n">
        <f aca="false">+C56-D56</f>
        <v>0</v>
      </c>
      <c r="F56" s="267" t="n">
        <f aca="false">+E56*$F$54</f>
        <v>0</v>
      </c>
      <c r="G56" s="267" t="n">
        <f aca="false">+E56*$G$54</f>
        <v>0</v>
      </c>
      <c r="J56" s="267" t="s">
        <v>293</v>
      </c>
      <c r="K56" s="277" t="n">
        <v>500</v>
      </c>
      <c r="L56" s="278" t="n">
        <f aca="false">+K56/$K$58</f>
        <v>0.5</v>
      </c>
      <c r="M56" s="277" t="n">
        <v>500</v>
      </c>
      <c r="N56" s="278" t="n">
        <f aca="false">+M56/$M$58</f>
        <v>0.5</v>
      </c>
      <c r="O56" s="277" t="n">
        <f aca="false">+K56-M56</f>
        <v>0</v>
      </c>
      <c r="P56" s="278" t="n">
        <f aca="false">+L56-N56</f>
        <v>0</v>
      </c>
    </row>
    <row r="57" customFormat="false" ht="15" hidden="false" customHeight="false" outlineLevel="0" collapsed="false">
      <c r="B57" s="311" t="s">
        <v>90</v>
      </c>
      <c r="C57" s="267" t="n">
        <v>500</v>
      </c>
      <c r="D57" s="267" t="n">
        <v>500</v>
      </c>
      <c r="E57" s="267" t="n">
        <f aca="false">+C57-D57</f>
        <v>0</v>
      </c>
      <c r="F57" s="267" t="n">
        <f aca="false">+E57*$F$54</f>
        <v>0</v>
      </c>
      <c r="G57" s="267" t="n">
        <f aca="false">+E57*$G$54</f>
        <v>0</v>
      </c>
      <c r="J57" s="267" t="s">
        <v>296</v>
      </c>
      <c r="K57" s="282" t="n">
        <v>500</v>
      </c>
      <c r="L57" s="278" t="n">
        <f aca="false">+K57/$K$58</f>
        <v>0.5</v>
      </c>
      <c r="M57" s="282" t="n">
        <v>500</v>
      </c>
      <c r="N57" s="278" t="n">
        <f aca="false">+M57/$M$58</f>
        <v>0.5</v>
      </c>
      <c r="O57" s="277" t="n">
        <f aca="false">+K57-M57</f>
        <v>0</v>
      </c>
      <c r="P57" s="278" t="n">
        <f aca="false">+L57-N57</f>
        <v>0</v>
      </c>
    </row>
    <row r="58" customFormat="false" ht="14.25" hidden="false" customHeight="false" outlineLevel="0" collapsed="false">
      <c r="B58" s="311" t="s">
        <v>91</v>
      </c>
      <c r="C58" s="267" t="n">
        <v>0</v>
      </c>
      <c r="D58" s="267" t="n">
        <v>0</v>
      </c>
      <c r="E58" s="267" t="n">
        <f aca="false">+C58-D58</f>
        <v>0</v>
      </c>
      <c r="F58" s="267" t="n">
        <f aca="false">+E58*$F$54</f>
        <v>0</v>
      </c>
      <c r="G58" s="267" t="n">
        <f aca="false">+E58*$G$54</f>
        <v>0</v>
      </c>
      <c r="K58" s="277" t="n">
        <f aca="false">SUM(K56:K57)</f>
        <v>1000</v>
      </c>
      <c r="L58" s="285"/>
      <c r="M58" s="277" t="n">
        <f aca="false">SUM(M56:M57)</f>
        <v>1000</v>
      </c>
      <c r="N58" s="285"/>
      <c r="O58" s="277" t="n">
        <f aca="false">SUM(O56:O57)</f>
        <v>0</v>
      </c>
      <c r="P58" s="285"/>
    </row>
    <row r="59" customFormat="false" ht="14.25" hidden="false" customHeight="false" outlineLevel="0" collapsed="false">
      <c r="B59" s="311" t="s">
        <v>92</v>
      </c>
      <c r="C59" s="267" t="n">
        <v>0</v>
      </c>
      <c r="D59" s="267" t="n">
        <v>0</v>
      </c>
      <c r="E59" s="267" t="n">
        <f aca="false">+C59-D59</f>
        <v>0</v>
      </c>
      <c r="F59" s="267" t="n">
        <f aca="false">+E59*$F$54</f>
        <v>0</v>
      </c>
      <c r="G59" s="267" t="n">
        <f aca="false">+E59*$G$54</f>
        <v>0</v>
      </c>
    </row>
    <row r="60" customFormat="false" ht="14.25" hidden="false" customHeight="false" outlineLevel="0" collapsed="false">
      <c r="B60" s="311" t="s">
        <v>93</v>
      </c>
      <c r="C60" s="267" t="n">
        <v>0</v>
      </c>
      <c r="D60" s="267" t="n">
        <v>82150.45</v>
      </c>
      <c r="E60" s="267" t="n">
        <f aca="false">+C60-D60</f>
        <v>-82150.45</v>
      </c>
      <c r="F60" s="267" t="n">
        <f aca="false">+E60*$F$54</f>
        <v>-41075.225</v>
      </c>
      <c r="G60" s="267" t="n">
        <f aca="false">+E60*$G$54</f>
        <v>-41075.225</v>
      </c>
    </row>
    <row r="61" customFormat="false" ht="14.25" hidden="false" customHeight="false" outlineLevel="0" collapsed="false">
      <c r="B61" s="311" t="s">
        <v>95</v>
      </c>
      <c r="C61" s="267" t="n">
        <f aca="false">'ESF - ERI'!W55</f>
        <v>-488265</v>
      </c>
      <c r="D61" s="267" t="n">
        <f aca="false">129138.35-489726.7199375</f>
        <v>-360588.3699375</v>
      </c>
      <c r="E61" s="267" t="n">
        <f aca="false">+C61-D61</f>
        <v>-127676.6300625</v>
      </c>
      <c r="F61" s="267" t="n">
        <f aca="false">+E61*$F$54</f>
        <v>-63838.31503125</v>
      </c>
      <c r="G61" s="267" t="n">
        <f aca="false">+E61*$G$54</f>
        <v>-63838.31503125</v>
      </c>
    </row>
    <row r="62" customFormat="false" ht="14.25" hidden="false" customHeight="false" outlineLevel="0" collapsed="false">
      <c r="B62" s="311" t="s">
        <v>358</v>
      </c>
      <c r="C62" s="322" t="n">
        <f aca="false">'ESF - ERI'!W56</f>
        <v>-493384</v>
      </c>
      <c r="D62" s="322" t="n">
        <v>-209826.66</v>
      </c>
      <c r="E62" s="322" t="n">
        <f aca="false">+C62-D62</f>
        <v>-283557.34</v>
      </c>
      <c r="F62" s="267" t="n">
        <f aca="false">+E62*$F$54</f>
        <v>-141778.67</v>
      </c>
      <c r="G62" s="267" t="n">
        <f aca="false">+E62*$G$54</f>
        <v>-141778.67</v>
      </c>
    </row>
    <row r="64" customFormat="false" ht="15" hidden="false" customHeight="false" outlineLevel="0" collapsed="false">
      <c r="B64" s="313" t="s">
        <v>359</v>
      </c>
      <c r="C64" s="312" t="n">
        <f aca="false">SUM(C55:C63)</f>
        <v>-931134</v>
      </c>
      <c r="D64" s="312" t="n">
        <f aca="false">SUM(D55:D63)</f>
        <v>-437749.5799375</v>
      </c>
      <c r="E64" s="312" t="n">
        <f aca="false">SUM(E55:E62)</f>
        <v>-493384.4200625</v>
      </c>
      <c r="F64" s="312"/>
      <c r="G64" s="312"/>
      <c r="H64" s="312"/>
    </row>
    <row r="65" customFormat="false" ht="15" hidden="false" customHeight="false" outlineLevel="0" collapsed="false">
      <c r="B65" s="311" t="s">
        <v>366</v>
      </c>
      <c r="C65" s="328" t="n">
        <f aca="false">-C56</f>
        <v>-49015</v>
      </c>
      <c r="D65" s="328" t="n">
        <f aca="false">-D56</f>
        <v>-49015</v>
      </c>
      <c r="F65" s="312"/>
      <c r="G65" s="312"/>
      <c r="H65" s="312"/>
    </row>
    <row r="66" customFormat="false" ht="15" hidden="false" customHeight="false" outlineLevel="0" collapsed="false">
      <c r="B66" s="313" t="s">
        <v>367</v>
      </c>
      <c r="C66" s="312" t="n">
        <f aca="false">SUM(C63:C65)</f>
        <v>-980149</v>
      </c>
      <c r="D66" s="312" t="n">
        <f aca="false">SUM(D63:D65)</f>
        <v>-486764.5799375</v>
      </c>
      <c r="E66" s="267" t="n">
        <f aca="false">+C66-D66</f>
        <v>-493384.4200625</v>
      </c>
      <c r="F66" s="312"/>
      <c r="G66" s="312"/>
      <c r="H66" s="312"/>
    </row>
    <row r="67" customFormat="false" ht="15" hidden="false" customHeight="false" outlineLevel="0" collapsed="false">
      <c r="B67" s="324" t="s">
        <v>360</v>
      </c>
      <c r="C67" s="312" t="n">
        <f aca="false">+(C66)*$F$54</f>
        <v>-490074.5</v>
      </c>
      <c r="D67" s="312" t="n">
        <f aca="false">+(D66)*$F$54</f>
        <v>-243382.28996875</v>
      </c>
      <c r="E67" s="312" t="n">
        <f aca="false">+C67-D67</f>
        <v>-246692.21003125</v>
      </c>
      <c r="F67" s="312"/>
      <c r="G67" s="312"/>
      <c r="H67" s="312"/>
    </row>
    <row r="68" customFormat="false" ht="15" hidden="false" customHeight="false" outlineLevel="0" collapsed="false">
      <c r="B68" s="324" t="s">
        <v>361</v>
      </c>
      <c r="C68" s="312" t="n">
        <f aca="false">+C66*$G$54</f>
        <v>-490074.5</v>
      </c>
      <c r="D68" s="312" t="n">
        <f aca="false">+D66*$G$54</f>
        <v>-243382.28996875</v>
      </c>
      <c r="E68" s="312" t="n">
        <f aca="false">+C68-D68</f>
        <v>-246692.21003125</v>
      </c>
    </row>
    <row r="69" customFormat="false" ht="15" hidden="false" customHeight="false" outlineLevel="0" collapsed="false">
      <c r="B69" s="324" t="s">
        <v>259</v>
      </c>
      <c r="C69" s="312" t="n">
        <f aca="false">SUM(C67:C68)</f>
        <v>-980149</v>
      </c>
      <c r="D69" s="312" t="n">
        <f aca="false">SUM(D67:D68)</f>
        <v>-486764.5799375</v>
      </c>
      <c r="E69" s="312" t="n">
        <f aca="false">+C69-D69</f>
        <v>-493384.4200625</v>
      </c>
    </row>
    <row r="70" customFormat="false" ht="15" hidden="false" customHeight="false" outlineLevel="0" collapsed="false">
      <c r="B70" s="324"/>
      <c r="C70" s="267" t="n">
        <f aca="false">C66-C69</f>
        <v>0</v>
      </c>
      <c r="D70" s="267" t="n">
        <f aca="false">D66-D69</f>
        <v>0</v>
      </c>
      <c r="E70" s="312"/>
    </row>
    <row r="71" customFormat="false" ht="15" hidden="false" customHeight="false" outlineLevel="0" collapsed="false">
      <c r="F71" s="312" t="s">
        <v>352</v>
      </c>
      <c r="G71" s="312" t="s">
        <v>353</v>
      </c>
    </row>
    <row r="72" customFormat="false" ht="15" hidden="false" customHeight="false" outlineLevel="0" collapsed="false">
      <c r="B72" s="313" t="s">
        <v>371</v>
      </c>
      <c r="C72" s="314" t="s">
        <v>355</v>
      </c>
      <c r="D72" s="314" t="s">
        <v>356</v>
      </c>
      <c r="E72" s="314" t="s">
        <v>5</v>
      </c>
      <c r="F72" s="315" t="n">
        <f aca="false">+L74</f>
        <v>0.75</v>
      </c>
      <c r="G72" s="316" t="n">
        <f aca="false">+L75</f>
        <v>0.25</v>
      </c>
      <c r="H72" s="314"/>
    </row>
    <row r="73" customFormat="false" ht="15" hidden="false" customHeight="false" outlineLevel="0" collapsed="false">
      <c r="B73" s="311" t="s">
        <v>87</v>
      </c>
      <c r="C73" s="267" t="n">
        <v>1000</v>
      </c>
      <c r="D73" s="267" t="n">
        <v>1000</v>
      </c>
      <c r="E73" s="267" t="n">
        <f aca="false">+C73-D73</f>
        <v>0</v>
      </c>
      <c r="F73" s="267" t="n">
        <f aca="false">+E73*$F$72</f>
        <v>0</v>
      </c>
      <c r="G73" s="267" t="n">
        <f aca="false">+E73*$G$72</f>
        <v>0</v>
      </c>
      <c r="K73" s="317" t="n">
        <v>2017</v>
      </c>
      <c r="L73" s="317"/>
      <c r="M73" s="317" t="n">
        <v>2016</v>
      </c>
      <c r="N73" s="317"/>
      <c r="O73" s="317" t="s">
        <v>5</v>
      </c>
      <c r="P73" s="317"/>
    </row>
    <row r="74" customFormat="false" ht="15" hidden="false" customHeight="false" outlineLevel="0" collapsed="false">
      <c r="B74" s="311" t="s">
        <v>88</v>
      </c>
      <c r="C74" s="267" t="n">
        <v>330450</v>
      </c>
      <c r="D74" s="267" t="n">
        <v>330450</v>
      </c>
      <c r="E74" s="267" t="n">
        <f aca="false">+C74-D74</f>
        <v>0</v>
      </c>
      <c r="F74" s="267" t="n">
        <f aca="false">+E74*$F$72</f>
        <v>0</v>
      </c>
      <c r="G74" s="267" t="n">
        <f aca="false">+E74*$G$72</f>
        <v>0</v>
      </c>
      <c r="J74" s="267" t="s">
        <v>293</v>
      </c>
      <c r="K74" s="277" t="n">
        <v>750</v>
      </c>
      <c r="L74" s="278" t="n">
        <f aca="false">+K74/$K$76</f>
        <v>0.75</v>
      </c>
      <c r="M74" s="277" t="n">
        <v>750</v>
      </c>
      <c r="N74" s="278" t="n">
        <f aca="false">+M74/$M$76</f>
        <v>0.75</v>
      </c>
      <c r="O74" s="277" t="n">
        <f aca="false">+K74-M74</f>
        <v>0</v>
      </c>
      <c r="P74" s="278" t="n">
        <f aca="false">+L74-N74</f>
        <v>0</v>
      </c>
    </row>
    <row r="75" customFormat="false" ht="15" hidden="false" customHeight="false" outlineLevel="0" collapsed="false">
      <c r="B75" s="311" t="s">
        <v>90</v>
      </c>
      <c r="C75" s="267" t="n">
        <v>109633</v>
      </c>
      <c r="D75" s="267" t="n">
        <v>109633.48</v>
      </c>
      <c r="E75" s="267" t="n">
        <f aca="false">+C75-D75</f>
        <v>-0.479999999995925</v>
      </c>
      <c r="F75" s="267" t="n">
        <f aca="false">+E75*$F$72</f>
        <v>-0.359999999996944</v>
      </c>
      <c r="G75" s="267" t="n">
        <f aca="false">+E75*$G$72</f>
        <v>-0.119999999998981</v>
      </c>
      <c r="J75" s="267" t="s">
        <v>296</v>
      </c>
      <c r="K75" s="282" t="n">
        <v>250</v>
      </c>
      <c r="L75" s="278" t="n">
        <f aca="false">+K75/$K$76</f>
        <v>0.25</v>
      </c>
      <c r="M75" s="282" t="n">
        <v>250</v>
      </c>
      <c r="N75" s="278" t="n">
        <f aca="false">+M75/$M$76</f>
        <v>0.25</v>
      </c>
      <c r="O75" s="277" t="n">
        <f aca="false">+K75-M75</f>
        <v>0</v>
      </c>
      <c r="P75" s="278" t="n">
        <f aca="false">+L75-N75</f>
        <v>0</v>
      </c>
    </row>
    <row r="76" customFormat="false" ht="14.25" hidden="false" customHeight="false" outlineLevel="0" collapsed="false">
      <c r="B76" s="311" t="s">
        <v>91</v>
      </c>
      <c r="C76" s="267" t="n">
        <v>0</v>
      </c>
      <c r="D76" s="267" t="n">
        <v>0</v>
      </c>
      <c r="E76" s="267" t="n">
        <f aca="false">+C76-D76</f>
        <v>0</v>
      </c>
      <c r="F76" s="267" t="n">
        <f aca="false">+E76*$F$72</f>
        <v>0</v>
      </c>
      <c r="G76" s="267" t="n">
        <f aca="false">+E76*$G$72</f>
        <v>0</v>
      </c>
      <c r="K76" s="277" t="n">
        <f aca="false">SUM(K74:K75)</f>
        <v>1000</v>
      </c>
      <c r="L76" s="285"/>
      <c r="M76" s="277" t="n">
        <f aca="false">SUM(M74:M75)</f>
        <v>1000</v>
      </c>
      <c r="N76" s="285"/>
      <c r="O76" s="277" t="n">
        <f aca="false">SUM(O74:O75)</f>
        <v>0</v>
      </c>
      <c r="P76" s="285"/>
    </row>
    <row r="77" customFormat="false" ht="14.25" hidden="false" customHeight="false" outlineLevel="0" collapsed="false">
      <c r="B77" s="311" t="s">
        <v>92</v>
      </c>
      <c r="C77" s="267" t="n">
        <v>0</v>
      </c>
      <c r="D77" s="267" t="n">
        <v>0</v>
      </c>
      <c r="E77" s="267" t="n">
        <f aca="false">+C77-D77</f>
        <v>0</v>
      </c>
      <c r="F77" s="267" t="n">
        <f aca="false">+E77*$F$72</f>
        <v>0</v>
      </c>
      <c r="G77" s="267" t="n">
        <f aca="false">+E77*$G$72</f>
        <v>0</v>
      </c>
    </row>
    <row r="78" customFormat="false" ht="14.25" hidden="false" customHeight="false" outlineLevel="0" collapsed="false">
      <c r="B78" s="311" t="s">
        <v>93</v>
      </c>
      <c r="C78" s="267" t="n">
        <v>0</v>
      </c>
      <c r="D78" s="267" t="n">
        <v>0</v>
      </c>
      <c r="E78" s="267" t="n">
        <f aca="false">+C78-D78</f>
        <v>0</v>
      </c>
      <c r="F78" s="267" t="n">
        <f aca="false">+E78*$F$72</f>
        <v>0</v>
      </c>
      <c r="G78" s="267" t="n">
        <f aca="false">+E78*$G$72</f>
        <v>0</v>
      </c>
    </row>
    <row r="79" customFormat="false" ht="14.25" hidden="false" customHeight="false" outlineLevel="0" collapsed="false">
      <c r="B79" s="311" t="s">
        <v>95</v>
      </c>
      <c r="C79" s="267" t="n">
        <f aca="false">'ESF - ERI'!X55</f>
        <v>-53896</v>
      </c>
      <c r="D79" s="267" t="n">
        <f aca="false">-26948.34-13474.17</f>
        <v>-40422.51</v>
      </c>
      <c r="E79" s="267" t="n">
        <f aca="false">+C79-D79</f>
        <v>-13473.49</v>
      </c>
      <c r="F79" s="267" t="n">
        <f aca="false">+E79*$F$72</f>
        <v>-10105.1175</v>
      </c>
      <c r="G79" s="267" t="n">
        <f aca="false">+E79*$G$72</f>
        <v>-3368.3725</v>
      </c>
    </row>
    <row r="80" customFormat="false" ht="14.25" hidden="false" customHeight="false" outlineLevel="0" collapsed="false">
      <c r="B80" s="311" t="s">
        <v>358</v>
      </c>
      <c r="C80" s="322" t="n">
        <f aca="false">'ESF - ERI'!X56</f>
        <v>-13474</v>
      </c>
      <c r="D80" s="322" t="n">
        <v>-13474</v>
      </c>
      <c r="E80" s="322" t="n">
        <f aca="false">+C80-D80</f>
        <v>0</v>
      </c>
      <c r="F80" s="267" t="n">
        <f aca="false">+E80*$F$72</f>
        <v>0</v>
      </c>
      <c r="G80" s="267" t="n">
        <f aca="false">+E80*$G$72</f>
        <v>0</v>
      </c>
    </row>
    <row r="82" customFormat="false" ht="15" hidden="false" customHeight="false" outlineLevel="0" collapsed="false">
      <c r="B82" s="313" t="s">
        <v>359</v>
      </c>
      <c r="C82" s="312" t="n">
        <f aca="false">SUM(C73:C81)</f>
        <v>373713</v>
      </c>
      <c r="D82" s="312" t="n">
        <f aca="false">SUM(D73:D81)</f>
        <v>387186.97</v>
      </c>
      <c r="E82" s="312" t="n">
        <f aca="false">SUM(E73:E80)</f>
        <v>-13473.97</v>
      </c>
      <c r="F82" s="312"/>
      <c r="G82" s="312"/>
      <c r="H82" s="312"/>
    </row>
    <row r="83" customFormat="false" ht="15" hidden="false" customHeight="false" outlineLevel="0" collapsed="false">
      <c r="B83" s="311" t="s">
        <v>366</v>
      </c>
      <c r="C83" s="328" t="n">
        <f aca="false">-C74</f>
        <v>-330450</v>
      </c>
      <c r="D83" s="328" t="n">
        <f aca="false">-D74</f>
        <v>-330450</v>
      </c>
      <c r="F83" s="312"/>
      <c r="G83" s="312"/>
      <c r="H83" s="312"/>
    </row>
    <row r="84" customFormat="false" ht="15" hidden="false" customHeight="false" outlineLevel="0" collapsed="false">
      <c r="B84" s="313" t="s">
        <v>367</v>
      </c>
      <c r="C84" s="312" t="n">
        <f aca="false">SUM(C81:C83)</f>
        <v>43263</v>
      </c>
      <c r="D84" s="312" t="n">
        <f aca="false">SUM(D81:D83)</f>
        <v>56736.97</v>
      </c>
      <c r="E84" s="267" t="n">
        <f aca="false">+C84-D84</f>
        <v>-13473.97</v>
      </c>
      <c r="F84" s="312"/>
      <c r="G84" s="312"/>
      <c r="H84" s="312"/>
    </row>
    <row r="85" customFormat="false" ht="15" hidden="false" customHeight="false" outlineLevel="0" collapsed="false">
      <c r="B85" s="324" t="s">
        <v>360</v>
      </c>
      <c r="C85" s="312" t="n">
        <f aca="false">+(C84)*$F$72</f>
        <v>32447.25</v>
      </c>
      <c r="D85" s="312" t="n">
        <f aca="false">+(D84)*$F$72</f>
        <v>42552.7275</v>
      </c>
      <c r="E85" s="312" t="n">
        <f aca="false">+C85-D85</f>
        <v>-10105.4775</v>
      </c>
      <c r="F85" s="312"/>
      <c r="G85" s="312"/>
      <c r="H85" s="312"/>
    </row>
    <row r="86" customFormat="false" ht="15" hidden="false" customHeight="false" outlineLevel="0" collapsed="false">
      <c r="B86" s="324" t="s">
        <v>361</v>
      </c>
      <c r="C86" s="312" t="n">
        <f aca="false">+C84*$G$72</f>
        <v>10815.75</v>
      </c>
      <c r="D86" s="312" t="n">
        <f aca="false">+D84*$G$72</f>
        <v>14184.2425</v>
      </c>
      <c r="E86" s="312" t="n">
        <f aca="false">+C86-D86</f>
        <v>-3368.49249999999</v>
      </c>
    </row>
    <row r="87" customFormat="false" ht="15" hidden="false" customHeight="false" outlineLevel="0" collapsed="false">
      <c r="B87" s="324" t="s">
        <v>259</v>
      </c>
      <c r="C87" s="312" t="n">
        <f aca="false">SUM(C85:C86)</f>
        <v>43263</v>
      </c>
      <c r="D87" s="312" t="n">
        <f aca="false">SUM(D85:D86)</f>
        <v>56736.97</v>
      </c>
      <c r="E87" s="312" t="n">
        <f aca="false">+C87-D87</f>
        <v>-13473.97</v>
      </c>
    </row>
    <row r="88" customFormat="false" ht="15" hidden="false" customHeight="false" outlineLevel="0" collapsed="false">
      <c r="B88" s="324"/>
      <c r="C88" s="267" t="n">
        <f aca="false">C84-C87</f>
        <v>0</v>
      </c>
      <c r="D88" s="267" t="n">
        <f aca="false">D84-D87</f>
        <v>0</v>
      </c>
    </row>
    <row r="89" customFormat="false" ht="15" hidden="false" customHeight="false" outlineLevel="0" collapsed="false">
      <c r="B89" s="324"/>
    </row>
    <row r="90" customFormat="false" ht="15" hidden="false" customHeight="false" outlineLevel="0" collapsed="false">
      <c r="F90" s="312" t="s">
        <v>352</v>
      </c>
      <c r="G90" s="312" t="s">
        <v>353</v>
      </c>
    </row>
    <row r="91" customFormat="false" ht="15" hidden="false" customHeight="false" outlineLevel="0" collapsed="false">
      <c r="B91" s="313" t="s">
        <v>372</v>
      </c>
      <c r="C91" s="314" t="s">
        <v>355</v>
      </c>
      <c r="D91" s="314" t="s">
        <v>356</v>
      </c>
      <c r="E91" s="314" t="s">
        <v>5</v>
      </c>
      <c r="F91" s="315" t="n">
        <f aca="false">+L93</f>
        <v>0.928</v>
      </c>
      <c r="G91" s="316" t="n">
        <f aca="false">+L94</f>
        <v>0.072</v>
      </c>
      <c r="H91" s="314"/>
    </row>
    <row r="92" customFormat="false" ht="15" hidden="false" customHeight="false" outlineLevel="0" collapsed="false">
      <c r="B92" s="311" t="s">
        <v>87</v>
      </c>
      <c r="C92" s="267" t="n">
        <v>5000</v>
      </c>
      <c r="D92" s="267" t="n">
        <v>5000</v>
      </c>
      <c r="E92" s="267" t="n">
        <f aca="false">+C92-D92</f>
        <v>0</v>
      </c>
      <c r="F92" s="267" t="n">
        <f aca="false">+E92*$F$91</f>
        <v>0</v>
      </c>
      <c r="G92" s="267" t="n">
        <f aca="false">+E92*$G$91</f>
        <v>0</v>
      </c>
      <c r="K92" s="317" t="n">
        <v>2017</v>
      </c>
      <c r="L92" s="317"/>
      <c r="M92" s="317" t="n">
        <v>2016</v>
      </c>
      <c r="N92" s="317"/>
      <c r="O92" s="317" t="s">
        <v>5</v>
      </c>
      <c r="P92" s="317"/>
    </row>
    <row r="93" customFormat="false" ht="15" hidden="false" customHeight="false" outlineLevel="0" collapsed="false">
      <c r="B93" s="311" t="s">
        <v>88</v>
      </c>
      <c r="C93" s="267" t="n">
        <v>0</v>
      </c>
      <c r="D93" s="267" t="n">
        <v>0</v>
      </c>
      <c r="E93" s="267" t="n">
        <f aca="false">+C93-D93</f>
        <v>0</v>
      </c>
      <c r="F93" s="267" t="n">
        <f aca="false">+E93*$F$91</f>
        <v>0</v>
      </c>
      <c r="G93" s="267" t="n">
        <f aca="false">+E93*$G$91</f>
        <v>0</v>
      </c>
      <c r="J93" s="267" t="s">
        <v>293</v>
      </c>
      <c r="K93" s="277" t="n">
        <v>4640</v>
      </c>
      <c r="L93" s="278" t="n">
        <f aca="false">+K93/$K$95</f>
        <v>0.928</v>
      </c>
      <c r="M93" s="277" t="n">
        <v>4640</v>
      </c>
      <c r="N93" s="278" t="n">
        <f aca="false">+M93/$M$95</f>
        <v>0.928</v>
      </c>
      <c r="O93" s="277" t="n">
        <f aca="false">+K93-M93</f>
        <v>0</v>
      </c>
      <c r="P93" s="278" t="n">
        <f aca="false">+L93-N93</f>
        <v>0</v>
      </c>
    </row>
    <row r="94" customFormat="false" ht="15" hidden="false" customHeight="false" outlineLevel="0" collapsed="false">
      <c r="B94" s="311" t="s">
        <v>90</v>
      </c>
      <c r="C94" s="267" t="n">
        <v>0</v>
      </c>
      <c r="D94" s="267" t="n">
        <v>0</v>
      </c>
      <c r="E94" s="267" t="n">
        <f aca="false">+C94-D94</f>
        <v>0</v>
      </c>
      <c r="F94" s="267" t="n">
        <f aca="false">+E94*$F$91</f>
        <v>0</v>
      </c>
      <c r="G94" s="267" t="n">
        <f aca="false">+E94*$G$91</f>
        <v>0</v>
      </c>
      <c r="J94" s="267" t="s">
        <v>296</v>
      </c>
      <c r="K94" s="282" t="n">
        <v>360</v>
      </c>
      <c r="L94" s="278" t="n">
        <f aca="false">+K94/$K$95</f>
        <v>0.072</v>
      </c>
      <c r="M94" s="282" t="n">
        <v>360</v>
      </c>
      <c r="N94" s="278" t="n">
        <f aca="false">+M94/$M$95</f>
        <v>0.072</v>
      </c>
      <c r="O94" s="277" t="n">
        <f aca="false">+K94-M94</f>
        <v>0</v>
      </c>
      <c r="P94" s="278" t="n">
        <f aca="false">+L94-N94</f>
        <v>0</v>
      </c>
    </row>
    <row r="95" customFormat="false" ht="14.25" hidden="false" customHeight="false" outlineLevel="0" collapsed="false">
      <c r="B95" s="311" t="s">
        <v>91</v>
      </c>
      <c r="C95" s="267" t="n">
        <v>0</v>
      </c>
      <c r="D95" s="267" t="n">
        <v>0</v>
      </c>
      <c r="E95" s="267" t="n">
        <f aca="false">+C95-D95</f>
        <v>0</v>
      </c>
      <c r="F95" s="267" t="n">
        <f aca="false">+E95*$F$91</f>
        <v>0</v>
      </c>
      <c r="G95" s="267" t="n">
        <f aca="false">+E95*$G$91</f>
        <v>0</v>
      </c>
      <c r="K95" s="277" t="n">
        <f aca="false">SUM(K93:K94)</f>
        <v>5000</v>
      </c>
      <c r="L95" s="285"/>
      <c r="M95" s="277" t="n">
        <f aca="false">SUM(M93:M94)</f>
        <v>5000</v>
      </c>
      <c r="N95" s="285"/>
      <c r="O95" s="277" t="n">
        <f aca="false">SUM(O93:O94)</f>
        <v>0</v>
      </c>
      <c r="P95" s="285"/>
    </row>
    <row r="96" customFormat="false" ht="14.25" hidden="false" customHeight="false" outlineLevel="0" collapsed="false">
      <c r="B96" s="311" t="s">
        <v>92</v>
      </c>
      <c r="C96" s="267" t="n">
        <v>1226</v>
      </c>
      <c r="D96" s="267" t="n">
        <v>1226.12</v>
      </c>
      <c r="E96" s="267" t="n">
        <f aca="false">+C96-D96</f>
        <v>-0.119999999999891</v>
      </c>
      <c r="F96" s="267" t="n">
        <f aca="false">+E96*$F$91</f>
        <v>-0.111359999999899</v>
      </c>
      <c r="G96" s="267" t="n">
        <f aca="false">+E96*$G$91</f>
        <v>-0.00863999999999214</v>
      </c>
    </row>
    <row r="97" customFormat="false" ht="14.25" hidden="false" customHeight="false" outlineLevel="0" collapsed="false">
      <c r="B97" s="311" t="s">
        <v>93</v>
      </c>
      <c r="C97" s="267" t="n">
        <v>0</v>
      </c>
      <c r="D97" s="267" t="n">
        <v>0</v>
      </c>
      <c r="E97" s="267" t="n">
        <f aca="false">+C97-D97</f>
        <v>0</v>
      </c>
      <c r="F97" s="267" t="n">
        <f aca="false">+E97*$F$91</f>
        <v>0</v>
      </c>
      <c r="G97" s="267" t="n">
        <f aca="false">+E97*$G$91</f>
        <v>0</v>
      </c>
    </row>
    <row r="98" customFormat="false" ht="19.5" hidden="false" customHeight="false" outlineLevel="0" collapsed="false">
      <c r="B98" s="311" t="s">
        <v>95</v>
      </c>
      <c r="C98" s="267" t="n">
        <v>1763</v>
      </c>
      <c r="D98" s="267" t="n">
        <v>1763</v>
      </c>
      <c r="E98" s="267" t="n">
        <f aca="false">+C98-D98</f>
        <v>0</v>
      </c>
      <c r="F98" s="267" t="n">
        <f aca="false">+E98*$F$91</f>
        <v>0</v>
      </c>
      <c r="G98" s="267" t="n">
        <f aca="false">+E98*$G$91</f>
        <v>0</v>
      </c>
      <c r="I98" s="327" t="s">
        <v>373</v>
      </c>
    </row>
    <row r="99" customFormat="false" ht="14.25" hidden="false" customHeight="false" outlineLevel="0" collapsed="false">
      <c r="B99" s="311" t="s">
        <v>358</v>
      </c>
      <c r="C99" s="322" t="n">
        <v>0</v>
      </c>
      <c r="D99" s="322" t="n">
        <v>0</v>
      </c>
      <c r="E99" s="322" t="n">
        <f aca="false">+C99-D99</f>
        <v>0</v>
      </c>
      <c r="F99" s="267" t="n">
        <f aca="false">+E99*$F$91</f>
        <v>0</v>
      </c>
      <c r="G99" s="267" t="n">
        <f aca="false">+E99*$G$91</f>
        <v>0</v>
      </c>
    </row>
    <row r="101" customFormat="false" ht="15" hidden="false" customHeight="false" outlineLevel="0" collapsed="false">
      <c r="B101" s="313" t="s">
        <v>374</v>
      </c>
      <c r="C101" s="312" t="n">
        <f aca="false">SUM(C92:C100)</f>
        <v>7989</v>
      </c>
      <c r="D101" s="312" t="n">
        <f aca="false">SUM(D92:D100)</f>
        <v>7989.12</v>
      </c>
      <c r="E101" s="312" t="n">
        <f aca="false">SUM(E92:E99)</f>
        <v>-0.119999999999891</v>
      </c>
      <c r="F101" s="312"/>
      <c r="G101" s="312"/>
      <c r="H101" s="312"/>
    </row>
    <row r="102" customFormat="false" ht="15" hidden="false" customHeight="false" outlineLevel="0" collapsed="false">
      <c r="B102" s="324" t="s">
        <v>360</v>
      </c>
      <c r="C102" s="312" t="n">
        <f aca="false">+(C101)*$F$91</f>
        <v>7413.792</v>
      </c>
      <c r="D102" s="312" t="n">
        <f aca="false">+(D101)*$F$91</f>
        <v>7413.90336</v>
      </c>
      <c r="E102" s="312" t="n">
        <f aca="false">+C102-D102</f>
        <v>-0.111359999999877</v>
      </c>
      <c r="F102" s="312"/>
      <c r="G102" s="312"/>
      <c r="H102" s="312"/>
    </row>
    <row r="103" customFormat="false" ht="15" hidden="false" customHeight="false" outlineLevel="0" collapsed="false">
      <c r="B103" s="324" t="s">
        <v>361</v>
      </c>
      <c r="C103" s="312" t="n">
        <f aca="false">+C101*$G$91</f>
        <v>575.208</v>
      </c>
      <c r="D103" s="312" t="n">
        <f aca="false">+D101*$G$91</f>
        <v>575.21664</v>
      </c>
      <c r="E103" s="312" t="n">
        <f aca="false">+C103-D103</f>
        <v>-0.00864000000001397</v>
      </c>
      <c r="F103" s="312"/>
      <c r="G103" s="312"/>
      <c r="H103" s="312"/>
    </row>
    <row r="104" customFormat="false" ht="15" hidden="false" customHeight="false" outlineLevel="0" collapsed="false">
      <c r="B104" s="324" t="s">
        <v>259</v>
      </c>
      <c r="C104" s="312" t="n">
        <f aca="false">SUM(C102:C103)</f>
        <v>7989</v>
      </c>
      <c r="D104" s="312" t="n">
        <f aca="false">SUM(D102:D103)</f>
        <v>7989.12</v>
      </c>
      <c r="E104" s="312" t="n">
        <f aca="false">+C104-D104</f>
        <v>-0.1200000000008</v>
      </c>
    </row>
    <row r="105" customFormat="false" ht="15" hidden="false" customHeight="false" outlineLevel="0" collapsed="false">
      <c r="B105" s="324"/>
      <c r="C105" s="267" t="n">
        <f aca="false">C101-C104</f>
        <v>0</v>
      </c>
      <c r="D105" s="267" t="n">
        <f aca="false">D101-D104</f>
        <v>0</v>
      </c>
    </row>
    <row r="107" customFormat="false" ht="15" hidden="false" customHeight="false" outlineLevel="0" collapsed="false">
      <c r="F107" s="312" t="s">
        <v>352</v>
      </c>
      <c r="G107" s="312" t="s">
        <v>353</v>
      </c>
    </row>
    <row r="108" customFormat="false" ht="15" hidden="false" customHeight="false" outlineLevel="0" collapsed="false">
      <c r="B108" s="313" t="s">
        <v>375</v>
      </c>
      <c r="C108" s="314" t="s">
        <v>355</v>
      </c>
      <c r="D108" s="314" t="s">
        <v>356</v>
      </c>
      <c r="E108" s="314" t="s">
        <v>5</v>
      </c>
      <c r="F108" s="315" t="n">
        <f aca="false">+L110</f>
        <v>0.6</v>
      </c>
      <c r="G108" s="316" t="n">
        <f aca="false">+L111</f>
        <v>0.4</v>
      </c>
      <c r="H108" s="314"/>
    </row>
    <row r="109" customFormat="false" ht="15" hidden="false" customHeight="false" outlineLevel="0" collapsed="false">
      <c r="B109" s="311" t="s">
        <v>87</v>
      </c>
      <c r="C109" s="267" t="n">
        <v>10000</v>
      </c>
      <c r="D109" s="267" t="n">
        <v>10000</v>
      </c>
      <c r="E109" s="267" t="n">
        <f aca="false">+C109-D109</f>
        <v>0</v>
      </c>
      <c r="F109" s="267" t="n">
        <f aca="false">+E109*$F$108</f>
        <v>0</v>
      </c>
      <c r="G109" s="267" t="n">
        <f aca="false">+E109*$G$108</f>
        <v>0</v>
      </c>
      <c r="K109" s="317" t="n">
        <v>2017</v>
      </c>
      <c r="L109" s="317"/>
      <c r="M109" s="317" t="n">
        <v>2016</v>
      </c>
      <c r="N109" s="317"/>
      <c r="O109" s="317" t="s">
        <v>5</v>
      </c>
      <c r="P109" s="317"/>
    </row>
    <row r="110" customFormat="false" ht="15" hidden="false" customHeight="false" outlineLevel="0" collapsed="false">
      <c r="B110" s="311" t="s">
        <v>88</v>
      </c>
      <c r="C110" s="267" t="n">
        <v>0</v>
      </c>
      <c r="D110" s="267" t="n">
        <v>0</v>
      </c>
      <c r="E110" s="267" t="n">
        <f aca="false">+C110-D110</f>
        <v>0</v>
      </c>
      <c r="F110" s="267" t="n">
        <f aca="false">+E110*$F$108</f>
        <v>0</v>
      </c>
      <c r="G110" s="267" t="n">
        <f aca="false">+E110*$G$108</f>
        <v>0</v>
      </c>
      <c r="J110" s="267" t="s">
        <v>293</v>
      </c>
      <c r="K110" s="277" t="n">
        <v>6000</v>
      </c>
      <c r="L110" s="278" t="n">
        <f aca="false">+K110/$K$112</f>
        <v>0.6</v>
      </c>
      <c r="M110" s="277" t="n">
        <v>6000</v>
      </c>
      <c r="N110" s="278" t="n">
        <f aca="false">+M110/$M$112</f>
        <v>0.6</v>
      </c>
      <c r="O110" s="277" t="n">
        <f aca="false">+K110-M110</f>
        <v>0</v>
      </c>
      <c r="P110" s="278" t="n">
        <f aca="false">+L110-N110</f>
        <v>0</v>
      </c>
    </row>
    <row r="111" customFormat="false" ht="15" hidden="false" customHeight="false" outlineLevel="0" collapsed="false">
      <c r="B111" s="311" t="s">
        <v>90</v>
      </c>
      <c r="C111" s="267" t="n">
        <v>0</v>
      </c>
      <c r="D111" s="267" t="n">
        <v>0</v>
      </c>
      <c r="E111" s="267" t="n">
        <f aca="false">+C111-D111</f>
        <v>0</v>
      </c>
      <c r="F111" s="267" t="n">
        <f aca="false">+E111*$F$108</f>
        <v>0</v>
      </c>
      <c r="G111" s="267" t="n">
        <f aca="false">+E111*$G$108</f>
        <v>0</v>
      </c>
      <c r="J111" s="267" t="s">
        <v>296</v>
      </c>
      <c r="K111" s="282" t="n">
        <v>4000</v>
      </c>
      <c r="L111" s="278" t="n">
        <f aca="false">+K111/$K$112</f>
        <v>0.4</v>
      </c>
      <c r="M111" s="282" t="n">
        <v>4000</v>
      </c>
      <c r="N111" s="278" t="n">
        <f aca="false">+M111/$M$112</f>
        <v>0.4</v>
      </c>
      <c r="O111" s="277" t="n">
        <f aca="false">+K111-M111</f>
        <v>0</v>
      </c>
      <c r="P111" s="278" t="n">
        <f aca="false">+L111-N111</f>
        <v>0</v>
      </c>
    </row>
    <row r="112" customFormat="false" ht="14.25" hidden="false" customHeight="false" outlineLevel="0" collapsed="false">
      <c r="B112" s="311" t="s">
        <v>91</v>
      </c>
      <c r="C112" s="267" t="n">
        <v>0</v>
      </c>
      <c r="D112" s="267" t="n">
        <v>0</v>
      </c>
      <c r="E112" s="267" t="n">
        <f aca="false">+C112-D112</f>
        <v>0</v>
      </c>
      <c r="F112" s="267" t="n">
        <f aca="false">+E112*$F$108</f>
        <v>0</v>
      </c>
      <c r="G112" s="267" t="n">
        <f aca="false">+E112*$G$108</f>
        <v>0</v>
      </c>
      <c r="K112" s="277" t="n">
        <f aca="false">SUM(K110:K111)</f>
        <v>10000</v>
      </c>
      <c r="L112" s="285"/>
      <c r="M112" s="277" t="n">
        <f aca="false">SUM(M110:M111)</f>
        <v>10000</v>
      </c>
      <c r="N112" s="285"/>
      <c r="O112" s="277" t="n">
        <f aca="false">SUM(O110:O111)</f>
        <v>0</v>
      </c>
      <c r="P112" s="285"/>
    </row>
    <row r="113" customFormat="false" ht="14.25" hidden="false" customHeight="false" outlineLevel="0" collapsed="false">
      <c r="B113" s="311" t="s">
        <v>92</v>
      </c>
      <c r="C113" s="267" t="n">
        <v>0</v>
      </c>
      <c r="D113" s="267" t="n">
        <v>0</v>
      </c>
      <c r="E113" s="267" t="n">
        <f aca="false">+C113-D113</f>
        <v>0</v>
      </c>
      <c r="F113" s="267" t="n">
        <f aca="false">+E113*$F$108</f>
        <v>0</v>
      </c>
      <c r="G113" s="267" t="n">
        <f aca="false">+E113*$G$108</f>
        <v>0</v>
      </c>
    </row>
    <row r="114" customFormat="false" ht="14.25" hidden="false" customHeight="false" outlineLevel="0" collapsed="false">
      <c r="B114" s="311" t="s">
        <v>93</v>
      </c>
      <c r="C114" s="267" t="n">
        <v>0</v>
      </c>
      <c r="D114" s="267" t="n">
        <v>0</v>
      </c>
      <c r="E114" s="267" t="n">
        <f aca="false">+C114-D114</f>
        <v>0</v>
      </c>
      <c r="F114" s="267" t="n">
        <f aca="false">+E114*$F$108</f>
        <v>0</v>
      </c>
      <c r="G114" s="267" t="n">
        <f aca="false">+E114*$G$108</f>
        <v>0</v>
      </c>
    </row>
    <row r="115" customFormat="false" ht="14.25" hidden="false" customHeight="false" outlineLevel="0" collapsed="false">
      <c r="B115" s="311" t="s">
        <v>95</v>
      </c>
      <c r="C115" s="267" t="n">
        <v>0</v>
      </c>
      <c r="D115" s="267" t="n">
        <v>0</v>
      </c>
      <c r="E115" s="267" t="n">
        <f aca="false">+C115-D115</f>
        <v>0</v>
      </c>
      <c r="F115" s="267" t="n">
        <f aca="false">+E115*$F$108</f>
        <v>0</v>
      </c>
      <c r="G115" s="267" t="n">
        <f aca="false">+E115*$G$108</f>
        <v>0</v>
      </c>
    </row>
    <row r="116" customFormat="false" ht="14.25" hidden="false" customHeight="false" outlineLevel="0" collapsed="false">
      <c r="B116" s="311" t="s">
        <v>358</v>
      </c>
      <c r="C116" s="322" t="n">
        <v>0</v>
      </c>
      <c r="D116" s="322" t="n">
        <v>0</v>
      </c>
      <c r="E116" s="322" t="n">
        <f aca="false">+C116-D116</f>
        <v>0</v>
      </c>
      <c r="F116" s="267" t="n">
        <f aca="false">+E116*$F$108</f>
        <v>0</v>
      </c>
      <c r="G116" s="267" t="n">
        <f aca="false">+E116*$G$108</f>
        <v>0</v>
      </c>
    </row>
    <row r="118" customFormat="false" ht="15" hidden="false" customHeight="false" outlineLevel="0" collapsed="false">
      <c r="B118" s="313" t="s">
        <v>374</v>
      </c>
      <c r="C118" s="312" t="n">
        <f aca="false">SUM(C109:C117)</f>
        <v>10000</v>
      </c>
      <c r="D118" s="312" t="n">
        <f aca="false">SUM(D109:D117)</f>
        <v>10000</v>
      </c>
      <c r="E118" s="312" t="n">
        <f aca="false">SUM(E109:E116)</f>
        <v>0</v>
      </c>
      <c r="F118" s="312"/>
      <c r="G118" s="312"/>
      <c r="H118" s="312"/>
    </row>
    <row r="119" customFormat="false" ht="15" hidden="false" customHeight="false" outlineLevel="0" collapsed="false">
      <c r="B119" s="324" t="s">
        <v>360</v>
      </c>
      <c r="C119" s="312" t="n">
        <f aca="false">+(C118)*$F$108</f>
        <v>6000</v>
      </c>
      <c r="D119" s="312" t="n">
        <f aca="false">+(D118)*$F$108</f>
        <v>6000</v>
      </c>
      <c r="E119" s="312" t="n">
        <f aca="false">+C119-D119</f>
        <v>0</v>
      </c>
      <c r="F119" s="312"/>
      <c r="G119" s="312"/>
      <c r="H119" s="312"/>
    </row>
    <row r="120" customFormat="false" ht="15" hidden="false" customHeight="false" outlineLevel="0" collapsed="false">
      <c r="B120" s="324" t="s">
        <v>361</v>
      </c>
      <c r="C120" s="312" t="n">
        <f aca="false">+C118*$G$108</f>
        <v>4000</v>
      </c>
      <c r="D120" s="312" t="n">
        <f aca="false">+D118*$G$108</f>
        <v>4000</v>
      </c>
      <c r="E120" s="312" t="n">
        <f aca="false">+C120-D120</f>
        <v>0</v>
      </c>
    </row>
    <row r="121" customFormat="false" ht="15" hidden="false" customHeight="false" outlineLevel="0" collapsed="false">
      <c r="B121" s="324" t="s">
        <v>259</v>
      </c>
      <c r="C121" s="312" t="n">
        <f aca="false">SUM(C119:C120)</f>
        <v>10000</v>
      </c>
      <c r="D121" s="312" t="n">
        <f aca="false">SUM(D119:D120)</f>
        <v>10000</v>
      </c>
      <c r="E121" s="312" t="n">
        <f aca="false">+C121-D121</f>
        <v>0</v>
      </c>
    </row>
    <row r="122" customFormat="false" ht="15" hidden="false" customHeight="false" outlineLevel="0" collapsed="false">
      <c r="B122" s="324"/>
      <c r="C122" s="267" t="n">
        <f aca="false">C118-C121</f>
        <v>0</v>
      </c>
      <c r="D122" s="267" t="n">
        <f aca="false">D118-D121</f>
        <v>0</v>
      </c>
    </row>
    <row r="123" customFormat="false" ht="15" hidden="false" customHeight="false" outlineLevel="0" collapsed="false">
      <c r="B123" s="324"/>
      <c r="C123" s="312"/>
      <c r="D123" s="312"/>
      <c r="E123" s="312"/>
    </row>
    <row r="124" customFormat="false" ht="15" hidden="false" customHeight="false" outlineLevel="0" collapsed="false">
      <c r="F124" s="312" t="s">
        <v>352</v>
      </c>
      <c r="G124" s="312" t="s">
        <v>353</v>
      </c>
    </row>
    <row r="125" customFormat="false" ht="15" hidden="false" customHeight="false" outlineLevel="0" collapsed="false">
      <c r="B125" s="313" t="s">
        <v>376</v>
      </c>
      <c r="C125" s="314" t="s">
        <v>355</v>
      </c>
      <c r="D125" s="314" t="s">
        <v>356</v>
      </c>
      <c r="E125" s="314" t="s">
        <v>5</v>
      </c>
      <c r="F125" s="315" t="n">
        <f aca="false">+L127</f>
        <v>0.99995</v>
      </c>
      <c r="G125" s="316" t="n">
        <f aca="false">+L128</f>
        <v>5E-005</v>
      </c>
      <c r="H125" s="314"/>
    </row>
    <row r="126" customFormat="false" ht="15" hidden="false" customHeight="false" outlineLevel="0" collapsed="false">
      <c r="B126" s="311" t="s">
        <v>87</v>
      </c>
      <c r="C126" s="267" t="n">
        <v>800</v>
      </c>
      <c r="D126" s="267" t="n">
        <v>800</v>
      </c>
      <c r="E126" s="267" t="n">
        <f aca="false">+C126-D126</f>
        <v>0</v>
      </c>
      <c r="F126" s="267" t="n">
        <f aca="false">+E126*$F$125</f>
        <v>0</v>
      </c>
      <c r="G126" s="267" t="n">
        <f aca="false">+E126*$G$125</f>
        <v>0</v>
      </c>
      <c r="K126" s="317" t="n">
        <v>2017</v>
      </c>
      <c r="L126" s="317"/>
      <c r="M126" s="317" t="n">
        <v>2016</v>
      </c>
      <c r="N126" s="317"/>
      <c r="O126" s="317" t="s">
        <v>5</v>
      </c>
      <c r="P126" s="317"/>
    </row>
    <row r="127" customFormat="false" ht="15" hidden="false" customHeight="false" outlineLevel="0" collapsed="false">
      <c r="B127" s="311" t="s">
        <v>88</v>
      </c>
      <c r="C127" s="267" t="n">
        <v>0</v>
      </c>
      <c r="D127" s="267" t="n">
        <v>0</v>
      </c>
      <c r="E127" s="267" t="n">
        <f aca="false">+C127-D127</f>
        <v>0</v>
      </c>
      <c r="F127" s="267" t="n">
        <f aca="false">+E127*$F$125</f>
        <v>0</v>
      </c>
      <c r="G127" s="267" t="n">
        <f aca="false">+E127*$G$125</f>
        <v>0</v>
      </c>
      <c r="J127" s="267" t="s">
        <v>293</v>
      </c>
      <c r="K127" s="277" t="n">
        <v>799.96</v>
      </c>
      <c r="L127" s="278" t="n">
        <f aca="false">+K127/$K$129</f>
        <v>0.99995</v>
      </c>
      <c r="M127" s="277" t="n">
        <v>799.96</v>
      </c>
      <c r="N127" s="278" t="n">
        <f aca="false">+M127/$M$129</f>
        <v>0.99995</v>
      </c>
      <c r="O127" s="277" t="n">
        <f aca="false">+K127-M127</f>
        <v>0</v>
      </c>
      <c r="P127" s="278" t="n">
        <f aca="false">+L127-N127</f>
        <v>0</v>
      </c>
    </row>
    <row r="128" customFormat="false" ht="15" hidden="false" customHeight="false" outlineLevel="0" collapsed="false">
      <c r="B128" s="311" t="s">
        <v>90</v>
      </c>
      <c r="C128" s="267" t="n">
        <v>0</v>
      </c>
      <c r="D128" s="267" t="n">
        <v>0</v>
      </c>
      <c r="E128" s="267" t="n">
        <f aca="false">+C128-D128</f>
        <v>0</v>
      </c>
      <c r="F128" s="267" t="n">
        <f aca="false">+E128*$F$125</f>
        <v>0</v>
      </c>
      <c r="G128" s="267" t="n">
        <f aca="false">+E128*$G$125</f>
        <v>0</v>
      </c>
      <c r="J128" s="267" t="s">
        <v>296</v>
      </c>
      <c r="K128" s="282" t="n">
        <v>0.04</v>
      </c>
      <c r="L128" s="278" t="n">
        <f aca="false">+K128/$K$129</f>
        <v>5E-005</v>
      </c>
      <c r="M128" s="282" t="n">
        <v>0.04</v>
      </c>
      <c r="N128" s="278" t="n">
        <f aca="false">+M128/$M$129</f>
        <v>5E-005</v>
      </c>
      <c r="O128" s="277" t="n">
        <f aca="false">+K128-M128</f>
        <v>0</v>
      </c>
      <c r="P128" s="278" t="n">
        <f aca="false">+L128-N128</f>
        <v>0</v>
      </c>
    </row>
    <row r="129" customFormat="false" ht="14.25" hidden="false" customHeight="false" outlineLevel="0" collapsed="false">
      <c r="B129" s="311" t="s">
        <v>91</v>
      </c>
      <c r="C129" s="267" t="n">
        <v>0</v>
      </c>
      <c r="D129" s="267" t="n">
        <v>0</v>
      </c>
      <c r="E129" s="267" t="n">
        <f aca="false">+C129-D129</f>
        <v>0</v>
      </c>
      <c r="F129" s="267" t="n">
        <f aca="false">+E129*$F$125</f>
        <v>0</v>
      </c>
      <c r="G129" s="267" t="n">
        <f aca="false">+E129*$G$125</f>
        <v>0</v>
      </c>
      <c r="K129" s="277" t="n">
        <f aca="false">SUM(K127:K128)</f>
        <v>800</v>
      </c>
      <c r="L129" s="285"/>
      <c r="M129" s="277" t="n">
        <f aca="false">SUM(M127:M128)</f>
        <v>800</v>
      </c>
      <c r="N129" s="285"/>
      <c r="O129" s="277" t="n">
        <f aca="false">SUM(O127:O128)</f>
        <v>0</v>
      </c>
      <c r="P129" s="285"/>
    </row>
    <row r="130" customFormat="false" ht="14.25" hidden="false" customHeight="false" outlineLevel="0" collapsed="false">
      <c r="B130" s="311" t="s">
        <v>92</v>
      </c>
      <c r="C130" s="267" t="n">
        <v>340.17</v>
      </c>
      <c r="D130" s="267" t="n">
        <v>340.17</v>
      </c>
      <c r="E130" s="267" t="n">
        <f aca="false">+C130-D130</f>
        <v>0</v>
      </c>
      <c r="F130" s="267" t="n">
        <f aca="false">+E130*$F$125</f>
        <v>0</v>
      </c>
      <c r="G130" s="267" t="n">
        <f aca="false">+E130*$G$125</f>
        <v>0</v>
      </c>
    </row>
    <row r="131" customFormat="false" ht="14.25" hidden="false" customHeight="false" outlineLevel="0" collapsed="false">
      <c r="B131" s="311" t="s">
        <v>93</v>
      </c>
      <c r="C131" s="267" t="n">
        <v>0</v>
      </c>
      <c r="D131" s="267" t="n">
        <v>0</v>
      </c>
      <c r="E131" s="267" t="n">
        <f aca="false">+C131-D131</f>
        <v>0</v>
      </c>
      <c r="F131" s="267" t="n">
        <f aca="false">+E131*$F$125</f>
        <v>0</v>
      </c>
      <c r="G131" s="267" t="n">
        <f aca="false">+E131*$G$125</f>
        <v>0</v>
      </c>
    </row>
    <row r="132" customFormat="false" ht="14.25" hidden="false" customHeight="false" outlineLevel="0" collapsed="false">
      <c r="B132" s="311" t="s">
        <v>95</v>
      </c>
      <c r="C132" s="267" t="n">
        <v>0</v>
      </c>
      <c r="D132" s="267" t="n">
        <v>0</v>
      </c>
      <c r="E132" s="267" t="n">
        <f aca="false">+C132-D132</f>
        <v>0</v>
      </c>
      <c r="F132" s="267" t="n">
        <f aca="false">+E132*$F$125</f>
        <v>0</v>
      </c>
      <c r="G132" s="267" t="n">
        <f aca="false">+E132*$G$125</f>
        <v>0</v>
      </c>
    </row>
    <row r="133" customFormat="false" ht="14.25" hidden="false" customHeight="false" outlineLevel="0" collapsed="false">
      <c r="B133" s="311" t="s">
        <v>358</v>
      </c>
      <c r="C133" s="322" t="n">
        <v>0</v>
      </c>
      <c r="D133" s="322" t="n">
        <v>0</v>
      </c>
      <c r="E133" s="322" t="n">
        <f aca="false">+C133-D133</f>
        <v>0</v>
      </c>
      <c r="F133" s="267" t="n">
        <f aca="false">+E133*$F$125</f>
        <v>0</v>
      </c>
      <c r="G133" s="267" t="n">
        <f aca="false">+E133*$G$125</f>
        <v>0</v>
      </c>
    </row>
    <row r="135" customFormat="false" ht="15" hidden="false" customHeight="false" outlineLevel="0" collapsed="false">
      <c r="B135" s="313" t="s">
        <v>374</v>
      </c>
      <c r="C135" s="312" t="n">
        <f aca="false">SUM(C126:C134)</f>
        <v>1140.17</v>
      </c>
      <c r="D135" s="312" t="n">
        <f aca="false">SUM(D126:D134)</f>
        <v>1140.17</v>
      </c>
      <c r="E135" s="312" t="n">
        <f aca="false">SUM(E126:E133)</f>
        <v>0</v>
      </c>
      <c r="F135" s="312"/>
      <c r="G135" s="312"/>
      <c r="H135" s="312"/>
    </row>
    <row r="136" customFormat="false" ht="15" hidden="false" customHeight="false" outlineLevel="0" collapsed="false">
      <c r="B136" s="324" t="s">
        <v>360</v>
      </c>
      <c r="C136" s="312" t="n">
        <f aca="false">+(C135)*$F$125</f>
        <v>1140.1129915</v>
      </c>
      <c r="D136" s="312" t="n">
        <f aca="false">+(D135)*$F$125</f>
        <v>1140.1129915</v>
      </c>
      <c r="E136" s="312"/>
      <c r="F136" s="312"/>
      <c r="G136" s="312"/>
      <c r="H136" s="312"/>
    </row>
    <row r="137" customFormat="false" ht="15" hidden="false" customHeight="false" outlineLevel="0" collapsed="false">
      <c r="B137" s="324" t="s">
        <v>361</v>
      </c>
      <c r="C137" s="329" t="n">
        <f aca="false">+C135*$G$125</f>
        <v>0.0570085</v>
      </c>
      <c r="D137" s="329" t="n">
        <f aca="false">+D135*$G$125</f>
        <v>0.0570085</v>
      </c>
      <c r="E137" s="312" t="n">
        <f aca="false">+C137-D137</f>
        <v>0</v>
      </c>
    </row>
    <row r="138" customFormat="false" ht="15" hidden="false" customHeight="false" outlineLevel="0" collapsed="false">
      <c r="B138" s="324" t="s">
        <v>259</v>
      </c>
      <c r="C138" s="312" t="n">
        <f aca="false">SUM(C136:C137)</f>
        <v>1140.17</v>
      </c>
      <c r="D138" s="312" t="n">
        <f aca="false">SUM(D136:D137)</f>
        <v>1140.17</v>
      </c>
      <c r="E138" s="312" t="n">
        <f aca="false">+C138-D138</f>
        <v>0</v>
      </c>
    </row>
    <row r="139" customFormat="false" ht="15" hidden="false" customHeight="false" outlineLevel="0" collapsed="false">
      <c r="B139" s="324"/>
      <c r="C139" s="267" t="n">
        <f aca="false">C135-C138</f>
        <v>0</v>
      </c>
      <c r="D139" s="267" t="n">
        <f aca="false">D135-D138</f>
        <v>0</v>
      </c>
    </row>
    <row r="140" customFormat="false" ht="15" hidden="false" customHeight="false" outlineLevel="0" collapsed="false">
      <c r="F140" s="312" t="s">
        <v>352</v>
      </c>
      <c r="G140" s="312" t="s">
        <v>353</v>
      </c>
    </row>
    <row r="141" customFormat="false" ht="15" hidden="false" customHeight="false" outlineLevel="0" collapsed="false">
      <c r="B141" s="313" t="s">
        <v>377</v>
      </c>
      <c r="C141" s="314" t="s">
        <v>355</v>
      </c>
      <c r="D141" s="314" t="s">
        <v>356</v>
      </c>
      <c r="E141" s="314" t="s">
        <v>5</v>
      </c>
      <c r="F141" s="315" t="n">
        <f aca="false">+L143</f>
        <v>0.925</v>
      </c>
      <c r="G141" s="316" t="n">
        <f aca="false">+L144</f>
        <v>0.075</v>
      </c>
      <c r="H141" s="314"/>
    </row>
    <row r="142" customFormat="false" ht="15" hidden="false" customHeight="false" outlineLevel="0" collapsed="false">
      <c r="B142" s="311" t="s">
        <v>87</v>
      </c>
      <c r="C142" s="267" t="n">
        <v>800</v>
      </c>
      <c r="D142" s="267" t="n">
        <v>800</v>
      </c>
      <c r="E142" s="267" t="n">
        <f aca="false">+C142-D142</f>
        <v>0</v>
      </c>
      <c r="F142" s="267" t="n">
        <f aca="false">+E142*$F$141</f>
        <v>0</v>
      </c>
      <c r="G142" s="267" t="n">
        <f aca="false">+E142*$G$141</f>
        <v>0</v>
      </c>
      <c r="K142" s="317" t="n">
        <v>2017</v>
      </c>
      <c r="L142" s="317"/>
      <c r="M142" s="317" t="n">
        <v>2016</v>
      </c>
      <c r="N142" s="317"/>
      <c r="O142" s="317" t="s">
        <v>5</v>
      </c>
      <c r="P142" s="317"/>
    </row>
    <row r="143" customFormat="false" ht="15" hidden="false" customHeight="false" outlineLevel="0" collapsed="false">
      <c r="B143" s="311" t="s">
        <v>88</v>
      </c>
      <c r="C143" s="267" t="n">
        <f aca="false">'ESF - ERI'!AB49</f>
        <v>1833417</v>
      </c>
      <c r="D143" s="267" t="n">
        <v>0</v>
      </c>
      <c r="E143" s="267" t="n">
        <f aca="false">+C143-D143</f>
        <v>1833417</v>
      </c>
      <c r="F143" s="267" t="n">
        <f aca="false">+E143*$F$141</f>
        <v>1695910.725</v>
      </c>
      <c r="G143" s="267" t="n">
        <f aca="false">+E143*$G$141</f>
        <v>137506.275</v>
      </c>
      <c r="J143" s="267" t="s">
        <v>293</v>
      </c>
      <c r="K143" s="277" t="n">
        <v>740</v>
      </c>
      <c r="L143" s="278" t="n">
        <f aca="false">+K143/$K$145</f>
        <v>0.925</v>
      </c>
      <c r="M143" s="277" t="n">
        <v>740</v>
      </c>
      <c r="N143" s="278" t="n">
        <f aca="false">+M143/$M$145</f>
        <v>0.925</v>
      </c>
      <c r="O143" s="277" t="n">
        <f aca="false">+K143-M143</f>
        <v>0</v>
      </c>
      <c r="P143" s="278" t="n">
        <f aca="false">+L143-N143</f>
        <v>0</v>
      </c>
    </row>
    <row r="144" customFormat="false" ht="15" hidden="false" customHeight="false" outlineLevel="0" collapsed="false">
      <c r="B144" s="311" t="s">
        <v>90</v>
      </c>
      <c r="C144" s="267" t="n">
        <v>0</v>
      </c>
      <c r="D144" s="267" t="n">
        <v>0</v>
      </c>
      <c r="E144" s="267" t="n">
        <f aca="false">+C144-D144</f>
        <v>0</v>
      </c>
      <c r="F144" s="267" t="n">
        <f aca="false">+E144*$F$141</f>
        <v>0</v>
      </c>
      <c r="G144" s="267" t="n">
        <f aca="false">+E144*$G$141</f>
        <v>0</v>
      </c>
      <c r="J144" s="267" t="s">
        <v>296</v>
      </c>
      <c r="K144" s="282" t="n">
        <v>60</v>
      </c>
      <c r="L144" s="278" t="n">
        <f aca="false">+K144/$K$145</f>
        <v>0.075</v>
      </c>
      <c r="M144" s="282" t="n">
        <v>60</v>
      </c>
      <c r="N144" s="278" t="n">
        <f aca="false">+M144/$M$145</f>
        <v>0.075</v>
      </c>
      <c r="O144" s="277" t="n">
        <f aca="false">+K144-M144</f>
        <v>0</v>
      </c>
      <c r="P144" s="278" t="n">
        <f aca="false">+L144-N144</f>
        <v>0</v>
      </c>
    </row>
    <row r="145" customFormat="false" ht="14.25" hidden="false" customHeight="false" outlineLevel="0" collapsed="false">
      <c r="B145" s="311" t="s">
        <v>91</v>
      </c>
      <c r="C145" s="267" t="n">
        <v>0</v>
      </c>
      <c r="D145" s="267" t="n">
        <v>0</v>
      </c>
      <c r="E145" s="267" t="n">
        <f aca="false">+C145-D145</f>
        <v>0</v>
      </c>
      <c r="F145" s="267" t="n">
        <f aca="false">+E145*$F$141</f>
        <v>0</v>
      </c>
      <c r="G145" s="267" t="n">
        <f aca="false">+E145*$G$141</f>
        <v>0</v>
      </c>
      <c r="K145" s="277" t="n">
        <f aca="false">SUM(K143:K144)</f>
        <v>800</v>
      </c>
      <c r="L145" s="285"/>
      <c r="M145" s="277" t="n">
        <f aca="false">SUM(M143:M144)</f>
        <v>800</v>
      </c>
      <c r="N145" s="285"/>
      <c r="O145" s="277" t="n">
        <f aca="false">SUM(O143:O144)</f>
        <v>0</v>
      </c>
      <c r="P145" s="285"/>
    </row>
    <row r="146" customFormat="false" ht="14.25" hidden="false" customHeight="false" outlineLevel="0" collapsed="false">
      <c r="B146" s="311" t="s">
        <v>92</v>
      </c>
      <c r="C146" s="267" t="n">
        <v>0</v>
      </c>
      <c r="D146" s="267" t="n">
        <v>0</v>
      </c>
      <c r="E146" s="267" t="n">
        <f aca="false">+C146-D146</f>
        <v>0</v>
      </c>
      <c r="F146" s="267" t="n">
        <f aca="false">+E146*$F$141</f>
        <v>0</v>
      </c>
      <c r="G146" s="267" t="n">
        <f aca="false">+E146*$G$141</f>
        <v>0</v>
      </c>
    </row>
    <row r="147" customFormat="false" ht="14.25" hidden="false" customHeight="false" outlineLevel="0" collapsed="false">
      <c r="B147" s="311" t="s">
        <v>93</v>
      </c>
      <c r="C147" s="267" t="n">
        <v>0</v>
      </c>
      <c r="D147" s="267" t="n">
        <v>0</v>
      </c>
      <c r="E147" s="267" t="n">
        <f aca="false">+C147-D147</f>
        <v>0</v>
      </c>
      <c r="F147" s="267" t="n">
        <f aca="false">+E147*$F$141</f>
        <v>0</v>
      </c>
      <c r="G147" s="267" t="n">
        <f aca="false">+E147*$G$141</f>
        <v>0</v>
      </c>
    </row>
    <row r="148" customFormat="false" ht="14.25" hidden="false" customHeight="false" outlineLevel="0" collapsed="false">
      <c r="B148" s="311" t="s">
        <v>95</v>
      </c>
      <c r="C148" s="267" t="n">
        <f aca="false">'ESF - ERI'!AB55</f>
        <v>-15422</v>
      </c>
      <c r="D148" s="267" t="n">
        <v>0</v>
      </c>
      <c r="E148" s="267" t="n">
        <f aca="false">+C148-D148</f>
        <v>-15422</v>
      </c>
      <c r="F148" s="267" t="n">
        <f aca="false">+E148*$F$141</f>
        <v>-14265.35</v>
      </c>
      <c r="G148" s="267" t="n">
        <f aca="false">+E148*$G$141</f>
        <v>-1156.65</v>
      </c>
    </row>
    <row r="149" customFormat="false" ht="14.25" hidden="false" customHeight="false" outlineLevel="0" collapsed="false">
      <c r="B149" s="311" t="s">
        <v>358</v>
      </c>
      <c r="C149" s="322" t="n">
        <f aca="false">'ESF - ERI'!AB56</f>
        <v>-344143</v>
      </c>
      <c r="D149" s="322" t="n">
        <v>-15422</v>
      </c>
      <c r="E149" s="322" t="n">
        <f aca="false">+C149-D149</f>
        <v>-328721</v>
      </c>
      <c r="F149" s="267" t="n">
        <f aca="false">+E149*$F$141</f>
        <v>-304066.925</v>
      </c>
      <c r="G149" s="267" t="n">
        <f aca="false">+E149*$G$141</f>
        <v>-24654.075</v>
      </c>
    </row>
    <row r="151" customFormat="false" ht="15" hidden="false" customHeight="false" outlineLevel="0" collapsed="false">
      <c r="B151" s="313" t="s">
        <v>374</v>
      </c>
      <c r="C151" s="312" t="n">
        <f aca="false">SUM(C142:C150)</f>
        <v>1474652</v>
      </c>
      <c r="D151" s="312" t="n">
        <f aca="false">SUM(D142:D150)</f>
        <v>-14622</v>
      </c>
      <c r="E151" s="312" t="n">
        <f aca="false">SUM(E142:E149)</f>
        <v>1489274</v>
      </c>
      <c r="F151" s="312"/>
      <c r="G151" s="312"/>
      <c r="H151" s="312"/>
    </row>
    <row r="152" customFormat="false" ht="15" hidden="false" customHeight="false" outlineLevel="0" collapsed="false">
      <c r="B152" s="324" t="s">
        <v>360</v>
      </c>
      <c r="C152" s="312" t="n">
        <f aca="false">+(C151)*$F$141</f>
        <v>1364053.1</v>
      </c>
      <c r="D152" s="312" t="n">
        <f aca="false">+(D151)*$F$141</f>
        <v>-13525.35</v>
      </c>
      <c r="E152" s="312" t="n">
        <f aca="false">+C152-D152</f>
        <v>1377578.45</v>
      </c>
      <c r="F152" s="312"/>
      <c r="G152" s="312"/>
      <c r="H152" s="312"/>
    </row>
    <row r="153" customFormat="false" ht="15" hidden="false" customHeight="false" outlineLevel="0" collapsed="false">
      <c r="B153" s="324" t="s">
        <v>361</v>
      </c>
      <c r="C153" s="312" t="n">
        <f aca="false">+C151*$G$141</f>
        <v>110598.9</v>
      </c>
      <c r="D153" s="312" t="n">
        <f aca="false">+D151*$G$141</f>
        <v>-1096.65</v>
      </c>
      <c r="E153" s="312" t="n">
        <f aca="false">+C153-D153</f>
        <v>111695.55</v>
      </c>
    </row>
    <row r="154" customFormat="false" ht="15" hidden="false" customHeight="false" outlineLevel="0" collapsed="false">
      <c r="B154" s="324" t="s">
        <v>259</v>
      </c>
      <c r="C154" s="312" t="n">
        <f aca="false">SUM(C152:C153)</f>
        <v>1474652</v>
      </c>
      <c r="D154" s="312" t="n">
        <f aca="false">SUM(D152:D153)</f>
        <v>-14622</v>
      </c>
      <c r="E154" s="312" t="n">
        <f aca="false">+C154-D154</f>
        <v>1489274</v>
      </c>
    </row>
    <row r="155" customFormat="false" ht="15" hidden="false" customHeight="false" outlineLevel="0" collapsed="false">
      <c r="B155" s="324"/>
      <c r="C155" s="267" t="n">
        <f aca="false">C151-C154</f>
        <v>0</v>
      </c>
      <c r="D155" s="267" t="n">
        <f aca="false">D151-D154</f>
        <v>0</v>
      </c>
    </row>
    <row r="157" customFormat="false" ht="15" hidden="false" customHeight="false" outlineLevel="0" collapsed="false">
      <c r="F157" s="312" t="s">
        <v>352</v>
      </c>
      <c r="G157" s="312" t="s">
        <v>353</v>
      </c>
    </row>
    <row r="158" customFormat="false" ht="15" hidden="false" customHeight="false" outlineLevel="0" collapsed="false">
      <c r="B158" s="313" t="s">
        <v>378</v>
      </c>
      <c r="C158" s="314" t="s">
        <v>355</v>
      </c>
      <c r="D158" s="314" t="s">
        <v>356</v>
      </c>
      <c r="E158" s="314" t="s">
        <v>5</v>
      </c>
      <c r="F158" s="315" t="n">
        <f aca="false">+L160</f>
        <v>0.98</v>
      </c>
      <c r="G158" s="316" t="n">
        <f aca="false">+L161</f>
        <v>0.02</v>
      </c>
      <c r="H158" s="314"/>
    </row>
    <row r="159" customFormat="false" ht="15" hidden="false" customHeight="false" outlineLevel="0" collapsed="false">
      <c r="B159" s="311" t="s">
        <v>87</v>
      </c>
      <c r="C159" s="267" t="n">
        <v>3661400</v>
      </c>
      <c r="D159" s="267" t="n">
        <v>3661400</v>
      </c>
      <c r="E159" s="267" t="n">
        <f aca="false">+C159-D159</f>
        <v>0</v>
      </c>
      <c r="F159" s="267" t="n">
        <f aca="false">+E159*$F$158</f>
        <v>0</v>
      </c>
      <c r="G159" s="267" t="n">
        <f aca="false">+E159*$G$158</f>
        <v>0</v>
      </c>
      <c r="K159" s="317" t="n">
        <v>2017</v>
      </c>
      <c r="L159" s="317"/>
      <c r="M159" s="317" t="n">
        <v>2016</v>
      </c>
      <c r="N159" s="317"/>
    </row>
    <row r="160" customFormat="false" ht="15" hidden="false" customHeight="false" outlineLevel="0" collapsed="false">
      <c r="B160" s="311" t="s">
        <v>88</v>
      </c>
      <c r="C160" s="267" t="n">
        <v>406800</v>
      </c>
      <c r="D160" s="267" t="n">
        <v>112799</v>
      </c>
      <c r="E160" s="267" t="n">
        <f aca="false">+C160-D160</f>
        <v>294001</v>
      </c>
      <c r="F160" s="267" t="n">
        <f aca="false">+E160*$F$158</f>
        <v>288120.98</v>
      </c>
      <c r="G160" s="267" t="n">
        <f aca="false">+E160*$G$158</f>
        <v>5880.02</v>
      </c>
      <c r="J160" s="267" t="s">
        <v>293</v>
      </c>
      <c r="K160" s="330" t="n">
        <v>3588172</v>
      </c>
      <c r="L160" s="278" t="n">
        <f aca="false">K160/K162</f>
        <v>0.98</v>
      </c>
      <c r="M160" s="330" t="n">
        <v>3588172</v>
      </c>
      <c r="N160" s="278" t="n">
        <f aca="false">M160/M162</f>
        <v>0.98</v>
      </c>
    </row>
    <row r="161" customFormat="false" ht="15" hidden="false" customHeight="false" outlineLevel="0" collapsed="false">
      <c r="B161" s="311" t="s">
        <v>90</v>
      </c>
      <c r="C161" s="267" t="n">
        <v>0</v>
      </c>
      <c r="D161" s="267" t="n">
        <v>0</v>
      </c>
      <c r="E161" s="267" t="n">
        <f aca="false">+C161-D161</f>
        <v>0</v>
      </c>
      <c r="F161" s="267" t="n">
        <f aca="false">+E161*$F$158</f>
        <v>0</v>
      </c>
      <c r="G161" s="267" t="n">
        <f aca="false">+E161*$G$158</f>
        <v>0</v>
      </c>
      <c r="J161" s="267" t="s">
        <v>296</v>
      </c>
      <c r="K161" s="323" t="n">
        <f aca="false">3661400-K160</f>
        <v>73228</v>
      </c>
      <c r="L161" s="278" t="n">
        <f aca="false">K161/K162</f>
        <v>0.02</v>
      </c>
      <c r="M161" s="323" t="n">
        <f aca="false">3661400-M160</f>
        <v>73228</v>
      </c>
      <c r="N161" s="278" t="n">
        <f aca="false">M161/M162</f>
        <v>0.02</v>
      </c>
    </row>
    <row r="162" customFormat="false" ht="14.25" hidden="false" customHeight="false" outlineLevel="0" collapsed="false">
      <c r="B162" s="311" t="s">
        <v>91</v>
      </c>
      <c r="C162" s="267" t="n">
        <v>0</v>
      </c>
      <c r="D162" s="267" t="n">
        <v>0</v>
      </c>
      <c r="E162" s="267" t="n">
        <f aca="false">+C162-D162</f>
        <v>0</v>
      </c>
      <c r="F162" s="267" t="n">
        <f aca="false">+E162*$F$158</f>
        <v>0</v>
      </c>
      <c r="G162" s="267" t="n">
        <f aca="false">+E162*$G$158</f>
        <v>0</v>
      </c>
      <c r="K162" s="330" t="n">
        <f aca="false">SUM(K160:K161)</f>
        <v>3661400</v>
      </c>
      <c r="L162" s="285"/>
      <c r="M162" s="330" t="n">
        <f aca="false">SUM(M160:M161)</f>
        <v>3661400</v>
      </c>
      <c r="N162" s="285"/>
    </row>
    <row r="163" customFormat="false" ht="14.25" hidden="false" customHeight="false" outlineLevel="0" collapsed="false">
      <c r="B163" s="311" t="s">
        <v>92</v>
      </c>
      <c r="C163" s="267" t="n">
        <v>274690</v>
      </c>
      <c r="D163" s="267" t="n">
        <v>0</v>
      </c>
      <c r="E163" s="267" t="n">
        <f aca="false">+C163-D163</f>
        <v>274690</v>
      </c>
      <c r="F163" s="267" t="n">
        <f aca="false">+E163*$F$158</f>
        <v>269196.2</v>
      </c>
      <c r="G163" s="267" t="n">
        <f aca="false">+E163*$G$158</f>
        <v>5493.8</v>
      </c>
    </row>
    <row r="164" customFormat="false" ht="14.25" hidden="false" customHeight="false" outlineLevel="0" collapsed="false">
      <c r="B164" s="311" t="s">
        <v>93</v>
      </c>
      <c r="C164" s="267" t="n">
        <v>-56932</v>
      </c>
      <c r="D164" s="267" t="n">
        <v>-56932</v>
      </c>
      <c r="E164" s="267" t="n">
        <f aca="false">+C164-D164</f>
        <v>0</v>
      </c>
      <c r="F164" s="267" t="n">
        <f aca="false">+E164*$F$158</f>
        <v>0</v>
      </c>
      <c r="G164" s="267" t="n">
        <f aca="false">+E164*$G$158</f>
        <v>0</v>
      </c>
    </row>
    <row r="165" customFormat="false" ht="14.25" hidden="false" customHeight="false" outlineLevel="0" collapsed="false">
      <c r="B165" s="311" t="s">
        <v>95</v>
      </c>
      <c r="C165" s="267" t="n">
        <v>-3886526</v>
      </c>
      <c r="D165" s="267" t="n">
        <v>-3026105</v>
      </c>
      <c r="E165" s="267" t="n">
        <f aca="false">+C165-D165</f>
        <v>-860421</v>
      </c>
      <c r="F165" s="267" t="n">
        <f aca="false">+E165*$F$158</f>
        <v>-843212.58</v>
      </c>
      <c r="G165" s="267" t="n">
        <f aca="false">+E165*$G$158</f>
        <v>-17208.42</v>
      </c>
    </row>
    <row r="166" customFormat="false" ht="14.25" hidden="false" customHeight="false" outlineLevel="0" collapsed="false">
      <c r="B166" s="311" t="s">
        <v>358</v>
      </c>
      <c r="C166" s="322" t="n">
        <v>-502401</v>
      </c>
      <c r="D166" s="322" t="n">
        <v>-494302</v>
      </c>
      <c r="E166" s="322" t="n">
        <f aca="false">+C166-D166</f>
        <v>-8099</v>
      </c>
      <c r="F166" s="267" t="n">
        <f aca="false">+E166*$F$158</f>
        <v>-7937.02</v>
      </c>
      <c r="G166" s="267" t="n">
        <f aca="false">+E166*$G$158</f>
        <v>-161.98</v>
      </c>
    </row>
    <row r="168" customFormat="false" ht="15" hidden="false" customHeight="false" outlineLevel="0" collapsed="false">
      <c r="B168" s="313" t="s">
        <v>374</v>
      </c>
      <c r="C168" s="312" t="n">
        <f aca="false">SUM(C159:C167)</f>
        <v>-102969</v>
      </c>
      <c r="D168" s="312" t="n">
        <f aca="false">SUM(D159:D167)</f>
        <v>196860</v>
      </c>
      <c r="E168" s="312" t="n">
        <f aca="false">SUM(E159:E166)</f>
        <v>-299829</v>
      </c>
      <c r="F168" s="312"/>
      <c r="G168" s="312"/>
      <c r="H168" s="312"/>
    </row>
    <row r="169" customFormat="false" ht="15" hidden="false" customHeight="false" outlineLevel="0" collapsed="false">
      <c r="B169" s="324"/>
      <c r="C169" s="312"/>
      <c r="D169" s="312"/>
      <c r="E169" s="312"/>
    </row>
    <row r="170" customFormat="false" ht="15" hidden="false" customHeight="false" outlineLevel="0" collapsed="false">
      <c r="B170" s="324"/>
      <c r="C170" s="312"/>
      <c r="D170" s="312"/>
      <c r="E170" s="312"/>
    </row>
    <row r="173" customFormat="false" ht="14.25" hidden="false" customHeight="false" outlineLevel="0" collapsed="false">
      <c r="B173" s="331" t="s">
        <v>379</v>
      </c>
      <c r="C173" s="267" t="n">
        <f aca="false">C168-C160</f>
        <v>-509769</v>
      </c>
      <c r="D173" s="267" t="n">
        <f aca="false">D168-D160</f>
        <v>84061</v>
      </c>
      <c r="E173" s="267" t="s">
        <v>380</v>
      </c>
    </row>
    <row r="174" customFormat="false" ht="14.25" hidden="false" customHeight="false" outlineLevel="0" collapsed="false">
      <c r="B174" s="267"/>
    </row>
    <row r="175" customFormat="false" ht="14.25" hidden="false" customHeight="false" outlineLevel="0" collapsed="false">
      <c r="B175" s="331" t="s">
        <v>297</v>
      </c>
      <c r="C175" s="267" t="e">
        <f aca="false">#REF!</f>
        <v>#REF!</v>
      </c>
      <c r="D175" s="267" t="e">
        <f aca="false">#REF!</f>
        <v>#REF!</v>
      </c>
      <c r="G175" s="267" t="n">
        <f aca="false">D173-D176</f>
        <v>82379.78</v>
      </c>
    </row>
    <row r="176" customFormat="false" ht="14.25" hidden="false" customHeight="false" outlineLevel="0" collapsed="false">
      <c r="B176" s="331" t="s">
        <v>381</v>
      </c>
      <c r="C176" s="322" t="n">
        <f aca="false">C173*$G$158</f>
        <v>-10195.38</v>
      </c>
      <c r="D176" s="322" t="n">
        <f aca="false">D173*$G$158</f>
        <v>1681.22</v>
      </c>
      <c r="E176" s="332" t="n">
        <f aca="false">D176*2</f>
        <v>3362.44</v>
      </c>
      <c r="G176" s="267" t="e">
        <f aca="false">D175-G175</f>
        <v>#REF!</v>
      </c>
      <c r="H176" s="331"/>
    </row>
    <row r="177" customFormat="false" ht="14.25" hidden="false" customHeight="false" outlineLevel="0" collapsed="false">
      <c r="B177" s="331" t="s">
        <v>259</v>
      </c>
      <c r="C177" s="267" t="e">
        <f aca="false">SUM(C175:C176)</f>
        <v>#REF!</v>
      </c>
      <c r="D177" s="267" t="e">
        <f aca="false">SUM(D175:D176)</f>
        <v>#REF!</v>
      </c>
    </row>
    <row r="178" customFormat="false" ht="14.25" hidden="false" customHeight="false" outlineLevel="0" collapsed="false">
      <c r="B178" s="331" t="s">
        <v>382</v>
      </c>
      <c r="C178" s="322" t="n">
        <f aca="false">C173</f>
        <v>-509769</v>
      </c>
      <c r="D178" s="322" t="n">
        <f aca="false">D173</f>
        <v>84061</v>
      </c>
    </row>
    <row r="179" customFormat="false" ht="15" hidden="false" customHeight="false" outlineLevel="0" collapsed="false">
      <c r="B179" s="267" t="s">
        <v>62</v>
      </c>
      <c r="C179" s="267" t="e">
        <f aca="false">C177-C178</f>
        <v>#REF!</v>
      </c>
      <c r="D179" s="267" t="e">
        <f aca="false">D177-D178</f>
        <v>#REF!</v>
      </c>
      <c r="E179" s="312" t="s">
        <v>149</v>
      </c>
      <c r="G179" s="311"/>
    </row>
    <row r="182" customFormat="false" ht="15" hidden="false" customHeight="false" outlineLevel="0" collapsed="false">
      <c r="F182" s="312" t="s">
        <v>352</v>
      </c>
      <c r="G182" s="312" t="s">
        <v>353</v>
      </c>
    </row>
    <row r="183" customFormat="false" ht="15" hidden="false" customHeight="false" outlineLevel="0" collapsed="false">
      <c r="B183" s="313" t="s">
        <v>383</v>
      </c>
      <c r="C183" s="314" t="s">
        <v>355</v>
      </c>
      <c r="D183" s="314" t="s">
        <v>356</v>
      </c>
      <c r="E183" s="314" t="s">
        <v>5</v>
      </c>
      <c r="F183" s="315" t="n">
        <f aca="false">+L185</f>
        <v>1</v>
      </c>
      <c r="G183" s="316" t="n">
        <f aca="false">+L186</f>
        <v>0</v>
      </c>
      <c r="H183" s="314"/>
    </row>
    <row r="184" customFormat="false" ht="15" hidden="false" customHeight="false" outlineLevel="0" collapsed="false">
      <c r="B184" s="311" t="s">
        <v>87</v>
      </c>
      <c r="C184" s="267" t="n">
        <v>10000</v>
      </c>
      <c r="D184" s="267" t="n">
        <v>10000</v>
      </c>
      <c r="E184" s="267" t="n">
        <f aca="false">+C184-D184</f>
        <v>0</v>
      </c>
      <c r="F184" s="267" t="n">
        <f aca="false">+E184*$F$183</f>
        <v>0</v>
      </c>
      <c r="G184" s="267" t="n">
        <f aca="false">+E184*$G$183</f>
        <v>0</v>
      </c>
      <c r="K184" s="317" t="n">
        <v>2017</v>
      </c>
      <c r="L184" s="317"/>
    </row>
    <row r="185" customFormat="false" ht="15" hidden="false" customHeight="false" outlineLevel="0" collapsed="false">
      <c r="B185" s="311" t="s">
        <v>88</v>
      </c>
      <c r="C185" s="267" t="n">
        <v>0</v>
      </c>
      <c r="D185" s="267" t="n">
        <v>0</v>
      </c>
      <c r="E185" s="267" t="n">
        <f aca="false">+C185-D185</f>
        <v>0</v>
      </c>
      <c r="F185" s="267" t="n">
        <f aca="false">+E185*$F$183</f>
        <v>0</v>
      </c>
      <c r="G185" s="267" t="n">
        <f aca="false">+E185*$G$183</f>
        <v>0</v>
      </c>
      <c r="J185" s="267" t="s">
        <v>293</v>
      </c>
      <c r="K185" s="330" t="n">
        <v>10000</v>
      </c>
      <c r="L185" s="278" t="n">
        <f aca="false">K185/K187</f>
        <v>1</v>
      </c>
    </row>
    <row r="186" customFormat="false" ht="15" hidden="false" customHeight="false" outlineLevel="0" collapsed="false">
      <c r="B186" s="311" t="s">
        <v>90</v>
      </c>
      <c r="C186" s="267" t="n">
        <v>0</v>
      </c>
      <c r="D186" s="267" t="n">
        <v>0</v>
      </c>
      <c r="E186" s="267" t="n">
        <f aca="false">+C186-D186</f>
        <v>0</v>
      </c>
      <c r="F186" s="267" t="n">
        <f aca="false">+E186*$F$183</f>
        <v>0</v>
      </c>
      <c r="G186" s="267" t="n">
        <f aca="false">+E186*$G$183</f>
        <v>0</v>
      </c>
      <c r="J186" s="267" t="s">
        <v>296</v>
      </c>
      <c r="K186" s="323" t="n">
        <v>0</v>
      </c>
      <c r="L186" s="278" t="n">
        <f aca="false">K186/K187</f>
        <v>0</v>
      </c>
    </row>
    <row r="187" customFormat="false" ht="14.25" hidden="false" customHeight="false" outlineLevel="0" collapsed="false">
      <c r="B187" s="311" t="s">
        <v>91</v>
      </c>
      <c r="C187" s="267" t="n">
        <v>0</v>
      </c>
      <c r="D187" s="267" t="n">
        <v>0</v>
      </c>
      <c r="E187" s="267" t="n">
        <f aca="false">+C187-D187</f>
        <v>0</v>
      </c>
      <c r="F187" s="267" t="n">
        <f aca="false">+E187*$F$183</f>
        <v>0</v>
      </c>
      <c r="G187" s="267" t="n">
        <f aca="false">+E187*$G$183</f>
        <v>0</v>
      </c>
      <c r="K187" s="330" t="n">
        <v>10000</v>
      </c>
      <c r="L187" s="285"/>
    </row>
    <row r="188" customFormat="false" ht="14.25" hidden="false" customHeight="false" outlineLevel="0" collapsed="false">
      <c r="B188" s="311" t="s">
        <v>92</v>
      </c>
      <c r="C188" s="267" t="n">
        <v>0</v>
      </c>
      <c r="D188" s="267" t="n">
        <v>0</v>
      </c>
      <c r="E188" s="267" t="n">
        <f aca="false">+C188-D188</f>
        <v>0</v>
      </c>
      <c r="F188" s="267" t="n">
        <f aca="false">+E188*$F$183</f>
        <v>0</v>
      </c>
      <c r="G188" s="267" t="n">
        <f aca="false">+E188*$G$183</f>
        <v>0</v>
      </c>
    </row>
    <row r="189" customFormat="false" ht="14.25" hidden="false" customHeight="false" outlineLevel="0" collapsed="false">
      <c r="B189" s="311" t="s">
        <v>93</v>
      </c>
      <c r="C189" s="267" t="n">
        <v>0</v>
      </c>
      <c r="D189" s="267" t="n">
        <v>0</v>
      </c>
      <c r="E189" s="267" t="n">
        <f aca="false">+C189-D189</f>
        <v>0</v>
      </c>
      <c r="F189" s="267" t="n">
        <f aca="false">+E189*$F$183</f>
        <v>0</v>
      </c>
      <c r="G189" s="267" t="n">
        <f aca="false">+E189*$G$183</f>
        <v>0</v>
      </c>
    </row>
    <row r="190" customFormat="false" ht="14.25" hidden="false" customHeight="false" outlineLevel="0" collapsed="false">
      <c r="B190" s="311" t="s">
        <v>95</v>
      </c>
      <c r="C190" s="267" t="n">
        <f aca="false">'ESF - ERI'!AD55</f>
        <v>-144335</v>
      </c>
      <c r="D190" s="267" t="n">
        <v>0</v>
      </c>
      <c r="E190" s="267" t="n">
        <f aca="false">+C190-D190</f>
        <v>-144335</v>
      </c>
      <c r="F190" s="267" t="n">
        <f aca="false">+E190*$F$183</f>
        <v>-144335</v>
      </c>
      <c r="G190" s="267" t="n">
        <f aca="false">+E190*$G$183</f>
        <v>-0</v>
      </c>
    </row>
    <row r="191" customFormat="false" ht="14.25" hidden="false" customHeight="false" outlineLevel="0" collapsed="false">
      <c r="B191" s="311" t="s">
        <v>358</v>
      </c>
      <c r="C191" s="322" t="n">
        <f aca="false">'ESF - ERI'!AD56</f>
        <v>-395559</v>
      </c>
      <c r="D191" s="322" t="n">
        <v>-126652</v>
      </c>
      <c r="E191" s="322" t="n">
        <f aca="false">+C191-D191</f>
        <v>-268907</v>
      </c>
      <c r="F191" s="267" t="n">
        <f aca="false">+E191*$F$183</f>
        <v>-268907</v>
      </c>
      <c r="G191" s="267" t="n">
        <f aca="false">+E191*$G$183</f>
        <v>-0</v>
      </c>
    </row>
    <row r="193" customFormat="false" ht="15" hidden="false" customHeight="false" outlineLevel="0" collapsed="false">
      <c r="B193" s="313" t="s">
        <v>374</v>
      </c>
      <c r="C193" s="312" t="n">
        <f aca="false">SUM(C184:C192)</f>
        <v>-529894</v>
      </c>
      <c r="D193" s="312" t="n">
        <f aca="false">SUM(D184:D192)</f>
        <v>-116652</v>
      </c>
      <c r="E193" s="312" t="n">
        <f aca="false">SUM(E184:E191)</f>
        <v>-413242</v>
      </c>
      <c r="F193" s="312"/>
      <c r="G193" s="312"/>
      <c r="H193" s="312"/>
    </row>
    <row r="194" customFormat="false" ht="15" hidden="false" customHeight="false" outlineLevel="0" collapsed="false">
      <c r="B194" s="324" t="s">
        <v>360</v>
      </c>
      <c r="C194" s="312" t="n">
        <f aca="false">+(C193)*$F$141</f>
        <v>-490151.95</v>
      </c>
      <c r="D194" s="312" t="n">
        <f aca="false">+(D193)*$F$141</f>
        <v>-107903.1</v>
      </c>
      <c r="E194" s="312" t="n">
        <f aca="false">+C194-D194</f>
        <v>-382248.85</v>
      </c>
    </row>
    <row r="195" customFormat="false" ht="15" hidden="false" customHeight="false" outlineLevel="0" collapsed="false">
      <c r="B195" s="324" t="s">
        <v>361</v>
      </c>
      <c r="C195" s="312" t="n">
        <f aca="false">+C193*$G$141</f>
        <v>-39742.05</v>
      </c>
      <c r="D195" s="312" t="n">
        <f aca="false">+D193*$G$141</f>
        <v>-8748.9</v>
      </c>
      <c r="E195" s="312" t="n">
        <f aca="false">+C195-D195</f>
        <v>-30993.15</v>
      </c>
    </row>
    <row r="196" customFormat="false" ht="15" hidden="false" customHeight="false" outlineLevel="0" collapsed="false">
      <c r="B196" s="324" t="s">
        <v>259</v>
      </c>
      <c r="C196" s="312" t="n">
        <f aca="false">SUM(C194:C195)</f>
        <v>-529894</v>
      </c>
      <c r="D196" s="312" t="n">
        <f aca="false">SUM(D194:D195)</f>
        <v>-116652</v>
      </c>
      <c r="E196" s="312" t="n">
        <f aca="false">+C196-D196</f>
        <v>-413242</v>
      </c>
    </row>
    <row r="197" customFormat="false" ht="15" hidden="false" customHeight="false" outlineLevel="0" collapsed="false">
      <c r="B197" s="324"/>
      <c r="C197" s="267" t="n">
        <f aca="false">C193-C196</f>
        <v>0</v>
      </c>
      <c r="D197" s="267" t="n">
        <f aca="false">D193-D196</f>
        <v>0</v>
      </c>
    </row>
    <row r="201" customFormat="false" ht="15" hidden="false" customHeight="false" outlineLevel="0" collapsed="false">
      <c r="B201" s="313" t="s">
        <v>384</v>
      </c>
      <c r="C201" s="312" t="e">
        <f aca="false">+C14+C33+C49+C67+C85+C102+C119+C136+C152+D175+C194</f>
        <v>#REF!</v>
      </c>
      <c r="D201" s="312" t="e">
        <f aca="false">+D14+D33+D49+D67+D85+D102+D119+D136+D152+D175+D194</f>
        <v>#REF!</v>
      </c>
      <c r="E201" s="267" t="e">
        <f aca="false">+C201-D201</f>
        <v>#REF!</v>
      </c>
      <c r="J201" s="267" t="s">
        <v>293</v>
      </c>
      <c r="K201" s="312" t="n">
        <f aca="false">+K4+K10+K21+K40+K56+K74+K93+K110+K127+K143+K160+K185</f>
        <v>36644382.96</v>
      </c>
      <c r="M201" s="312" t="n">
        <f aca="false">+M4+M10+M21+M40+M56+M74+M93+M110+M127+M143+M160+M185</f>
        <v>37131561.96</v>
      </c>
    </row>
    <row r="202" customFormat="false" ht="15" hidden="false" customHeight="false" outlineLevel="0" collapsed="false">
      <c r="B202" s="313" t="s">
        <v>385</v>
      </c>
      <c r="C202" s="312" t="n">
        <f aca="false">+C15+C34+C50+C68+C86+C103+C120+C137+C153+D176+C195</f>
        <v>10783392.6714058</v>
      </c>
      <c r="D202" s="312" t="n">
        <f aca="false">+D15+D34+D50+D68+D86+D103+D120+D137+D153+D176+D195</f>
        <v>11152518.2523372</v>
      </c>
      <c r="E202" s="267" t="n">
        <f aca="false">+C202-D202</f>
        <v>-369125.580931431</v>
      </c>
      <c r="J202" s="267" t="s">
        <v>296</v>
      </c>
      <c r="K202" s="312" t="n">
        <f aca="false">+K5+K11+K22+K41+K57+K75+K94+K111+K128+K144+K161+K186</f>
        <v>10505669.04</v>
      </c>
      <c r="M202" s="312" t="n">
        <f aca="false">+M5+M11+M22+M41+M57+M75+M94+M111+M128+M144+M161+M186</f>
        <v>10505669.04</v>
      </c>
    </row>
    <row r="203" customFormat="false" ht="15" hidden="false" customHeight="false" outlineLevel="0" collapsed="false">
      <c r="B203" s="313" t="s">
        <v>386</v>
      </c>
      <c r="C203" s="312" t="e">
        <f aca="false">+C16+C35+C51+C69+C87+C104+C121+C138+C154+D177+C196</f>
        <v>#REF!</v>
      </c>
      <c r="D203" s="312" t="e">
        <f aca="false">+D16+D35+D51+D69+D87+D104+D121+D138+D154+D177+D196</f>
        <v>#REF!</v>
      </c>
      <c r="E203" s="267" t="e">
        <f aca="false">+C203-D203</f>
        <v>#REF!</v>
      </c>
      <c r="K203" s="267" t="n">
        <f aca="false">SUM(K201:K202)</f>
        <v>47150052</v>
      </c>
      <c r="M203" s="267" t="n">
        <f aca="false">SUM(M201:M202)</f>
        <v>47637231</v>
      </c>
    </row>
    <row r="204" customFormat="false" ht="15" hidden="false" customHeight="false" outlineLevel="0" collapsed="false">
      <c r="B204" s="313" t="s">
        <v>387</v>
      </c>
      <c r="C204" s="333" t="e">
        <f aca="false">C201+C202-C203</f>
        <v>#REF!</v>
      </c>
      <c r="D204" s="333" t="e">
        <f aca="false">D201+D202-D203</f>
        <v>#REF!</v>
      </c>
      <c r="E204" s="267" t="e">
        <f aca="false">+C204-D204</f>
        <v>#REF!</v>
      </c>
    </row>
    <row r="205" customFormat="false" ht="14.25" hidden="false" customHeight="false" outlineLevel="0" collapsed="false">
      <c r="C205" s="267" t="e">
        <f aca="false">+C202-'ESF - ERI'!AI57</f>
        <v>#REF!</v>
      </c>
      <c r="K205" s="334" t="n">
        <v>44513438</v>
      </c>
    </row>
    <row r="206" customFormat="false" ht="14.25" hidden="false" customHeight="false" outlineLevel="0" collapsed="false">
      <c r="K206" s="335" t="n">
        <v>6468792</v>
      </c>
    </row>
    <row r="207" customFormat="false" ht="14.25" hidden="false" customHeight="false" outlineLevel="0" collapsed="false">
      <c r="C207" s="311" t="n">
        <v>38835024.05</v>
      </c>
      <c r="K207" s="267" t="n">
        <f aca="false">K205-K206</f>
        <v>38044646</v>
      </c>
      <c r="L207" s="311" t="n">
        <v>38835024.05</v>
      </c>
      <c r="M207" s="326" t="n">
        <f aca="false">L207-K207</f>
        <v>790378.049999997</v>
      </c>
    </row>
    <row r="208" customFormat="false" ht="14.25" hidden="false" customHeight="false" outlineLevel="0" collapsed="false">
      <c r="C208" s="267" t="e">
        <f aca="false">C207-C201</f>
        <v>#REF!</v>
      </c>
      <c r="K208" s="267" t="n">
        <f aca="false">K201-K207</f>
        <v>-1400263.04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K92:L92"/>
    <mergeCell ref="M92:N92"/>
    <mergeCell ref="O92:P92"/>
    <mergeCell ref="K109:L109"/>
    <mergeCell ref="M109:N109"/>
    <mergeCell ref="O109:P109"/>
    <mergeCell ref="K126:L126"/>
    <mergeCell ref="M126:N126"/>
    <mergeCell ref="O126:P126"/>
    <mergeCell ref="K142:L142"/>
    <mergeCell ref="M142:N142"/>
    <mergeCell ref="O142:P142"/>
    <mergeCell ref="K159:L159"/>
    <mergeCell ref="M159:N159"/>
    <mergeCell ref="K184:L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Y2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8" activeCellId="0" sqref="J18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311" width="11.42"/>
    <col collapsed="false" customWidth="true" hidden="false" outlineLevel="0" max="2" min="2" style="311" width="37.42"/>
    <col collapsed="false" customWidth="true" hidden="false" outlineLevel="0" max="3" min="3" style="311" width="15.71"/>
    <col collapsed="false" customWidth="true" hidden="false" outlineLevel="0" max="4" min="4" style="267" width="13.7"/>
    <col collapsed="false" customWidth="true" hidden="false" outlineLevel="0" max="5" min="5" style="267" width="14.43"/>
    <col collapsed="false" customWidth="true" hidden="false" outlineLevel="0" max="6" min="6" style="267" width="17.13"/>
    <col collapsed="false" customWidth="true" hidden="false" outlineLevel="0" max="7" min="7" style="267" width="20.57"/>
    <col collapsed="false" customWidth="true" hidden="false" outlineLevel="0" max="8" min="8" style="267" width="21.29"/>
    <col collapsed="false" customWidth="true" hidden="false" outlineLevel="0" max="9" min="9" style="267" width="13.7"/>
    <col collapsed="false" customWidth="true" hidden="false" outlineLevel="0" max="10" min="10" style="267" width="17.4"/>
    <col collapsed="false" customWidth="true" hidden="false" outlineLevel="0" max="11" min="11" style="267" width="19.14"/>
    <col collapsed="false" customWidth="true" hidden="false" outlineLevel="0" max="12" min="12" style="267" width="13.7"/>
    <col collapsed="false" customWidth="true" hidden="false" outlineLevel="0" max="13" min="13" style="267" width="14.69"/>
    <col collapsed="false" customWidth="true" hidden="false" outlineLevel="0" max="16" min="14" style="267" width="17.59"/>
    <col collapsed="false" customWidth="true" hidden="false" outlineLevel="0" max="17" min="17" style="267" width="15.15"/>
    <col collapsed="false" customWidth="true" hidden="false" outlineLevel="0" max="18" min="18" style="311" width="13.43"/>
    <col collapsed="false" customWidth="true" hidden="false" outlineLevel="0" max="19" min="19" style="311" width="15.15"/>
    <col collapsed="false" customWidth="true" hidden="false" outlineLevel="0" max="20" min="20" style="311" width="13.43"/>
    <col collapsed="false" customWidth="true" hidden="false" outlineLevel="0" max="21" min="21" style="311" width="14.28"/>
    <col collapsed="false" customWidth="true" hidden="false" outlineLevel="0" max="22" min="22" style="311" width="10.29"/>
    <col collapsed="false" customWidth="false" hidden="false" outlineLevel="0" max="23" min="23" style="311" width="11.42"/>
    <col collapsed="false" customWidth="true" hidden="false" outlineLevel="0" max="24" min="24" style="311" width="19.42"/>
    <col collapsed="false" customWidth="true" hidden="false" outlineLevel="0" max="25" min="25" style="311" width="16.29"/>
    <col collapsed="false" customWidth="false" hidden="false" outlineLevel="0" max="1024" min="26" style="311" width="11.42"/>
  </cols>
  <sheetData>
    <row r="2" customFormat="false" ht="15" hidden="false" customHeight="false" outlineLevel="0" collapsed="false">
      <c r="F2" s="312" t="s">
        <v>352</v>
      </c>
      <c r="G2" s="312" t="s">
        <v>353</v>
      </c>
    </row>
    <row r="3" customFormat="false" ht="15" hidden="false" customHeight="false" outlineLevel="0" collapsed="false">
      <c r="B3" s="313" t="s">
        <v>388</v>
      </c>
      <c r="C3" s="314" t="s">
        <v>389</v>
      </c>
      <c r="D3" s="314" t="s">
        <v>355</v>
      </c>
      <c r="E3" s="314" t="s">
        <v>5</v>
      </c>
      <c r="F3" s="314"/>
      <c r="G3" s="314"/>
    </row>
    <row r="4" customFormat="false" ht="14.25" hidden="false" customHeight="false" outlineLevel="0" collapsed="false">
      <c r="B4" s="311" t="s">
        <v>87</v>
      </c>
      <c r="C4" s="267" t="n">
        <v>35042687</v>
      </c>
      <c r="D4" s="267" t="n">
        <v>30006697</v>
      </c>
      <c r="E4" s="267" t="n">
        <f aca="false">C4-D4</f>
        <v>5035990</v>
      </c>
      <c r="F4" s="267" t="n">
        <v>35572466.87</v>
      </c>
      <c r="G4" s="267" t="n">
        <f aca="false">C4-F4</f>
        <v>-529779.869999997</v>
      </c>
    </row>
    <row r="5" customFormat="false" ht="14.25" hidden="false" customHeight="false" outlineLevel="0" collapsed="false">
      <c r="B5" s="311" t="s">
        <v>88</v>
      </c>
      <c r="C5" s="267" t="n">
        <v>921</v>
      </c>
      <c r="D5" s="267" t="n">
        <v>920</v>
      </c>
      <c r="E5" s="267" t="n">
        <f aca="false">C5-D5</f>
        <v>1</v>
      </c>
      <c r="F5" s="267" t="n">
        <v>921</v>
      </c>
      <c r="G5" s="267" t="n">
        <f aca="false">C5-F5</f>
        <v>0</v>
      </c>
    </row>
    <row r="6" customFormat="false" ht="14.25" hidden="false" customHeight="false" outlineLevel="0" collapsed="false">
      <c r="B6" s="311" t="s">
        <v>90</v>
      </c>
      <c r="C6" s="267" t="n">
        <v>5222508.56</v>
      </c>
      <c r="D6" s="267" t="n">
        <v>4662954</v>
      </c>
      <c r="E6" s="267" t="n">
        <f aca="false">C6-D6</f>
        <v>559554.56</v>
      </c>
      <c r="F6" s="267" t="n">
        <v>5222508.56</v>
      </c>
      <c r="G6" s="267" t="n">
        <f aca="false">C6-F6</f>
        <v>0</v>
      </c>
    </row>
    <row r="7" customFormat="false" ht="14.25" hidden="false" customHeight="false" outlineLevel="0" collapsed="false">
      <c r="B7" s="311" t="s">
        <v>91</v>
      </c>
      <c r="C7" s="267" t="n">
        <v>34797</v>
      </c>
      <c r="D7" s="267" t="n">
        <v>34797</v>
      </c>
      <c r="E7" s="267" t="n">
        <f aca="false">C7-D7</f>
        <v>0</v>
      </c>
      <c r="F7" s="267" t="n">
        <v>34797</v>
      </c>
      <c r="G7" s="267" t="n">
        <f aca="false">C7-F7</f>
        <v>0</v>
      </c>
    </row>
    <row r="8" customFormat="false" ht="14.25" hidden="false" customHeight="false" outlineLevel="0" collapsed="false">
      <c r="B8" s="311" t="s">
        <v>92</v>
      </c>
      <c r="C8" s="267" t="n">
        <v>227072</v>
      </c>
      <c r="D8" s="267" t="n">
        <v>227072</v>
      </c>
      <c r="E8" s="267" t="n">
        <f aca="false">C8-D8</f>
        <v>0</v>
      </c>
      <c r="F8" s="267" t="n">
        <v>227072</v>
      </c>
      <c r="G8" s="267" t="n">
        <f aca="false">C8-F8</f>
        <v>0</v>
      </c>
    </row>
    <row r="9" customFormat="false" ht="14.25" hidden="false" customHeight="false" outlineLevel="0" collapsed="false">
      <c r="B9" s="311" t="s">
        <v>93</v>
      </c>
      <c r="C9" s="267" t="n">
        <v>-3202431</v>
      </c>
      <c r="D9" s="267" t="n">
        <v>-3202431</v>
      </c>
      <c r="E9" s="267" t="n">
        <f aca="false">C9-D9</f>
        <v>0</v>
      </c>
      <c r="F9" s="267" t="n">
        <v>-3202431</v>
      </c>
      <c r="G9" s="267" t="n">
        <f aca="false">C9-F9</f>
        <v>0</v>
      </c>
    </row>
    <row r="10" customFormat="false" ht="14.25" hidden="false" customHeight="false" outlineLevel="0" collapsed="false">
      <c r="B10" s="311" t="s">
        <v>94</v>
      </c>
      <c r="C10" s="267" t="n">
        <v>1919745</v>
      </c>
      <c r="D10" s="267" t="n">
        <v>1353857</v>
      </c>
      <c r="E10" s="267" t="n">
        <f aca="false">C10-D10</f>
        <v>565888</v>
      </c>
      <c r="F10" s="267" t="n">
        <v>1919745</v>
      </c>
      <c r="G10" s="267" t="n">
        <f aca="false">C10-F10</f>
        <v>0</v>
      </c>
    </row>
    <row r="11" customFormat="false" ht="14.25" hidden="false" customHeight="false" outlineLevel="0" collapsed="false">
      <c r="B11" s="311" t="s">
        <v>95</v>
      </c>
      <c r="C11" s="267" t="n">
        <v>32771651.62</v>
      </c>
      <c r="D11" s="267" t="n">
        <v>32161891</v>
      </c>
      <c r="E11" s="267" t="n">
        <f aca="false">C11-D11-D12</f>
        <v>-4985784.38</v>
      </c>
      <c r="F11" s="267" t="n">
        <v>34136487.083123</v>
      </c>
      <c r="G11" s="267" t="n">
        <f aca="false">C11-F11</f>
        <v>-1364835.463123</v>
      </c>
      <c r="H11" s="267" t="n">
        <f aca="false">C11-D11</f>
        <v>609760.620000001</v>
      </c>
    </row>
    <row r="12" customFormat="false" ht="14.25" hidden="false" customHeight="false" outlineLevel="0" collapsed="false">
      <c r="B12" s="311" t="s">
        <v>358</v>
      </c>
      <c r="C12" s="267" t="n">
        <v>9337751.44</v>
      </c>
      <c r="D12" s="267" t="n">
        <v>5595545</v>
      </c>
      <c r="E12" s="267" t="n">
        <f aca="false">C12</f>
        <v>9337751.44</v>
      </c>
      <c r="F12" s="267" t="n">
        <v>6158394.4975136</v>
      </c>
      <c r="G12" s="267" t="n">
        <f aca="false">C12-F12-F13</f>
        <v>4205080.90000002</v>
      </c>
    </row>
    <row r="13" customFormat="false" ht="14.25" hidden="false" customHeight="false" outlineLevel="0" collapsed="false">
      <c r="C13" s="267"/>
      <c r="F13" s="267" t="n">
        <v>-1025723.95751362</v>
      </c>
    </row>
    <row r="14" customFormat="false" ht="15" hidden="false" customHeight="false" outlineLevel="0" collapsed="false">
      <c r="B14" s="313" t="s">
        <v>359</v>
      </c>
      <c r="C14" s="336" t="n">
        <f aca="false">SUM(C4:C12)</f>
        <v>81354702.62</v>
      </c>
      <c r="D14" s="312" t="n">
        <f aca="false">SUM(D4:D12)</f>
        <v>70841302</v>
      </c>
      <c r="E14" s="312" t="n">
        <f aca="false">SUM(E4:E12)</f>
        <v>10513400.62</v>
      </c>
    </row>
    <row r="20" customFormat="false" ht="15" hidden="false" customHeight="false" outlineLevel="0" collapsed="false">
      <c r="F20" s="312" t="s">
        <v>352</v>
      </c>
      <c r="G20" s="312" t="s">
        <v>353</v>
      </c>
      <c r="J20" s="312" t="s">
        <v>352</v>
      </c>
      <c r="K20" s="312" t="s">
        <v>353</v>
      </c>
    </row>
    <row r="21" customFormat="false" ht="15" hidden="false" customHeight="false" outlineLevel="0" collapsed="false">
      <c r="B21" s="313" t="s">
        <v>354</v>
      </c>
      <c r="C21" s="314" t="s">
        <v>389</v>
      </c>
      <c r="D21" s="314" t="s">
        <v>355</v>
      </c>
      <c r="E21" s="314" t="s">
        <v>5</v>
      </c>
      <c r="F21" s="314"/>
      <c r="G21" s="314"/>
      <c r="H21" s="314" t="s">
        <v>356</v>
      </c>
      <c r="I21" s="314" t="s">
        <v>5</v>
      </c>
      <c r="J21" s="315" t="n">
        <f aca="false">+R23</f>
        <v>0.7502</v>
      </c>
      <c r="K21" s="316" t="n">
        <f aca="false">+R24</f>
        <v>0.2498</v>
      </c>
      <c r="L21" s="314"/>
    </row>
    <row r="22" customFormat="false" ht="15" hidden="false" customHeight="false" outlineLevel="0" collapsed="false">
      <c r="B22" s="311" t="s">
        <v>87</v>
      </c>
      <c r="C22" s="267" t="n">
        <f aca="false">Participaciones!E3</f>
        <v>0</v>
      </c>
      <c r="D22" s="267" t="n">
        <v>5000</v>
      </c>
      <c r="E22" s="267" t="n">
        <f aca="false">C22-D22</f>
        <v>-5000</v>
      </c>
      <c r="H22" s="267" t="n">
        <v>5000</v>
      </c>
      <c r="I22" s="267" t="n">
        <f aca="false">+D22-H22</f>
        <v>0</v>
      </c>
      <c r="J22" s="267" t="n">
        <f aca="false">+I22*$J$21</f>
        <v>0</v>
      </c>
      <c r="K22" s="267" t="n">
        <f aca="false">+I22*$K$21</f>
        <v>0</v>
      </c>
      <c r="O22" s="317" t="n">
        <v>2018</v>
      </c>
      <c r="P22" s="317"/>
      <c r="Q22" s="317" t="n">
        <v>2017</v>
      </c>
      <c r="R22" s="317"/>
      <c r="S22" s="317" t="n">
        <v>2016</v>
      </c>
      <c r="T22" s="317"/>
      <c r="U22" s="317" t="s">
        <v>5</v>
      </c>
      <c r="V22" s="317"/>
    </row>
    <row r="23" customFormat="false" ht="15" hidden="false" customHeight="false" outlineLevel="0" collapsed="false">
      <c r="B23" s="311" t="s">
        <v>88</v>
      </c>
      <c r="C23" s="267" t="n">
        <f aca="false">Participaciones!E4</f>
        <v>0</v>
      </c>
      <c r="D23" s="267" t="n">
        <f aca="false">'ESF - ERI'!T49</f>
        <v>42340052</v>
      </c>
      <c r="E23" s="267" t="n">
        <f aca="false">C23-D23</f>
        <v>-42340052</v>
      </c>
      <c r="H23" s="267" t="n">
        <v>42837231</v>
      </c>
      <c r="I23" s="267" t="n">
        <f aca="false">+D23-H23</f>
        <v>-497179</v>
      </c>
      <c r="J23" s="267" t="n">
        <f aca="false">+I23*$J$21</f>
        <v>-372983.6858</v>
      </c>
      <c r="K23" s="267" t="n">
        <f aca="false">+I23*$K$21</f>
        <v>-124195.3142</v>
      </c>
      <c r="N23" s="267" t="s">
        <v>293</v>
      </c>
      <c r="O23" s="277" t="n">
        <v>3751</v>
      </c>
      <c r="P23" s="278" t="n">
        <f aca="false">+O23/$O$25</f>
        <v>0.7502</v>
      </c>
      <c r="Q23" s="277" t="n">
        <v>3751</v>
      </c>
      <c r="R23" s="278" t="n">
        <f aca="false">+Q23/$Q$25</f>
        <v>0.7502</v>
      </c>
      <c r="S23" s="277" t="n">
        <v>3751</v>
      </c>
      <c r="T23" s="278" t="n">
        <f aca="false">+S23/$S$25</f>
        <v>0.7502</v>
      </c>
      <c r="U23" s="277" t="n">
        <f aca="false">+Q23-S23</f>
        <v>0</v>
      </c>
      <c r="V23" s="278" t="n">
        <f aca="false">+R23-T23</f>
        <v>0</v>
      </c>
    </row>
    <row r="24" customFormat="false" ht="15" hidden="false" customHeight="false" outlineLevel="0" collapsed="false">
      <c r="B24" s="311" t="s">
        <v>90</v>
      </c>
      <c r="C24" s="267" t="n">
        <f aca="false">Participaciones!E5</f>
        <v>0</v>
      </c>
      <c r="D24" s="267" t="n">
        <v>0</v>
      </c>
      <c r="E24" s="267" t="n">
        <f aca="false">C24-D24</f>
        <v>0</v>
      </c>
      <c r="I24" s="267" t="n">
        <f aca="false">+D24-H24</f>
        <v>0</v>
      </c>
      <c r="J24" s="267" t="n">
        <f aca="false">+I24*$J$21</f>
        <v>0</v>
      </c>
      <c r="K24" s="267" t="n">
        <f aca="false">+I24*$K$21</f>
        <v>0</v>
      </c>
      <c r="N24" s="267" t="s">
        <v>296</v>
      </c>
      <c r="O24" s="282" t="n">
        <v>1249</v>
      </c>
      <c r="P24" s="278" t="n">
        <f aca="false">+O24/$O$25</f>
        <v>0.2498</v>
      </c>
      <c r="Q24" s="282" t="n">
        <v>1249</v>
      </c>
      <c r="R24" s="278" t="n">
        <f aca="false">+Q24/$Q$25</f>
        <v>0.2498</v>
      </c>
      <c r="S24" s="282" t="n">
        <v>1249</v>
      </c>
      <c r="T24" s="278" t="n">
        <f aca="false">+S24/$S$25</f>
        <v>0.2498</v>
      </c>
      <c r="U24" s="277" t="n">
        <f aca="false">+Q24-S24</f>
        <v>0</v>
      </c>
      <c r="V24" s="278" t="n">
        <f aca="false">+R24-T24</f>
        <v>0</v>
      </c>
    </row>
    <row r="25" customFormat="false" ht="14.25" hidden="false" customHeight="false" outlineLevel="0" collapsed="false">
      <c r="B25" s="311" t="s">
        <v>91</v>
      </c>
      <c r="C25" s="267" t="n">
        <f aca="false">Participaciones!E6</f>
        <v>0</v>
      </c>
      <c r="D25" s="267" t="n">
        <v>0</v>
      </c>
      <c r="E25" s="267" t="n">
        <f aca="false">C25-D25</f>
        <v>0</v>
      </c>
      <c r="I25" s="267" t="n">
        <f aca="false">+D25-H25</f>
        <v>0</v>
      </c>
      <c r="J25" s="267" t="n">
        <f aca="false">+I25*$J$21</f>
        <v>0</v>
      </c>
      <c r="K25" s="267" t="n">
        <f aca="false">+I25*$K$21</f>
        <v>0</v>
      </c>
      <c r="O25" s="277" t="n">
        <f aca="false">SUM(O23:O24)</f>
        <v>5000</v>
      </c>
      <c r="P25" s="285"/>
      <c r="Q25" s="277" t="n">
        <f aca="false">SUM(Q23:Q24)</f>
        <v>5000</v>
      </c>
      <c r="R25" s="285"/>
      <c r="S25" s="277" t="n">
        <f aca="false">SUM(S23:S24)</f>
        <v>5000</v>
      </c>
      <c r="T25" s="285"/>
      <c r="U25" s="277" t="n">
        <f aca="false">SUM(U23:U24)</f>
        <v>0</v>
      </c>
      <c r="V25" s="285"/>
      <c r="X25" s="318"/>
    </row>
    <row r="26" customFormat="false" ht="14.25" hidden="false" customHeight="false" outlineLevel="0" collapsed="false">
      <c r="B26" s="311" t="s">
        <v>92</v>
      </c>
      <c r="C26" s="267" t="n">
        <f aca="false">Participaciones!E7</f>
        <v>0</v>
      </c>
      <c r="D26" s="267" t="n">
        <v>0</v>
      </c>
      <c r="E26" s="267" t="n">
        <f aca="false">C26-D26</f>
        <v>0</v>
      </c>
      <c r="I26" s="267" t="n">
        <f aca="false">+D26-H26</f>
        <v>0</v>
      </c>
      <c r="J26" s="267" t="n">
        <f aca="false">+I26*$J$21</f>
        <v>0</v>
      </c>
      <c r="K26" s="267" t="n">
        <f aca="false">+I26*$K$21</f>
        <v>0</v>
      </c>
      <c r="X26" s="318"/>
    </row>
    <row r="27" customFormat="false" ht="15" hidden="false" customHeight="false" outlineLevel="0" collapsed="false">
      <c r="B27" s="311" t="s">
        <v>94</v>
      </c>
      <c r="C27" s="267" t="n">
        <f aca="false">Participaciones!E8</f>
        <v>0</v>
      </c>
      <c r="D27" s="267" t="n">
        <v>0</v>
      </c>
      <c r="E27" s="267" t="n">
        <f aca="false">C27-D27</f>
        <v>0</v>
      </c>
      <c r="I27" s="267" t="n">
        <f aca="false">+D27-H27</f>
        <v>0</v>
      </c>
      <c r="J27" s="267" t="n">
        <f aca="false">+I27*$J$21</f>
        <v>0</v>
      </c>
      <c r="K27" s="267" t="n">
        <f aca="false">+I27*$K$21</f>
        <v>0</v>
      </c>
      <c r="N27" s="312" t="s">
        <v>357</v>
      </c>
      <c r="O27" s="312"/>
      <c r="P27" s="312"/>
      <c r="Q27" s="317" t="n">
        <v>2017</v>
      </c>
      <c r="R27" s="317"/>
      <c r="S27" s="317" t="n">
        <v>2016</v>
      </c>
      <c r="T27" s="317"/>
      <c r="U27" s="317" t="s">
        <v>5</v>
      </c>
      <c r="V27" s="317"/>
    </row>
    <row r="28" customFormat="false" ht="15" hidden="false" customHeight="false" outlineLevel="0" collapsed="false">
      <c r="B28" s="311" t="s">
        <v>95</v>
      </c>
      <c r="C28" s="267" t="n">
        <v>0</v>
      </c>
      <c r="D28" s="267" t="n">
        <f aca="false">'ESF - ERI'!T55</f>
        <v>2254833</v>
      </c>
      <c r="E28" s="267" t="n">
        <f aca="false">C28-D28</f>
        <v>-2254833</v>
      </c>
      <c r="H28" s="267" t="n">
        <v>-392726</v>
      </c>
      <c r="I28" s="320" t="n">
        <f aca="false">+D28-H28</f>
        <v>2647559</v>
      </c>
      <c r="J28" s="267" t="n">
        <f aca="false">+I28*$J$21</f>
        <v>1986198.7618</v>
      </c>
      <c r="K28" s="267" t="n">
        <f aca="false">+I28*$K$21</f>
        <v>661360.2382</v>
      </c>
      <c r="N28" s="267" t="s">
        <v>293</v>
      </c>
      <c r="Q28" s="267" t="n">
        <f aca="false">32414459-497179</f>
        <v>31917280</v>
      </c>
      <c r="R28" s="321" t="n">
        <f aca="false">+Q28/Q30</f>
        <v>0.753831856418126</v>
      </c>
      <c r="S28" s="267" t="n">
        <v>32414459</v>
      </c>
      <c r="T28" s="321" t="n">
        <f aca="false">+S28/S30</f>
        <v>0.75668894191597</v>
      </c>
      <c r="U28" s="277" t="n">
        <f aca="false">+Q28-S28</f>
        <v>-497179</v>
      </c>
      <c r="V28" s="278" t="n">
        <f aca="false">+R28-T28</f>
        <v>-0.00285708549784403</v>
      </c>
      <c r="X28" s="273" t="n">
        <f aca="false">H23*T24</f>
        <v>10700740.3038</v>
      </c>
      <c r="Y28" s="318"/>
    </row>
    <row r="29" customFormat="false" ht="15" hidden="false" customHeight="false" outlineLevel="0" collapsed="false">
      <c r="B29" s="311" t="s">
        <v>358</v>
      </c>
      <c r="C29" s="337" t="n">
        <f aca="false">Participaciones!E11</f>
        <v>0</v>
      </c>
      <c r="D29" s="322" t="n">
        <f aca="false">'ESF - ERI'!T56</f>
        <v>-1077724</v>
      </c>
      <c r="E29" s="322" t="n">
        <f aca="false">C29-D29</f>
        <v>1077724</v>
      </c>
      <c r="F29" s="322"/>
      <c r="G29" s="322"/>
      <c r="H29" s="322" t="n">
        <v>1823983</v>
      </c>
      <c r="I29" s="322" t="n">
        <f aca="false">+D29-H29</f>
        <v>-2901707</v>
      </c>
      <c r="J29" s="322" t="n">
        <f aca="false">+I29*$J$21</f>
        <v>-2176860.5914</v>
      </c>
      <c r="K29" s="322" t="n">
        <f aca="false">+I29*$K$21</f>
        <v>-724846.4086</v>
      </c>
      <c r="N29" s="267" t="s">
        <v>296</v>
      </c>
      <c r="Q29" s="322" t="n">
        <v>10422772</v>
      </c>
      <c r="R29" s="321" t="n">
        <f aca="false">+Q29/Q30</f>
        <v>0.246168143581874</v>
      </c>
      <c r="S29" s="322" t="n">
        <v>10422772</v>
      </c>
      <c r="T29" s="321" t="n">
        <f aca="false">+S29/S30</f>
        <v>0.24331105808403</v>
      </c>
      <c r="U29" s="323" t="n">
        <f aca="false">+Q29-S29</f>
        <v>0</v>
      </c>
      <c r="V29" s="278" t="n">
        <f aca="false">+R29-T29</f>
        <v>0.00285708549784397</v>
      </c>
      <c r="X29" s="318"/>
    </row>
    <row r="30" customFormat="false" ht="15" hidden="false" customHeight="false" outlineLevel="0" collapsed="false">
      <c r="C30" s="267"/>
      <c r="Q30" s="312" t="n">
        <f aca="false">SUM(Q28:Q29)</f>
        <v>42340052</v>
      </c>
      <c r="S30" s="312" t="n">
        <f aca="false">SUM(S28:S29)</f>
        <v>42837231</v>
      </c>
      <c r="U30" s="277" t="n">
        <f aca="false">SUM(U28:U29)</f>
        <v>-497179</v>
      </c>
      <c r="V30" s="285"/>
    </row>
    <row r="31" customFormat="false" ht="15" hidden="false" customHeight="false" outlineLevel="0" collapsed="false">
      <c r="B31" s="313" t="s">
        <v>359</v>
      </c>
      <c r="C31" s="312" t="n">
        <f aca="false">SUM(C22:C29)</f>
        <v>0</v>
      </c>
      <c r="D31" s="312" t="n">
        <f aca="false">SUM(D22:D29)</f>
        <v>43522161</v>
      </c>
      <c r="E31" s="312" t="n">
        <f aca="false">SUM(E22:E29)</f>
        <v>-43522161</v>
      </c>
      <c r="F31" s="312" t="n">
        <f aca="false">SUM(F22:F29)</f>
        <v>0</v>
      </c>
      <c r="G31" s="312" t="n">
        <f aca="false">SUM(G22:G29)</f>
        <v>0</v>
      </c>
      <c r="H31" s="312" t="n">
        <f aca="false">SUM(H22:H30)</f>
        <v>44273488</v>
      </c>
      <c r="I31" s="312" t="n">
        <f aca="false">SUM(I22:I29)</f>
        <v>-751327</v>
      </c>
      <c r="J31" s="312" t="n">
        <f aca="false">SUM(J22:J29)</f>
        <v>-563645.5154</v>
      </c>
      <c r="K31" s="312" t="n">
        <f aca="false">SUM(K22:K29)</f>
        <v>-187681.4846</v>
      </c>
      <c r="L31" s="312"/>
    </row>
    <row r="32" customFormat="false" ht="15" hidden="false" customHeight="false" outlineLevel="0" collapsed="false">
      <c r="B32" s="324" t="s">
        <v>360</v>
      </c>
      <c r="C32" s="312" t="n">
        <f aca="false">+(C31)*$F$21</f>
        <v>0</v>
      </c>
      <c r="D32" s="312" t="n">
        <f aca="false">+(D31)*$J$21</f>
        <v>32650325.1822</v>
      </c>
      <c r="E32" s="312" t="n">
        <f aca="false">C32-D32</f>
        <v>-32650325.1822</v>
      </c>
      <c r="F32" s="312"/>
      <c r="G32" s="312"/>
      <c r="H32" s="312" t="n">
        <f aca="false">+(H31)*$J$21</f>
        <v>33213970.6976</v>
      </c>
      <c r="I32" s="312" t="n">
        <f aca="false">+D32-H32</f>
        <v>-563645.515399996</v>
      </c>
      <c r="J32" s="312"/>
      <c r="K32" s="312"/>
      <c r="L32" s="312"/>
    </row>
    <row r="33" customFormat="false" ht="15" hidden="false" customHeight="false" outlineLevel="0" collapsed="false">
      <c r="B33" s="324" t="s">
        <v>361</v>
      </c>
      <c r="C33" s="312" t="n">
        <f aca="false">+(C31)*$G$21</f>
        <v>0</v>
      </c>
      <c r="D33" s="312" t="n">
        <f aca="false">+(D31)*$K$21</f>
        <v>10871835.8178</v>
      </c>
      <c r="E33" s="312" t="n">
        <f aca="false">C33-D33</f>
        <v>-10871835.8178</v>
      </c>
      <c r="F33" s="312"/>
      <c r="G33" s="312"/>
      <c r="H33" s="312" t="n">
        <f aca="false">+(H31)*$K$21</f>
        <v>11059517.3024</v>
      </c>
      <c r="I33" s="312" t="n">
        <f aca="false">+D33-H33</f>
        <v>-187681.4846</v>
      </c>
      <c r="J33" s="312"/>
      <c r="K33" s="312"/>
      <c r="L33" s="312"/>
      <c r="R33" s="325"/>
      <c r="S33" s="267"/>
      <c r="T33" s="326"/>
      <c r="X33" s="318"/>
    </row>
    <row r="34" customFormat="false" ht="15" hidden="false" customHeight="false" outlineLevel="0" collapsed="false">
      <c r="B34" s="324" t="s">
        <v>259</v>
      </c>
      <c r="C34" s="312" t="n">
        <f aca="false">SUM(C32:C33)</f>
        <v>0</v>
      </c>
      <c r="D34" s="312" t="n">
        <f aca="false">SUM(D32:D33)</f>
        <v>43522161</v>
      </c>
      <c r="E34" s="312" t="n">
        <f aca="false">C34-D34</f>
        <v>-43522161</v>
      </c>
      <c r="F34" s="312"/>
      <c r="G34" s="312"/>
      <c r="H34" s="312" t="n">
        <f aca="false">SUM(H32:H33)</f>
        <v>44273488</v>
      </c>
      <c r="I34" s="312" t="n">
        <f aca="false">+D34-H34</f>
        <v>-751327</v>
      </c>
      <c r="J34" s="312"/>
      <c r="K34" s="312"/>
      <c r="L34" s="312"/>
      <c r="S34" s="267"/>
      <c r="T34" s="326"/>
    </row>
    <row r="35" customFormat="false" ht="15" hidden="false" customHeight="false" outlineLevel="0" collapsed="false">
      <c r="B35" s="324"/>
      <c r="C35" s="267" t="n">
        <f aca="false">C31-C34</f>
        <v>0</v>
      </c>
      <c r="D35" s="267" t="n">
        <f aca="false">D31-D34</f>
        <v>0</v>
      </c>
      <c r="E35" s="312" t="n">
        <f aca="false">C35-D35</f>
        <v>0</v>
      </c>
      <c r="H35" s="267" t="n">
        <f aca="false">H31-H34</f>
        <v>0</v>
      </c>
      <c r="I35" s="312" t="n">
        <f aca="false">+D35-H35</f>
        <v>0</v>
      </c>
      <c r="J35" s="312"/>
      <c r="K35" s="312"/>
      <c r="L35" s="312"/>
      <c r="S35" s="267"/>
      <c r="T35" s="326"/>
    </row>
    <row r="36" customFormat="false" ht="15" hidden="false" customHeight="false" outlineLevel="0" collapsed="false">
      <c r="B36" s="324"/>
      <c r="C36" s="267"/>
      <c r="E36" s="312"/>
      <c r="I36" s="312"/>
      <c r="J36" s="312"/>
      <c r="K36" s="312"/>
      <c r="L36" s="312"/>
      <c r="S36" s="267"/>
      <c r="T36" s="326"/>
    </row>
    <row r="37" customFormat="false" ht="15" hidden="false" customHeight="false" outlineLevel="0" collapsed="false">
      <c r="F37" s="312" t="s">
        <v>352</v>
      </c>
      <c r="G37" s="312" t="s">
        <v>353</v>
      </c>
      <c r="J37" s="312" t="s">
        <v>352</v>
      </c>
      <c r="K37" s="312" t="s">
        <v>353</v>
      </c>
      <c r="S37" s="267"/>
    </row>
    <row r="38" customFormat="false" ht="15" hidden="false" customHeight="false" outlineLevel="0" collapsed="false">
      <c r="B38" s="313" t="s">
        <v>362</v>
      </c>
      <c r="C38" s="314" t="s">
        <v>389</v>
      </c>
      <c r="D38" s="314" t="s">
        <v>355</v>
      </c>
      <c r="E38" s="314" t="s">
        <v>5</v>
      </c>
      <c r="F38" s="314"/>
      <c r="G38" s="314"/>
      <c r="H38" s="314" t="s">
        <v>356</v>
      </c>
      <c r="I38" s="314" t="s">
        <v>5</v>
      </c>
      <c r="J38" s="315" t="n">
        <f aca="false">+R40</f>
        <v>0.999954751131222</v>
      </c>
      <c r="K38" s="316" t="n">
        <f aca="false">+R41</f>
        <v>4.52488687782805E-005</v>
      </c>
      <c r="L38" s="314"/>
    </row>
    <row r="39" customFormat="false" ht="15" hidden="false" customHeight="false" outlineLevel="0" collapsed="false">
      <c r="B39" s="311" t="s">
        <v>87</v>
      </c>
      <c r="C39" s="267" t="n">
        <f aca="false">Participaciones!G3</f>
        <v>0</v>
      </c>
      <c r="D39" s="267" t="n">
        <v>1105000</v>
      </c>
      <c r="E39" s="267" t="n">
        <f aca="false">C39-D39</f>
        <v>-1105000</v>
      </c>
      <c r="H39" s="267" t="n">
        <v>1105000</v>
      </c>
      <c r="I39" s="267" t="n">
        <f aca="false">+D39-H39</f>
        <v>0</v>
      </c>
      <c r="J39" s="267" t="n">
        <v>0</v>
      </c>
      <c r="K39" s="267" t="n">
        <v>0</v>
      </c>
      <c r="L39" s="314"/>
      <c r="Q39" s="317" t="n">
        <v>2017</v>
      </c>
      <c r="R39" s="317"/>
      <c r="S39" s="317" t="n">
        <v>2016</v>
      </c>
      <c r="T39" s="317"/>
      <c r="U39" s="317" t="s">
        <v>5</v>
      </c>
      <c r="V39" s="317"/>
    </row>
    <row r="40" customFormat="false" ht="15" hidden="false" customHeight="false" outlineLevel="0" collapsed="false">
      <c r="B40" s="311" t="s">
        <v>88</v>
      </c>
      <c r="C40" s="267" t="n">
        <f aca="false">Participaciones!G4</f>
        <v>0</v>
      </c>
      <c r="D40" s="267" t="n">
        <v>877313</v>
      </c>
      <c r="E40" s="267" t="n">
        <f aca="false">C40-D40</f>
        <v>-877313</v>
      </c>
      <c r="H40" s="267" t="n">
        <v>646013</v>
      </c>
      <c r="I40" s="267" t="n">
        <f aca="false">+D40-H40</f>
        <v>231300</v>
      </c>
      <c r="J40" s="267" t="n">
        <v>0</v>
      </c>
      <c r="K40" s="267" t="n">
        <v>0</v>
      </c>
      <c r="L40" s="314"/>
      <c r="N40" s="267" t="s">
        <v>293</v>
      </c>
      <c r="Q40" s="277" t="n">
        <v>1104950</v>
      </c>
      <c r="R40" s="278" t="n">
        <f aca="false">+Q40/$Q$42</f>
        <v>0.999954751131222</v>
      </c>
      <c r="S40" s="277" t="n">
        <v>1104950</v>
      </c>
      <c r="T40" s="278" t="n">
        <f aca="false">+S40/$S$42</f>
        <v>0.999954751131222</v>
      </c>
      <c r="U40" s="277" t="n">
        <f aca="false">+Q40-S40</f>
        <v>0</v>
      </c>
      <c r="V40" s="278" t="n">
        <f aca="false">+R40-T40</f>
        <v>0</v>
      </c>
    </row>
    <row r="41" customFormat="false" ht="15" hidden="false" customHeight="false" outlineLevel="0" collapsed="false">
      <c r="B41" s="311" t="s">
        <v>90</v>
      </c>
      <c r="C41" s="267" t="n">
        <f aca="false">Participaciones!G5</f>
        <v>0</v>
      </c>
      <c r="D41" s="267" t="n">
        <v>0</v>
      </c>
      <c r="E41" s="267" t="n">
        <f aca="false">C41-D41</f>
        <v>0</v>
      </c>
      <c r="I41" s="267" t="n">
        <f aca="false">+D41-H41</f>
        <v>0</v>
      </c>
      <c r="J41" s="267" t="n">
        <f aca="false">+I41*$J$38</f>
        <v>0</v>
      </c>
      <c r="K41" s="267" t="n">
        <f aca="false">+I41*$K$38</f>
        <v>0</v>
      </c>
      <c r="N41" s="267" t="s">
        <v>296</v>
      </c>
      <c r="Q41" s="282" t="n">
        <v>50</v>
      </c>
      <c r="R41" s="278" t="n">
        <f aca="false">+Q41/$Q$42</f>
        <v>4.52488687782805E-005</v>
      </c>
      <c r="S41" s="282" t="n">
        <v>50</v>
      </c>
      <c r="T41" s="278" t="n">
        <f aca="false">+S41/$S$42</f>
        <v>4.52488687782805E-005</v>
      </c>
      <c r="U41" s="277" t="n">
        <f aca="false">+Q41-S41</f>
        <v>0</v>
      </c>
      <c r="V41" s="278" t="n">
        <f aca="false">+R41-T41</f>
        <v>0</v>
      </c>
    </row>
    <row r="42" customFormat="false" ht="14.25" hidden="false" customHeight="false" outlineLevel="0" collapsed="false">
      <c r="B42" s="311" t="s">
        <v>91</v>
      </c>
      <c r="C42" s="267" t="n">
        <f aca="false">Participaciones!G6</f>
        <v>0</v>
      </c>
      <c r="D42" s="267" t="n">
        <v>0</v>
      </c>
      <c r="E42" s="267" t="n">
        <f aca="false">C42-D42</f>
        <v>0</v>
      </c>
      <c r="I42" s="267" t="n">
        <f aca="false">+D42-H42</f>
        <v>0</v>
      </c>
      <c r="J42" s="267" t="n">
        <f aca="false">+I42*$J$38</f>
        <v>0</v>
      </c>
      <c r="K42" s="267" t="n">
        <f aca="false">+I42*$K$38</f>
        <v>0</v>
      </c>
      <c r="Q42" s="277" t="n">
        <f aca="false">SUM(Q40:Q41)</f>
        <v>1105000</v>
      </c>
      <c r="R42" s="285"/>
      <c r="S42" s="277" t="n">
        <f aca="false">SUM(S40:S41)</f>
        <v>1105000</v>
      </c>
      <c r="T42" s="285"/>
      <c r="U42" s="277" t="n">
        <f aca="false">SUM(U40:U41)</f>
        <v>0</v>
      </c>
      <c r="V42" s="285"/>
    </row>
    <row r="43" customFormat="false" ht="14.25" hidden="false" customHeight="false" outlineLevel="0" collapsed="false">
      <c r="B43" s="311" t="s">
        <v>92</v>
      </c>
      <c r="C43" s="267" t="n">
        <f aca="false">Participaciones!G7</f>
        <v>0</v>
      </c>
      <c r="D43" s="267" t="n">
        <v>0</v>
      </c>
      <c r="E43" s="267" t="n">
        <f aca="false">C43-D43</f>
        <v>0</v>
      </c>
      <c r="I43" s="267" t="n">
        <f aca="false">+D43-H43</f>
        <v>0</v>
      </c>
      <c r="J43" s="267" t="n">
        <f aca="false">+I43*$J$38</f>
        <v>0</v>
      </c>
      <c r="K43" s="267" t="n">
        <f aca="false">+I43*$K$38</f>
        <v>0</v>
      </c>
    </row>
    <row r="44" customFormat="false" ht="14.25" hidden="false" customHeight="false" outlineLevel="0" collapsed="false">
      <c r="B44" s="311" t="s">
        <v>94</v>
      </c>
      <c r="C44" s="267" t="n">
        <f aca="false">Participaciones!G8</f>
        <v>0</v>
      </c>
      <c r="D44" s="267" t="n">
        <v>0</v>
      </c>
      <c r="E44" s="267" t="n">
        <f aca="false">C44-D44</f>
        <v>0</v>
      </c>
      <c r="I44" s="267" t="n">
        <f aca="false">+D44-H44</f>
        <v>0</v>
      </c>
      <c r="J44" s="267" t="n">
        <f aca="false">+I44*$J$38</f>
        <v>0</v>
      </c>
      <c r="K44" s="267" t="n">
        <f aca="false">+I44*$K$38</f>
        <v>0</v>
      </c>
    </row>
    <row r="45" customFormat="false" ht="19.5" hidden="false" customHeight="false" outlineLevel="0" collapsed="false">
      <c r="B45" s="311" t="s">
        <v>95</v>
      </c>
      <c r="C45" s="267" t="n">
        <f aca="false">Participaciones!G11-C46</f>
        <v>0</v>
      </c>
      <c r="D45" s="267" t="n">
        <f aca="false">'ESF - ERI'!U55</f>
        <v>-16937</v>
      </c>
      <c r="E45" s="267" t="n">
        <f aca="false">C45-D45</f>
        <v>16937</v>
      </c>
      <c r="H45" s="267" t="n">
        <v>-85803</v>
      </c>
      <c r="I45" s="267" t="n">
        <f aca="false">+D45-H45</f>
        <v>68866</v>
      </c>
      <c r="J45" s="267" t="n">
        <f aca="false">+I45*$J$38</f>
        <v>68862.8838914027</v>
      </c>
      <c r="K45" s="267" t="n">
        <f aca="false">+I45*$K$38</f>
        <v>3.11610859728506</v>
      </c>
      <c r="M45" s="327" t="s">
        <v>363</v>
      </c>
    </row>
    <row r="46" customFormat="false" ht="14.25" hidden="false" customHeight="false" outlineLevel="0" collapsed="false">
      <c r="B46" s="311" t="s">
        <v>358</v>
      </c>
      <c r="C46" s="322" t="n">
        <f aca="false">'Planilla final'!D73</f>
        <v>0</v>
      </c>
      <c r="D46" s="322" t="n">
        <f aca="false">'ESF - ERI'!U56</f>
        <v>19337</v>
      </c>
      <c r="E46" s="322" t="n">
        <f aca="false">C46-D46</f>
        <v>-19337</v>
      </c>
      <c r="F46" s="322"/>
      <c r="G46" s="322"/>
      <c r="H46" s="322" t="n">
        <v>-113288</v>
      </c>
      <c r="I46" s="322" t="n">
        <f aca="false">+D46-H46</f>
        <v>132625</v>
      </c>
      <c r="J46" s="267" t="n">
        <f aca="false">+I46*$J$38</f>
        <v>132618.998868778</v>
      </c>
      <c r="K46" s="267" t="n">
        <f aca="false">+I46*$K$38</f>
        <v>6.00113122171945</v>
      </c>
    </row>
    <row r="48" customFormat="false" ht="15" hidden="false" customHeight="false" outlineLevel="0" collapsed="false">
      <c r="B48" s="313" t="s">
        <v>359</v>
      </c>
      <c r="C48" s="312" t="n">
        <f aca="false">SUM(C39:C46)</f>
        <v>0</v>
      </c>
      <c r="D48" s="312" t="n">
        <f aca="false">SUM(D39:D46)</f>
        <v>1984713</v>
      </c>
      <c r="E48" s="312" t="n">
        <f aca="false">C48-D48</f>
        <v>-1984713</v>
      </c>
      <c r="F48" s="312"/>
      <c r="G48" s="312"/>
      <c r="H48" s="312" t="n">
        <f aca="false">SUM(H39:H47)</f>
        <v>1551922</v>
      </c>
      <c r="I48" s="312" t="n">
        <f aca="false">SUM(I39:I46)</f>
        <v>432791</v>
      </c>
      <c r="J48" s="312"/>
      <c r="K48" s="312"/>
      <c r="L48" s="312"/>
    </row>
    <row r="49" customFormat="false" ht="15" hidden="false" customHeight="false" outlineLevel="0" collapsed="false">
      <c r="B49" s="311" t="s">
        <v>364</v>
      </c>
      <c r="D49" s="312" t="n">
        <v>0</v>
      </c>
      <c r="E49" s="312" t="n">
        <f aca="false">C49-D49</f>
        <v>0</v>
      </c>
      <c r="F49" s="312"/>
      <c r="G49" s="312"/>
      <c r="H49" s="312" t="n">
        <v>0</v>
      </c>
      <c r="I49" s="312"/>
      <c r="J49" s="312"/>
      <c r="K49" s="312"/>
      <c r="L49" s="312"/>
      <c r="N49" s="267" t="s">
        <v>365</v>
      </c>
    </row>
    <row r="50" customFormat="false" ht="15" hidden="false" customHeight="false" outlineLevel="0" collapsed="false">
      <c r="B50" s="311" t="s">
        <v>366</v>
      </c>
      <c r="C50" s="328" t="n">
        <f aca="false">-C40</f>
        <v>-0</v>
      </c>
      <c r="D50" s="328" t="n">
        <f aca="false">-D40</f>
        <v>-877313</v>
      </c>
      <c r="E50" s="328" t="n">
        <f aca="false">C50-D50</f>
        <v>877313</v>
      </c>
      <c r="F50" s="328"/>
      <c r="G50" s="328"/>
      <c r="H50" s="328" t="n">
        <f aca="false">-H40</f>
        <v>-646013</v>
      </c>
      <c r="J50" s="312"/>
      <c r="K50" s="312"/>
      <c r="L50" s="312"/>
    </row>
    <row r="51" customFormat="false" ht="15" hidden="false" customHeight="false" outlineLevel="0" collapsed="false">
      <c r="C51" s="312"/>
      <c r="D51" s="312"/>
      <c r="E51" s="312"/>
      <c r="F51" s="312"/>
      <c r="G51" s="312"/>
      <c r="H51" s="312"/>
      <c r="J51" s="312"/>
      <c r="K51" s="312"/>
      <c r="L51" s="312"/>
    </row>
    <row r="52" customFormat="false" ht="15" hidden="false" customHeight="false" outlineLevel="0" collapsed="false">
      <c r="B52" s="313" t="s">
        <v>367</v>
      </c>
      <c r="C52" s="312" t="n">
        <f aca="false">SUM(C48:C50)</f>
        <v>0</v>
      </c>
      <c r="D52" s="312" t="n">
        <f aca="false">SUM(D48:D50)</f>
        <v>1107400</v>
      </c>
      <c r="E52" s="312" t="n">
        <f aca="false">SUM(E42:E49)</f>
        <v>-1987113</v>
      </c>
      <c r="F52" s="312"/>
      <c r="G52" s="312"/>
      <c r="H52" s="312" t="n">
        <f aca="false">SUM(H48:H50)</f>
        <v>905909</v>
      </c>
      <c r="I52" s="267" t="n">
        <f aca="false">+D52-H52</f>
        <v>201491</v>
      </c>
      <c r="J52" s="312"/>
      <c r="K52" s="312"/>
      <c r="L52" s="312"/>
    </row>
    <row r="53" customFormat="false" ht="15" hidden="false" customHeight="false" outlineLevel="0" collapsed="false">
      <c r="B53" s="324" t="s">
        <v>360</v>
      </c>
      <c r="C53" s="312" t="n">
        <f aca="false">+(C52)*$F$38</f>
        <v>0</v>
      </c>
      <c r="D53" s="312" t="n">
        <f aca="false">+(D52)*$J$38</f>
        <v>1107349.89140272</v>
      </c>
      <c r="E53" s="312" t="n">
        <f aca="false">C53-D53</f>
        <v>-1107349.89140272</v>
      </c>
      <c r="F53" s="312"/>
      <c r="G53" s="312"/>
      <c r="H53" s="312" t="n">
        <f aca="false">+(H52)*$J$38</f>
        <v>905868.008642534</v>
      </c>
      <c r="I53" s="267" t="n">
        <f aca="false">+D53-H53</f>
        <v>201481.882760181</v>
      </c>
      <c r="J53" s="312"/>
      <c r="K53" s="312"/>
      <c r="L53" s="312"/>
    </row>
    <row r="54" customFormat="false" ht="15" hidden="false" customHeight="false" outlineLevel="0" collapsed="false">
      <c r="B54" s="324" t="s">
        <v>361</v>
      </c>
      <c r="C54" s="312" t="n">
        <f aca="false">+C52*$G$38</f>
        <v>0</v>
      </c>
      <c r="D54" s="312" t="n">
        <f aca="false">+D52*$K$38</f>
        <v>50.1085972850678</v>
      </c>
      <c r="E54" s="312" t="n">
        <f aca="false">C54-D54</f>
        <v>-50.1085972850678</v>
      </c>
      <c r="F54" s="312"/>
      <c r="G54" s="312"/>
      <c r="H54" s="312" t="n">
        <f aca="false">+H52*$K$38</f>
        <v>40.9913574660633</v>
      </c>
      <c r="I54" s="312" t="n">
        <f aca="false">+D54-H54</f>
        <v>9.11723981900453</v>
      </c>
    </row>
    <row r="55" customFormat="false" ht="15" hidden="false" customHeight="false" outlineLevel="0" collapsed="false">
      <c r="B55" s="324" t="s">
        <v>259</v>
      </c>
      <c r="C55" s="312" t="n">
        <f aca="false">SUM(C53:C54)</f>
        <v>0</v>
      </c>
      <c r="D55" s="312" t="n">
        <f aca="false">SUM(D53:D54)</f>
        <v>1107400</v>
      </c>
      <c r="E55" s="312" t="n">
        <f aca="false">C55-D55</f>
        <v>-1107400</v>
      </c>
      <c r="F55" s="312"/>
      <c r="G55" s="312"/>
      <c r="H55" s="312" t="n">
        <f aca="false">SUM(H53:H54)</f>
        <v>905909</v>
      </c>
    </row>
    <row r="56" customFormat="false" ht="15" hidden="false" customHeight="false" outlineLevel="0" collapsed="false">
      <c r="C56" s="267" t="n">
        <f aca="false">C52-C55</f>
        <v>0</v>
      </c>
      <c r="D56" s="267" t="n">
        <f aca="false">D52-D55</f>
        <v>0</v>
      </c>
      <c r="E56" s="312" t="n">
        <f aca="false">C56-D56</f>
        <v>0</v>
      </c>
      <c r="H56" s="267" t="n">
        <f aca="false">H52-H55</f>
        <v>0</v>
      </c>
    </row>
    <row r="57" customFormat="false" ht="15" hidden="false" customHeight="false" outlineLevel="0" collapsed="false">
      <c r="C57" s="267"/>
      <c r="E57" s="312"/>
    </row>
    <row r="58" customFormat="false" ht="15" hidden="false" customHeight="false" outlineLevel="0" collapsed="false">
      <c r="F58" s="312" t="s">
        <v>352</v>
      </c>
      <c r="G58" s="312" t="s">
        <v>353</v>
      </c>
      <c r="J58" s="312" t="s">
        <v>352</v>
      </c>
      <c r="K58" s="312" t="s">
        <v>353</v>
      </c>
    </row>
    <row r="59" customFormat="false" ht="15" hidden="false" customHeight="false" outlineLevel="0" collapsed="false">
      <c r="B59" s="313" t="s">
        <v>368</v>
      </c>
      <c r="C59" s="314" t="s">
        <v>389</v>
      </c>
      <c r="D59" s="314" t="s">
        <v>355</v>
      </c>
      <c r="E59" s="314" t="s">
        <v>5</v>
      </c>
      <c r="F59" s="314"/>
      <c r="G59" s="314"/>
      <c r="H59" s="314" t="s">
        <v>356</v>
      </c>
      <c r="I59" s="314" t="s">
        <v>5</v>
      </c>
      <c r="J59" s="315" t="n">
        <f aca="false">+R61</f>
        <v>0.68</v>
      </c>
      <c r="K59" s="316" t="n">
        <f aca="false">+R62</f>
        <v>0.32</v>
      </c>
      <c r="L59" s="314"/>
    </row>
    <row r="60" customFormat="false" ht="15" hidden="false" customHeight="false" outlineLevel="0" collapsed="false">
      <c r="B60" s="311" t="s">
        <v>87</v>
      </c>
      <c r="C60" s="267" t="n">
        <f aca="false">Participaciones!I3</f>
        <v>0</v>
      </c>
      <c r="D60" s="267" t="n">
        <v>10000</v>
      </c>
      <c r="E60" s="267" t="n">
        <f aca="false">C60-D60</f>
        <v>-10000</v>
      </c>
      <c r="H60" s="267" t="n">
        <v>10000</v>
      </c>
      <c r="I60" s="267" t="n">
        <f aca="false">+D60-H60</f>
        <v>0</v>
      </c>
      <c r="J60" s="267" t="n">
        <f aca="false">+I60*$J$59</f>
        <v>0</v>
      </c>
      <c r="K60" s="267" t="n">
        <f aca="false">+I60*$K$59</f>
        <v>0</v>
      </c>
      <c r="Q60" s="317" t="n">
        <v>2017</v>
      </c>
      <c r="R60" s="317"/>
      <c r="S60" s="317" t="n">
        <v>2016</v>
      </c>
      <c r="T60" s="317"/>
      <c r="U60" s="317" t="s">
        <v>5</v>
      </c>
      <c r="V60" s="317"/>
    </row>
    <row r="61" customFormat="false" ht="15" hidden="false" customHeight="false" outlineLevel="0" collapsed="false">
      <c r="B61" s="311" t="s">
        <v>88</v>
      </c>
      <c r="C61" s="267" t="n">
        <f aca="false">Participaciones!I4</f>
        <v>0</v>
      </c>
      <c r="D61" s="267" t="n">
        <v>0</v>
      </c>
      <c r="E61" s="267" t="n">
        <f aca="false">C61-D61</f>
        <v>0</v>
      </c>
      <c r="H61" s="267" t="n">
        <v>0</v>
      </c>
      <c r="I61" s="267" t="n">
        <f aca="false">+D61-H61</f>
        <v>0</v>
      </c>
      <c r="J61" s="267" t="n">
        <f aca="false">+I61*$J$59</f>
        <v>0</v>
      </c>
      <c r="K61" s="267" t="n">
        <f aca="false">+I61*$K$59</f>
        <v>0</v>
      </c>
      <c r="N61" s="267" t="s">
        <v>293</v>
      </c>
      <c r="Q61" s="277" t="n">
        <v>6800</v>
      </c>
      <c r="R61" s="278" t="n">
        <f aca="false">+Q61/$Q$63</f>
        <v>0.68</v>
      </c>
      <c r="S61" s="277" t="n">
        <v>6800</v>
      </c>
      <c r="T61" s="278" t="n">
        <f aca="false">+S61/$S$63</f>
        <v>0.68</v>
      </c>
      <c r="U61" s="277" t="n">
        <f aca="false">+Q61-S61</f>
        <v>0</v>
      </c>
      <c r="V61" s="278" t="n">
        <f aca="false">+R61-T61</f>
        <v>0</v>
      </c>
    </row>
    <row r="62" customFormat="false" ht="15" hidden="false" customHeight="false" outlineLevel="0" collapsed="false">
      <c r="B62" s="311" t="s">
        <v>90</v>
      </c>
      <c r="C62" s="267" t="n">
        <f aca="false">Participaciones!I5</f>
        <v>0</v>
      </c>
      <c r="D62" s="267" t="n">
        <f aca="false">'ESF - ERI'!V50</f>
        <v>74426</v>
      </c>
      <c r="E62" s="267" t="n">
        <f aca="false">C62-D62</f>
        <v>-74426</v>
      </c>
      <c r="H62" s="267" t="n">
        <v>74426.57</v>
      </c>
      <c r="I62" s="267" t="n">
        <f aca="false">+D62-H62</f>
        <v>-0.570000000006985</v>
      </c>
      <c r="J62" s="267" t="n">
        <f aca="false">+I62*$J$59</f>
        <v>-0.38760000000475</v>
      </c>
      <c r="K62" s="267" t="n">
        <f aca="false">+I62*$K$59</f>
        <v>-0.182400000002235</v>
      </c>
      <c r="N62" s="267" t="s">
        <v>296</v>
      </c>
      <c r="Q62" s="282" t="n">
        <v>3200</v>
      </c>
      <c r="R62" s="278" t="n">
        <f aca="false">+Q62/$Q$63</f>
        <v>0.32</v>
      </c>
      <c r="S62" s="282" t="n">
        <v>3200</v>
      </c>
      <c r="T62" s="278" t="n">
        <f aca="false">+S62/$S$63</f>
        <v>0.32</v>
      </c>
      <c r="U62" s="277" t="n">
        <f aca="false">+Q62-S62</f>
        <v>0</v>
      </c>
      <c r="V62" s="278" t="n">
        <f aca="false">+R62-T62</f>
        <v>0</v>
      </c>
    </row>
    <row r="63" customFormat="false" ht="14.25" hidden="false" customHeight="false" outlineLevel="0" collapsed="false">
      <c r="B63" s="311" t="s">
        <v>91</v>
      </c>
      <c r="C63" s="267" t="n">
        <f aca="false">Participaciones!I6</f>
        <v>0</v>
      </c>
      <c r="D63" s="267" t="n">
        <v>0</v>
      </c>
      <c r="E63" s="267" t="n">
        <f aca="false">C63-D63</f>
        <v>0</v>
      </c>
      <c r="I63" s="267" t="n">
        <f aca="false">+D63-H63</f>
        <v>0</v>
      </c>
      <c r="J63" s="267" t="n">
        <f aca="false">+I63*$J$59</f>
        <v>0</v>
      </c>
      <c r="K63" s="267" t="n">
        <f aca="false">+I63*$K$59</f>
        <v>0</v>
      </c>
      <c r="Q63" s="277" t="n">
        <f aca="false">SUM(Q61:Q62)</f>
        <v>10000</v>
      </c>
      <c r="R63" s="285"/>
      <c r="S63" s="277" t="n">
        <f aca="false">SUM(S61:S62)</f>
        <v>10000</v>
      </c>
      <c r="T63" s="285"/>
      <c r="U63" s="277" t="n">
        <f aca="false">SUM(U61:U62)</f>
        <v>0</v>
      </c>
      <c r="V63" s="285"/>
    </row>
    <row r="64" customFormat="false" ht="14.25" hidden="false" customHeight="false" outlineLevel="0" collapsed="false">
      <c r="B64" s="311" t="s">
        <v>92</v>
      </c>
      <c r="C64" s="267" t="n">
        <f aca="false">Participaciones!I7</f>
        <v>0</v>
      </c>
      <c r="D64" s="267" t="n">
        <v>0</v>
      </c>
      <c r="E64" s="267" t="n">
        <f aca="false">C64-D64</f>
        <v>0</v>
      </c>
      <c r="I64" s="267" t="n">
        <f aca="false">+D64-H64</f>
        <v>0</v>
      </c>
      <c r="J64" s="267" t="n">
        <f aca="false">+I64*$J$59</f>
        <v>0</v>
      </c>
      <c r="K64" s="267" t="n">
        <f aca="false">+I64*$K$59</f>
        <v>0</v>
      </c>
    </row>
    <row r="65" customFormat="false" ht="14.25" hidden="false" customHeight="false" outlineLevel="0" collapsed="false">
      <c r="B65" s="311" t="s">
        <v>94</v>
      </c>
      <c r="C65" s="267" t="n">
        <f aca="false">Participaciones!I8</f>
        <v>0</v>
      </c>
      <c r="D65" s="267" t="n">
        <v>0</v>
      </c>
      <c r="E65" s="267" t="n">
        <f aca="false">C65-D65</f>
        <v>0</v>
      </c>
      <c r="I65" s="267" t="n">
        <f aca="false">+D65-H65</f>
        <v>0</v>
      </c>
      <c r="J65" s="267" t="n">
        <f aca="false">+I65*$J$59</f>
        <v>0</v>
      </c>
      <c r="K65" s="267" t="n">
        <f aca="false">+I65*$K$59</f>
        <v>0</v>
      </c>
    </row>
    <row r="66" customFormat="false" ht="19.5" hidden="false" customHeight="false" outlineLevel="0" collapsed="false">
      <c r="B66" s="311" t="s">
        <v>95</v>
      </c>
      <c r="C66" s="267" t="n">
        <f aca="false">Participaciones!I11</f>
        <v>0</v>
      </c>
      <c r="D66" s="267" t="n">
        <f aca="false">'ESF - ERI'!V55</f>
        <v>911628</v>
      </c>
      <c r="E66" s="267" t="n">
        <f aca="false">C66-D66</f>
        <v>-911628</v>
      </c>
      <c r="H66" s="267" t="n">
        <v>989917</v>
      </c>
      <c r="I66" s="267" t="n">
        <f aca="false">+D66-H66</f>
        <v>-78289</v>
      </c>
      <c r="J66" s="267" t="n">
        <f aca="false">+I66*$J$59</f>
        <v>-53236.52</v>
      </c>
      <c r="K66" s="267" t="n">
        <f aca="false">+I66*$K$59</f>
        <v>-25052.48</v>
      </c>
      <c r="M66" s="327" t="s">
        <v>369</v>
      </c>
      <c r="R66" s="267" t="n">
        <f aca="false">228012-128950-6829+71048+1931</f>
        <v>165212</v>
      </c>
    </row>
    <row r="67" customFormat="false" ht="14.25" hidden="false" customHeight="false" outlineLevel="0" collapsed="false">
      <c r="B67" s="311" t="s">
        <v>358</v>
      </c>
      <c r="C67" s="337" t="n">
        <f aca="false">'Planilla final'!E73</f>
        <v>0</v>
      </c>
      <c r="D67" s="322" t="n">
        <f aca="false">'ESF - ERI'!V56</f>
        <v>-15891</v>
      </c>
      <c r="E67" s="322" t="n">
        <f aca="false">C67-D67</f>
        <v>15891</v>
      </c>
      <c r="F67" s="322"/>
      <c r="G67" s="322"/>
      <c r="H67" s="322" t="n">
        <v>-56384</v>
      </c>
      <c r="I67" s="322" t="n">
        <f aca="false">+D67-H67</f>
        <v>40493</v>
      </c>
      <c r="J67" s="267" t="n">
        <f aca="false">+I67*$J$59</f>
        <v>27535.24</v>
      </c>
      <c r="K67" s="267" t="n">
        <f aca="false">+I67*$K$59</f>
        <v>12957.76</v>
      </c>
    </row>
    <row r="69" customFormat="false" ht="15" hidden="false" customHeight="false" outlineLevel="0" collapsed="false">
      <c r="B69" s="313" t="s">
        <v>359</v>
      </c>
      <c r="C69" s="312" t="n">
        <f aca="false">SUM(C60:C68)</f>
        <v>0</v>
      </c>
      <c r="D69" s="312" t="n">
        <f aca="false">SUM(D60:D68)</f>
        <v>980163</v>
      </c>
      <c r="E69" s="312" t="n">
        <f aca="false">SUM(E59:E66)</f>
        <v>-996054</v>
      </c>
      <c r="F69" s="312"/>
      <c r="G69" s="312"/>
      <c r="H69" s="312" t="n">
        <f aca="false">SUM(H60:H68)</f>
        <v>1017959.57</v>
      </c>
      <c r="I69" s="312" t="n">
        <f aca="false">SUM(I60:I67)</f>
        <v>-37796.57</v>
      </c>
      <c r="J69" s="312"/>
      <c r="K69" s="312"/>
      <c r="L69" s="312"/>
    </row>
    <row r="70" customFormat="false" ht="15" hidden="false" customHeight="false" outlineLevel="0" collapsed="false">
      <c r="B70" s="324" t="s">
        <v>360</v>
      </c>
      <c r="C70" s="312" t="n">
        <f aca="false">+(C69)*$F$59</f>
        <v>0</v>
      </c>
      <c r="D70" s="312" t="n">
        <f aca="false">+(D69)*$J$59</f>
        <v>666510.84</v>
      </c>
      <c r="E70" s="312" t="n">
        <f aca="false">C70-D70</f>
        <v>-666510.84</v>
      </c>
      <c r="F70" s="312"/>
      <c r="G70" s="312"/>
      <c r="H70" s="312" t="n">
        <f aca="false">+(H69)*$J$59</f>
        <v>692212.5076</v>
      </c>
      <c r="I70" s="312" t="n">
        <f aca="false">+D70-H70</f>
        <v>-25701.6675999999</v>
      </c>
      <c r="J70" s="312"/>
      <c r="K70" s="312"/>
      <c r="L70" s="312"/>
    </row>
    <row r="71" customFormat="false" ht="15" hidden="false" customHeight="false" outlineLevel="0" collapsed="false">
      <c r="B71" s="324" t="s">
        <v>361</v>
      </c>
      <c r="C71" s="312" t="n">
        <f aca="false">+C69*$G$59</f>
        <v>0</v>
      </c>
      <c r="D71" s="312" t="n">
        <f aca="false">+D69*$K$59</f>
        <v>313652.16</v>
      </c>
      <c r="E71" s="312" t="n">
        <f aca="false">C71-D71</f>
        <v>-313652.16</v>
      </c>
      <c r="F71" s="312"/>
      <c r="G71" s="312"/>
      <c r="H71" s="312" t="n">
        <f aca="false">+H69*$K$59</f>
        <v>325747.0624</v>
      </c>
      <c r="I71" s="312" t="n">
        <f aca="false">+D71-H71</f>
        <v>-12094.9024</v>
      </c>
    </row>
    <row r="72" customFormat="false" ht="15" hidden="false" customHeight="false" outlineLevel="0" collapsed="false">
      <c r="B72" s="324" t="s">
        <v>259</v>
      </c>
      <c r="C72" s="312" t="n">
        <f aca="false">SUM(C70:C71)</f>
        <v>0</v>
      </c>
      <c r="D72" s="312" t="n">
        <f aca="false">SUM(D70:D71)</f>
        <v>980163</v>
      </c>
      <c r="E72" s="312" t="n">
        <f aca="false">C72-D72</f>
        <v>-980163</v>
      </c>
      <c r="F72" s="312"/>
      <c r="G72" s="312"/>
      <c r="H72" s="312" t="n">
        <f aca="false">SUM(H70:H71)</f>
        <v>1017959.57</v>
      </c>
      <c r="I72" s="312" t="n">
        <f aca="false">+D72-H72</f>
        <v>-37796.5699999998</v>
      </c>
    </row>
    <row r="73" customFormat="false" ht="15" hidden="false" customHeight="false" outlineLevel="0" collapsed="false">
      <c r="B73" s="324"/>
      <c r="C73" s="267" t="n">
        <f aca="false">C69-C72</f>
        <v>0</v>
      </c>
      <c r="D73" s="267" t="n">
        <f aca="false">D69-D72</f>
        <v>0</v>
      </c>
      <c r="E73" s="312" t="n">
        <f aca="false">C73-D73</f>
        <v>0</v>
      </c>
      <c r="H73" s="267" t="n">
        <f aca="false">H69-H72</f>
        <v>0</v>
      </c>
      <c r="I73" s="312"/>
    </row>
    <row r="74" customFormat="false" ht="15" hidden="false" customHeight="false" outlineLevel="0" collapsed="false">
      <c r="B74" s="324"/>
      <c r="C74" s="267"/>
      <c r="E74" s="312"/>
      <c r="I74" s="312"/>
    </row>
    <row r="75" customFormat="false" ht="15" hidden="false" customHeight="false" outlineLevel="0" collapsed="false">
      <c r="F75" s="312" t="s">
        <v>352</v>
      </c>
      <c r="G75" s="312" t="s">
        <v>353</v>
      </c>
      <c r="H75" s="311"/>
      <c r="J75" s="312" t="s">
        <v>352</v>
      </c>
      <c r="K75" s="312" t="s">
        <v>353</v>
      </c>
    </row>
    <row r="76" customFormat="false" ht="15" hidden="false" customHeight="false" outlineLevel="0" collapsed="false">
      <c r="B76" s="313" t="s">
        <v>370</v>
      </c>
      <c r="C76" s="314" t="s">
        <v>389</v>
      </c>
      <c r="D76" s="314" t="s">
        <v>355</v>
      </c>
      <c r="E76" s="314" t="s">
        <v>5</v>
      </c>
      <c r="F76" s="314"/>
      <c r="G76" s="314"/>
      <c r="H76" s="314" t="s">
        <v>356</v>
      </c>
      <c r="I76" s="314" t="s">
        <v>5</v>
      </c>
      <c r="J76" s="315" t="n">
        <f aca="false">+R78</f>
        <v>0.5</v>
      </c>
      <c r="K76" s="316" t="n">
        <f aca="false">+R79</f>
        <v>0.5</v>
      </c>
      <c r="L76" s="314"/>
    </row>
    <row r="77" customFormat="false" ht="15" hidden="false" customHeight="false" outlineLevel="0" collapsed="false">
      <c r="B77" s="311" t="s">
        <v>87</v>
      </c>
      <c r="C77" s="267" t="n">
        <f aca="false">Participaciones!K3</f>
        <v>0</v>
      </c>
      <c r="D77" s="267" t="n">
        <v>1000</v>
      </c>
      <c r="E77" s="267" t="n">
        <f aca="false">C77-D77</f>
        <v>-1000</v>
      </c>
      <c r="H77" s="267" t="n">
        <v>1000</v>
      </c>
      <c r="I77" s="267" t="n">
        <f aca="false">+D77-H77</f>
        <v>0</v>
      </c>
      <c r="J77" s="267" t="n">
        <f aca="false">+I77*$J$76</f>
        <v>0</v>
      </c>
      <c r="K77" s="267" t="n">
        <f aca="false">+I77*$K$76</f>
        <v>0</v>
      </c>
      <c r="Q77" s="317" t="n">
        <v>2017</v>
      </c>
      <c r="R77" s="317"/>
      <c r="S77" s="317" t="n">
        <v>2016</v>
      </c>
      <c r="T77" s="317"/>
      <c r="U77" s="317" t="s">
        <v>5</v>
      </c>
      <c r="V77" s="317"/>
    </row>
    <row r="78" customFormat="false" ht="15" hidden="false" customHeight="false" outlineLevel="0" collapsed="false">
      <c r="B78" s="311" t="s">
        <v>88</v>
      </c>
      <c r="C78" s="267" t="n">
        <f aca="false">Participaciones!K4</f>
        <v>0</v>
      </c>
      <c r="D78" s="267" t="n">
        <v>49015</v>
      </c>
      <c r="E78" s="267" t="n">
        <f aca="false">C78-D78</f>
        <v>-49015</v>
      </c>
      <c r="H78" s="267" t="n">
        <v>49015</v>
      </c>
      <c r="I78" s="267" t="n">
        <f aca="false">+D78-H78</f>
        <v>0</v>
      </c>
      <c r="J78" s="267" t="n">
        <f aca="false">+I78*$J$76</f>
        <v>0</v>
      </c>
      <c r="K78" s="267" t="n">
        <f aca="false">+I78*$K$76</f>
        <v>0</v>
      </c>
      <c r="N78" s="267" t="s">
        <v>293</v>
      </c>
      <c r="Q78" s="277" t="n">
        <v>500</v>
      </c>
      <c r="R78" s="278" t="n">
        <f aca="false">+Q78/$Q$80</f>
        <v>0.5</v>
      </c>
      <c r="S78" s="277" t="n">
        <v>500</v>
      </c>
      <c r="T78" s="278" t="n">
        <f aca="false">+S78/$S$80</f>
        <v>0.5</v>
      </c>
      <c r="U78" s="277" t="n">
        <f aca="false">+Q78-S78</f>
        <v>0</v>
      </c>
      <c r="V78" s="278" t="n">
        <f aca="false">+R78-T78</f>
        <v>0</v>
      </c>
    </row>
    <row r="79" customFormat="false" ht="15" hidden="false" customHeight="false" outlineLevel="0" collapsed="false">
      <c r="B79" s="311" t="s">
        <v>90</v>
      </c>
      <c r="C79" s="267" t="n">
        <f aca="false">Participaciones!K5</f>
        <v>0</v>
      </c>
      <c r="D79" s="267" t="n">
        <v>500</v>
      </c>
      <c r="E79" s="267" t="n">
        <f aca="false">C79-D79</f>
        <v>-500</v>
      </c>
      <c r="H79" s="267" t="n">
        <v>500</v>
      </c>
      <c r="I79" s="267" t="n">
        <f aca="false">+D79-H79</f>
        <v>0</v>
      </c>
      <c r="J79" s="267" t="n">
        <f aca="false">+I79*$J$76</f>
        <v>0</v>
      </c>
      <c r="K79" s="267" t="n">
        <f aca="false">+I79*$K$76</f>
        <v>0</v>
      </c>
      <c r="N79" s="267" t="s">
        <v>296</v>
      </c>
      <c r="Q79" s="282" t="n">
        <v>500</v>
      </c>
      <c r="R79" s="278" t="n">
        <f aca="false">+Q79/$Q$80</f>
        <v>0.5</v>
      </c>
      <c r="S79" s="282" t="n">
        <v>500</v>
      </c>
      <c r="T79" s="278" t="n">
        <f aca="false">+S79/$S$80</f>
        <v>0.5</v>
      </c>
      <c r="U79" s="277" t="n">
        <f aca="false">+Q79-S79</f>
        <v>0</v>
      </c>
      <c r="V79" s="278" t="n">
        <f aca="false">+R79-T79</f>
        <v>0</v>
      </c>
    </row>
    <row r="80" customFormat="false" ht="14.25" hidden="false" customHeight="false" outlineLevel="0" collapsed="false">
      <c r="B80" s="311" t="s">
        <v>91</v>
      </c>
      <c r="C80" s="267" t="n">
        <f aca="false">Participaciones!K6</f>
        <v>0</v>
      </c>
      <c r="D80" s="267" t="n">
        <v>0</v>
      </c>
      <c r="E80" s="267" t="n">
        <f aca="false">C80-D80</f>
        <v>0</v>
      </c>
      <c r="H80" s="267" t="n">
        <v>0</v>
      </c>
      <c r="I80" s="267" t="n">
        <f aca="false">+D80-H80</f>
        <v>0</v>
      </c>
      <c r="J80" s="267" t="n">
        <f aca="false">+I80*$J$76</f>
        <v>0</v>
      </c>
      <c r="K80" s="267" t="n">
        <f aca="false">+I80*$K$76</f>
        <v>0</v>
      </c>
      <c r="Q80" s="277" t="n">
        <f aca="false">SUM(Q78:Q79)</f>
        <v>1000</v>
      </c>
      <c r="R80" s="285"/>
      <c r="S80" s="277" t="n">
        <f aca="false">SUM(S78:S79)</f>
        <v>1000</v>
      </c>
      <c r="T80" s="285"/>
      <c r="U80" s="277" t="n">
        <f aca="false">SUM(U78:U79)</f>
        <v>0</v>
      </c>
      <c r="V80" s="285"/>
    </row>
    <row r="81" customFormat="false" ht="14.25" hidden="false" customHeight="false" outlineLevel="0" collapsed="false">
      <c r="B81" s="311" t="s">
        <v>92</v>
      </c>
      <c r="C81" s="267" t="n">
        <f aca="false">Participaciones!K7</f>
        <v>0</v>
      </c>
      <c r="D81" s="267" t="n">
        <v>0</v>
      </c>
      <c r="E81" s="267" t="n">
        <f aca="false">C81-D81</f>
        <v>0</v>
      </c>
      <c r="H81" s="267" t="n">
        <v>0</v>
      </c>
      <c r="I81" s="267" t="n">
        <f aca="false">+D81-H81</f>
        <v>0</v>
      </c>
      <c r="J81" s="267" t="n">
        <f aca="false">+I81*$J$76</f>
        <v>0</v>
      </c>
      <c r="K81" s="267" t="n">
        <f aca="false">+I81*$K$76</f>
        <v>0</v>
      </c>
    </row>
    <row r="82" customFormat="false" ht="14.25" hidden="false" customHeight="false" outlineLevel="0" collapsed="false">
      <c r="B82" s="311" t="s">
        <v>94</v>
      </c>
      <c r="C82" s="267" t="n">
        <f aca="false">Participaciones!K8</f>
        <v>0</v>
      </c>
      <c r="D82" s="267" t="n">
        <v>0</v>
      </c>
      <c r="E82" s="267" t="n">
        <f aca="false">C82-D82</f>
        <v>0</v>
      </c>
      <c r="H82" s="267" t="n">
        <v>82150.45</v>
      </c>
      <c r="I82" s="267" t="n">
        <f aca="false">+D82-H82</f>
        <v>-82150.45</v>
      </c>
      <c r="J82" s="267" t="n">
        <f aca="false">+I82*$J$76</f>
        <v>-41075.225</v>
      </c>
      <c r="K82" s="267" t="n">
        <f aca="false">+I82*$K$76</f>
        <v>-41075.225</v>
      </c>
    </row>
    <row r="83" customFormat="false" ht="14.25" hidden="false" customHeight="false" outlineLevel="0" collapsed="false">
      <c r="B83" s="311" t="s">
        <v>95</v>
      </c>
      <c r="C83" s="267" t="n">
        <f aca="false">Participaciones!K11-C84</f>
        <v>0</v>
      </c>
      <c r="D83" s="267" t="n">
        <f aca="false">'ESF - ERI'!W55</f>
        <v>-488265</v>
      </c>
      <c r="E83" s="267" t="n">
        <f aca="false">C83-D83</f>
        <v>488265</v>
      </c>
      <c r="H83" s="267" t="n">
        <f aca="false">129138.35-489726.7199375</f>
        <v>-360588.3699375</v>
      </c>
      <c r="I83" s="267" t="n">
        <f aca="false">+D83-H83</f>
        <v>-127676.6300625</v>
      </c>
      <c r="J83" s="267" t="n">
        <f aca="false">+I83*$J$76</f>
        <v>-63838.31503125</v>
      </c>
      <c r="K83" s="267" t="n">
        <f aca="false">+I83*$K$76</f>
        <v>-63838.31503125</v>
      </c>
    </row>
    <row r="84" customFormat="false" ht="14.25" hidden="false" customHeight="false" outlineLevel="0" collapsed="false">
      <c r="B84" s="311" t="s">
        <v>358</v>
      </c>
      <c r="C84" s="322" t="n">
        <f aca="false">'Planilla final'!F73</f>
        <v>0</v>
      </c>
      <c r="D84" s="322" t="n">
        <f aca="false">'ESF - ERI'!W56</f>
        <v>-493384</v>
      </c>
      <c r="E84" s="322" t="n">
        <f aca="false">C84-D84</f>
        <v>493384</v>
      </c>
      <c r="F84" s="322"/>
      <c r="G84" s="322"/>
      <c r="H84" s="322" t="n">
        <v>-209826.66</v>
      </c>
      <c r="I84" s="322" t="n">
        <f aca="false">+D84-H84</f>
        <v>-283557.34</v>
      </c>
      <c r="J84" s="267" t="n">
        <f aca="false">+I84*$J$76</f>
        <v>-141778.67</v>
      </c>
      <c r="K84" s="267" t="n">
        <f aca="false">+I84*$K$76</f>
        <v>-141778.67</v>
      </c>
    </row>
    <row r="86" customFormat="false" ht="15" hidden="false" customHeight="false" outlineLevel="0" collapsed="false">
      <c r="B86" s="313" t="s">
        <v>359</v>
      </c>
      <c r="C86" s="312" t="n">
        <f aca="false">SUM(C77:C85)</f>
        <v>0</v>
      </c>
      <c r="D86" s="312" t="n">
        <f aca="false">SUM(D77:D85)</f>
        <v>-931134</v>
      </c>
      <c r="E86" s="312" t="n">
        <f aca="false">C86-D86</f>
        <v>931134</v>
      </c>
      <c r="F86" s="312"/>
      <c r="G86" s="312"/>
      <c r="H86" s="312" t="n">
        <f aca="false">SUM(H77:H85)</f>
        <v>-437749.5799375</v>
      </c>
      <c r="I86" s="312" t="n">
        <f aca="false">SUM(I77:I84)</f>
        <v>-493384.4200625</v>
      </c>
      <c r="J86" s="312"/>
      <c r="K86" s="312"/>
      <c r="L86" s="312"/>
    </row>
    <row r="87" customFormat="false" ht="15" hidden="false" customHeight="false" outlineLevel="0" collapsed="false">
      <c r="B87" s="311" t="s">
        <v>366</v>
      </c>
      <c r="C87" s="328" t="n">
        <f aca="false">-C78</f>
        <v>-0</v>
      </c>
      <c r="D87" s="328" t="n">
        <f aca="false">-D78</f>
        <v>-49015</v>
      </c>
      <c r="E87" s="328" t="n">
        <f aca="false">C87-D87</f>
        <v>49015</v>
      </c>
      <c r="F87" s="328"/>
      <c r="G87" s="328"/>
      <c r="H87" s="328" t="n">
        <f aca="false">-H78</f>
        <v>-49015</v>
      </c>
      <c r="J87" s="312"/>
      <c r="K87" s="312"/>
      <c r="L87" s="312"/>
    </row>
    <row r="88" customFormat="false" ht="15" hidden="false" customHeight="false" outlineLevel="0" collapsed="false">
      <c r="C88" s="312"/>
      <c r="D88" s="312"/>
      <c r="E88" s="312"/>
      <c r="F88" s="312"/>
      <c r="G88" s="312"/>
      <c r="H88" s="312"/>
      <c r="J88" s="312"/>
      <c r="K88" s="312"/>
      <c r="L88" s="312"/>
    </row>
    <row r="89" customFormat="false" ht="15" hidden="false" customHeight="false" outlineLevel="0" collapsed="false">
      <c r="B89" s="313" t="s">
        <v>367</v>
      </c>
      <c r="C89" s="312" t="n">
        <f aca="false">SUM(C85:C87)</f>
        <v>0</v>
      </c>
      <c r="D89" s="312" t="n">
        <f aca="false">SUM(D85:D87)</f>
        <v>-980149</v>
      </c>
      <c r="E89" s="312" t="n">
        <f aca="false">SUM(E79:E86)</f>
        <v>1912283</v>
      </c>
      <c r="F89" s="312"/>
      <c r="G89" s="312"/>
      <c r="H89" s="312" t="n">
        <f aca="false">SUM(H85:H87)</f>
        <v>-486764.5799375</v>
      </c>
      <c r="I89" s="267" t="n">
        <f aca="false">+D89-H89</f>
        <v>-493384.4200625</v>
      </c>
      <c r="J89" s="312"/>
      <c r="K89" s="312"/>
      <c r="L89" s="312"/>
    </row>
    <row r="90" customFormat="false" ht="15" hidden="false" customHeight="false" outlineLevel="0" collapsed="false">
      <c r="B90" s="324" t="s">
        <v>360</v>
      </c>
      <c r="C90" s="312" t="n">
        <f aca="false">+(C89)*$F$76</f>
        <v>0</v>
      </c>
      <c r="D90" s="312" t="n">
        <f aca="false">+(D89)*$J$76</f>
        <v>-490074.5</v>
      </c>
      <c r="E90" s="312" t="n">
        <f aca="false">C90-D90</f>
        <v>490074.5</v>
      </c>
      <c r="F90" s="312"/>
      <c r="G90" s="312"/>
      <c r="H90" s="312" t="n">
        <f aca="false">+(H89)*$J$76</f>
        <v>-243382.28996875</v>
      </c>
      <c r="I90" s="312" t="n">
        <f aca="false">+D90-H90</f>
        <v>-246692.21003125</v>
      </c>
      <c r="J90" s="312"/>
      <c r="K90" s="312"/>
      <c r="L90" s="312"/>
    </row>
    <row r="91" customFormat="false" ht="15" hidden="false" customHeight="false" outlineLevel="0" collapsed="false">
      <c r="B91" s="324" t="s">
        <v>361</v>
      </c>
      <c r="C91" s="312" t="n">
        <f aca="false">+C89*$G$76</f>
        <v>0</v>
      </c>
      <c r="D91" s="312" t="n">
        <f aca="false">+D89*$K$76</f>
        <v>-490074.5</v>
      </c>
      <c r="E91" s="312" t="n">
        <f aca="false">C91-D91</f>
        <v>490074.5</v>
      </c>
      <c r="F91" s="312"/>
      <c r="G91" s="312"/>
      <c r="H91" s="312" t="n">
        <f aca="false">+H89*$K$76</f>
        <v>-243382.28996875</v>
      </c>
      <c r="I91" s="312" t="n">
        <f aca="false">+D91-H91</f>
        <v>-246692.21003125</v>
      </c>
    </row>
    <row r="92" customFormat="false" ht="15" hidden="false" customHeight="false" outlineLevel="0" collapsed="false">
      <c r="B92" s="324" t="s">
        <v>259</v>
      </c>
      <c r="C92" s="312" t="n">
        <f aca="false">SUM(C90:C91)</f>
        <v>0</v>
      </c>
      <c r="D92" s="312" t="n">
        <f aca="false">SUM(D90:D91)</f>
        <v>-980149</v>
      </c>
      <c r="E92" s="312" t="n">
        <f aca="false">C92-D92</f>
        <v>980149</v>
      </c>
      <c r="F92" s="312"/>
      <c r="G92" s="312"/>
      <c r="H92" s="312" t="n">
        <f aca="false">SUM(H90:H91)</f>
        <v>-486764.5799375</v>
      </c>
      <c r="I92" s="312" t="n">
        <f aca="false">+D92-H92</f>
        <v>-493384.4200625</v>
      </c>
    </row>
    <row r="93" customFormat="false" ht="15" hidden="false" customHeight="false" outlineLevel="0" collapsed="false">
      <c r="B93" s="324"/>
      <c r="C93" s="267" t="n">
        <f aca="false">C89-C92</f>
        <v>0</v>
      </c>
      <c r="D93" s="267" t="n">
        <f aca="false">D89-D92</f>
        <v>0</v>
      </c>
      <c r="E93" s="312" t="n">
        <f aca="false">C93-D93</f>
        <v>0</v>
      </c>
      <c r="H93" s="267" t="n">
        <f aca="false">H89-H92</f>
        <v>0</v>
      </c>
      <c r="I93" s="312"/>
    </row>
    <row r="94" customFormat="false" ht="15" hidden="false" customHeight="false" outlineLevel="0" collapsed="false">
      <c r="B94" s="324"/>
      <c r="C94" s="267"/>
      <c r="E94" s="312"/>
      <c r="I94" s="312"/>
    </row>
    <row r="95" customFormat="false" ht="15" hidden="false" customHeight="false" outlineLevel="0" collapsed="false">
      <c r="F95" s="312" t="s">
        <v>352</v>
      </c>
      <c r="G95" s="312" t="s">
        <v>353</v>
      </c>
      <c r="J95" s="312" t="s">
        <v>352</v>
      </c>
      <c r="K95" s="312" t="s">
        <v>353</v>
      </c>
    </row>
    <row r="96" customFormat="false" ht="15" hidden="false" customHeight="false" outlineLevel="0" collapsed="false">
      <c r="B96" s="313" t="s">
        <v>371</v>
      </c>
      <c r="C96" s="314" t="s">
        <v>389</v>
      </c>
      <c r="D96" s="314" t="s">
        <v>355</v>
      </c>
      <c r="E96" s="314" t="s">
        <v>5</v>
      </c>
      <c r="F96" s="314"/>
      <c r="G96" s="314"/>
      <c r="H96" s="314" t="s">
        <v>356</v>
      </c>
      <c r="I96" s="314" t="s">
        <v>5</v>
      </c>
      <c r="J96" s="315" t="n">
        <f aca="false">+R98</f>
        <v>0.75</v>
      </c>
      <c r="K96" s="316" t="n">
        <f aca="false">+R99</f>
        <v>0.25</v>
      </c>
      <c r="L96" s="314"/>
    </row>
    <row r="97" customFormat="false" ht="15" hidden="false" customHeight="false" outlineLevel="0" collapsed="false">
      <c r="B97" s="311" t="s">
        <v>87</v>
      </c>
      <c r="C97" s="267" t="n">
        <f aca="false">Participaciones!M3</f>
        <v>0</v>
      </c>
      <c r="D97" s="267" t="n">
        <v>1000</v>
      </c>
      <c r="E97" s="267" t="n">
        <f aca="false">C97-D97</f>
        <v>-1000</v>
      </c>
      <c r="H97" s="267" t="n">
        <v>1000</v>
      </c>
      <c r="I97" s="267" t="n">
        <f aca="false">+D97-H97</f>
        <v>0</v>
      </c>
      <c r="J97" s="267" t="n">
        <f aca="false">+I97*$J$96</f>
        <v>0</v>
      </c>
      <c r="K97" s="267" t="n">
        <f aca="false">+I97*$K$96</f>
        <v>0</v>
      </c>
      <c r="Q97" s="317" t="n">
        <v>2017</v>
      </c>
      <c r="R97" s="317"/>
      <c r="S97" s="317" t="n">
        <v>2016</v>
      </c>
      <c r="T97" s="317"/>
      <c r="U97" s="317" t="s">
        <v>5</v>
      </c>
      <c r="V97" s="317"/>
    </row>
    <row r="98" customFormat="false" ht="15" hidden="false" customHeight="false" outlineLevel="0" collapsed="false">
      <c r="B98" s="311" t="s">
        <v>88</v>
      </c>
      <c r="C98" s="267" t="n">
        <f aca="false">Participaciones!M4</f>
        <v>0</v>
      </c>
      <c r="D98" s="267" t="n">
        <v>330450</v>
      </c>
      <c r="E98" s="267" t="n">
        <f aca="false">C98-D98</f>
        <v>-330450</v>
      </c>
      <c r="H98" s="267" t="n">
        <v>330450</v>
      </c>
      <c r="I98" s="267" t="n">
        <f aca="false">+D98-H98</f>
        <v>0</v>
      </c>
      <c r="J98" s="267" t="n">
        <f aca="false">+I98*$J$96</f>
        <v>0</v>
      </c>
      <c r="K98" s="267" t="n">
        <f aca="false">+I98*$K$96</f>
        <v>0</v>
      </c>
      <c r="N98" s="267" t="s">
        <v>293</v>
      </c>
      <c r="Q98" s="277" t="n">
        <v>750</v>
      </c>
      <c r="R98" s="278" t="n">
        <f aca="false">+Q98/$Q$100</f>
        <v>0.75</v>
      </c>
      <c r="S98" s="277" t="n">
        <v>750</v>
      </c>
      <c r="T98" s="278" t="n">
        <f aca="false">+S98/$S$100</f>
        <v>0.75</v>
      </c>
      <c r="U98" s="277" t="n">
        <f aca="false">+Q98-S98</f>
        <v>0</v>
      </c>
      <c r="V98" s="278" t="n">
        <f aca="false">+R98-T98</f>
        <v>0</v>
      </c>
    </row>
    <row r="99" customFormat="false" ht="15" hidden="false" customHeight="false" outlineLevel="0" collapsed="false">
      <c r="B99" s="311" t="s">
        <v>90</v>
      </c>
      <c r="C99" s="267" t="n">
        <f aca="false">Participaciones!M5</f>
        <v>0</v>
      </c>
      <c r="D99" s="267" t="n">
        <v>109633</v>
      </c>
      <c r="E99" s="267" t="n">
        <f aca="false">C99-D99</f>
        <v>-109633</v>
      </c>
      <c r="H99" s="267" t="n">
        <v>109633.48</v>
      </c>
      <c r="I99" s="267" t="n">
        <f aca="false">+D99-H99</f>
        <v>-0.479999999995925</v>
      </c>
      <c r="J99" s="267" t="n">
        <f aca="false">+I99*$J$96</f>
        <v>-0.359999999996944</v>
      </c>
      <c r="K99" s="267" t="n">
        <f aca="false">+I99*$K$96</f>
        <v>-0.119999999998981</v>
      </c>
      <c r="N99" s="267" t="s">
        <v>296</v>
      </c>
      <c r="Q99" s="282" t="n">
        <v>250</v>
      </c>
      <c r="R99" s="278" t="n">
        <f aca="false">+Q99/$Q$100</f>
        <v>0.25</v>
      </c>
      <c r="S99" s="282" t="n">
        <v>250</v>
      </c>
      <c r="T99" s="278" t="n">
        <f aca="false">+S99/$S$100</f>
        <v>0.25</v>
      </c>
      <c r="U99" s="277" t="n">
        <f aca="false">+Q99-S99</f>
        <v>0</v>
      </c>
      <c r="V99" s="278" t="n">
        <f aca="false">+R99-T99</f>
        <v>0</v>
      </c>
    </row>
    <row r="100" customFormat="false" ht="14.25" hidden="false" customHeight="false" outlineLevel="0" collapsed="false">
      <c r="B100" s="311" t="s">
        <v>91</v>
      </c>
      <c r="C100" s="267" t="n">
        <f aca="false">Participaciones!M6</f>
        <v>0</v>
      </c>
      <c r="D100" s="267" t="n">
        <v>0</v>
      </c>
      <c r="E100" s="267" t="n">
        <f aca="false">C100-D100</f>
        <v>0</v>
      </c>
      <c r="H100" s="267" t="n">
        <v>0</v>
      </c>
      <c r="I100" s="267" t="n">
        <f aca="false">+D100-H100</f>
        <v>0</v>
      </c>
      <c r="J100" s="267" t="n">
        <f aca="false">+I100*$J$96</f>
        <v>0</v>
      </c>
      <c r="K100" s="267" t="n">
        <f aca="false">+I100*$K$96</f>
        <v>0</v>
      </c>
      <c r="Q100" s="277" t="n">
        <f aca="false">SUM(Q98:Q99)</f>
        <v>1000</v>
      </c>
      <c r="R100" s="285"/>
      <c r="S100" s="277" t="n">
        <f aca="false">SUM(S98:S99)</f>
        <v>1000</v>
      </c>
      <c r="T100" s="285"/>
      <c r="U100" s="277" t="n">
        <f aca="false">SUM(U98:U99)</f>
        <v>0</v>
      </c>
      <c r="V100" s="285"/>
    </row>
    <row r="101" customFormat="false" ht="14.25" hidden="false" customHeight="false" outlineLevel="0" collapsed="false">
      <c r="B101" s="311" t="s">
        <v>92</v>
      </c>
      <c r="C101" s="267" t="n">
        <f aca="false">Participaciones!M7</f>
        <v>0</v>
      </c>
      <c r="D101" s="267" t="n">
        <v>0</v>
      </c>
      <c r="E101" s="267" t="n">
        <f aca="false">C101-D101</f>
        <v>0</v>
      </c>
      <c r="H101" s="267" t="n">
        <v>0</v>
      </c>
      <c r="I101" s="267" t="n">
        <f aca="false">+D101-H101</f>
        <v>0</v>
      </c>
      <c r="J101" s="267" t="n">
        <f aca="false">+I101*$J$96</f>
        <v>0</v>
      </c>
      <c r="K101" s="267" t="n">
        <f aca="false">+I101*$K$96</f>
        <v>0</v>
      </c>
    </row>
    <row r="102" customFormat="false" ht="14.25" hidden="false" customHeight="false" outlineLevel="0" collapsed="false">
      <c r="B102" s="311" t="s">
        <v>94</v>
      </c>
      <c r="C102" s="267" t="n">
        <f aca="false">Participaciones!M8</f>
        <v>0</v>
      </c>
      <c r="D102" s="267" t="n">
        <v>0</v>
      </c>
      <c r="E102" s="267" t="n">
        <f aca="false">C102-D102</f>
        <v>0</v>
      </c>
      <c r="H102" s="267" t="n">
        <v>0</v>
      </c>
      <c r="I102" s="267" t="n">
        <f aca="false">+D102-H102</f>
        <v>0</v>
      </c>
      <c r="J102" s="267" t="n">
        <f aca="false">+I102*$J$96</f>
        <v>0</v>
      </c>
      <c r="K102" s="267" t="n">
        <f aca="false">+I102*$K$96</f>
        <v>0</v>
      </c>
    </row>
    <row r="103" customFormat="false" ht="14.25" hidden="false" customHeight="false" outlineLevel="0" collapsed="false">
      <c r="B103" s="311" t="s">
        <v>95</v>
      </c>
      <c r="C103" s="332" t="n">
        <f aca="false">Participaciones!M11</f>
        <v>0</v>
      </c>
      <c r="D103" s="267" t="n">
        <f aca="false">'ESF - ERI'!X55</f>
        <v>-53896</v>
      </c>
      <c r="E103" s="267" t="n">
        <f aca="false">C103-D103</f>
        <v>53896</v>
      </c>
      <c r="H103" s="267" t="n">
        <f aca="false">-26948.34-13474.17</f>
        <v>-40422.51</v>
      </c>
      <c r="I103" s="267" t="n">
        <f aca="false">+D103-H103</f>
        <v>-13473.49</v>
      </c>
      <c r="J103" s="267" t="n">
        <f aca="false">+I103*$J$96</f>
        <v>-10105.1175</v>
      </c>
      <c r="K103" s="267" t="n">
        <f aca="false">+I103*$K$96</f>
        <v>-3368.3725</v>
      </c>
    </row>
    <row r="104" customFormat="false" ht="14.25" hidden="false" customHeight="false" outlineLevel="0" collapsed="false">
      <c r="B104" s="311" t="s">
        <v>358</v>
      </c>
      <c r="C104" s="322" t="n">
        <f aca="false">'Planilla final'!G73</f>
        <v>0</v>
      </c>
      <c r="D104" s="322" t="n">
        <f aca="false">'ESF - ERI'!X56</f>
        <v>-13474</v>
      </c>
      <c r="E104" s="322" t="n">
        <f aca="false">C104-D104</f>
        <v>13474</v>
      </c>
      <c r="F104" s="322"/>
      <c r="G104" s="322"/>
      <c r="H104" s="322" t="n">
        <v>-13474</v>
      </c>
      <c r="I104" s="322" t="n">
        <f aca="false">+D104-H104</f>
        <v>0</v>
      </c>
      <c r="J104" s="267" t="n">
        <f aca="false">+I104*$J$96</f>
        <v>0</v>
      </c>
      <c r="K104" s="267" t="n">
        <f aca="false">+I104*$K$96</f>
        <v>0</v>
      </c>
    </row>
    <row r="106" customFormat="false" ht="15" hidden="false" customHeight="false" outlineLevel="0" collapsed="false">
      <c r="B106" s="313" t="s">
        <v>359</v>
      </c>
      <c r="C106" s="312" t="n">
        <f aca="false">SUM(C97:C105)</f>
        <v>0</v>
      </c>
      <c r="D106" s="312" t="n">
        <f aca="false">SUM(D97:D105)</f>
        <v>373713</v>
      </c>
      <c r="E106" s="312" t="n">
        <f aca="false">C106-D106</f>
        <v>-373713</v>
      </c>
      <c r="F106" s="312"/>
      <c r="G106" s="312"/>
      <c r="H106" s="312" t="n">
        <f aca="false">SUM(H97:H105)</f>
        <v>387186.97</v>
      </c>
      <c r="I106" s="312" t="n">
        <f aca="false">SUM(I97:I104)</f>
        <v>-13473.97</v>
      </c>
      <c r="J106" s="312"/>
      <c r="K106" s="312"/>
      <c r="L106" s="312"/>
    </row>
    <row r="107" customFormat="false" ht="15" hidden="false" customHeight="false" outlineLevel="0" collapsed="false">
      <c r="B107" s="311" t="s">
        <v>366</v>
      </c>
      <c r="C107" s="328" t="n">
        <f aca="false">-C98</f>
        <v>-0</v>
      </c>
      <c r="D107" s="328" t="n">
        <f aca="false">-D98</f>
        <v>-330450</v>
      </c>
      <c r="E107" s="328" t="n">
        <f aca="false">C107-D107</f>
        <v>330450</v>
      </c>
      <c r="F107" s="328"/>
      <c r="G107" s="328"/>
      <c r="H107" s="328" t="n">
        <f aca="false">-H98</f>
        <v>-330450</v>
      </c>
      <c r="J107" s="312"/>
      <c r="K107" s="312"/>
      <c r="L107" s="312"/>
    </row>
    <row r="108" customFormat="false" ht="15" hidden="false" customHeight="false" outlineLevel="0" collapsed="false">
      <c r="C108" s="312"/>
      <c r="D108" s="312"/>
      <c r="E108" s="312"/>
      <c r="F108" s="312"/>
      <c r="G108" s="312"/>
      <c r="H108" s="312"/>
      <c r="J108" s="312"/>
      <c r="K108" s="312"/>
      <c r="L108" s="312"/>
    </row>
    <row r="109" customFormat="false" ht="15" hidden="false" customHeight="false" outlineLevel="0" collapsed="false">
      <c r="B109" s="313" t="s">
        <v>367</v>
      </c>
      <c r="C109" s="312" t="n">
        <f aca="false">SUM(C105:C107)</f>
        <v>0</v>
      </c>
      <c r="D109" s="312" t="n">
        <f aca="false">SUM(D105:D107)</f>
        <v>43263</v>
      </c>
      <c r="E109" s="312" t="n">
        <f aca="false">SUM(E98:E105)</f>
        <v>-372713</v>
      </c>
      <c r="F109" s="312"/>
      <c r="G109" s="312"/>
      <c r="H109" s="312" t="n">
        <f aca="false">SUM(H105:H107)</f>
        <v>56736.97</v>
      </c>
      <c r="I109" s="267" t="n">
        <f aca="false">+D109-H109</f>
        <v>-13473.97</v>
      </c>
      <c r="J109" s="312"/>
      <c r="K109" s="312"/>
      <c r="L109" s="312"/>
    </row>
    <row r="110" customFormat="false" ht="15" hidden="false" customHeight="false" outlineLevel="0" collapsed="false">
      <c r="B110" s="324" t="s">
        <v>360</v>
      </c>
      <c r="C110" s="312" t="n">
        <f aca="false">+(C109)*$J$96</f>
        <v>0</v>
      </c>
      <c r="D110" s="312" t="n">
        <f aca="false">+(D109)*$J$96</f>
        <v>32447.25</v>
      </c>
      <c r="E110" s="312" t="n">
        <f aca="false">C110-D110</f>
        <v>-32447.25</v>
      </c>
      <c r="F110" s="312"/>
      <c r="G110" s="312"/>
      <c r="H110" s="312" t="n">
        <f aca="false">+(H109)*$J$96</f>
        <v>42552.7275</v>
      </c>
      <c r="I110" s="312" t="n">
        <f aca="false">+D110-H110</f>
        <v>-10105.4775</v>
      </c>
      <c r="J110" s="312"/>
      <c r="K110" s="312"/>
      <c r="L110" s="312"/>
    </row>
    <row r="111" customFormat="false" ht="15" hidden="false" customHeight="false" outlineLevel="0" collapsed="false">
      <c r="B111" s="324" t="s">
        <v>361</v>
      </c>
      <c r="C111" s="312" t="n">
        <f aca="false">+C109*$K$96</f>
        <v>0</v>
      </c>
      <c r="D111" s="312" t="n">
        <f aca="false">+D109*$K$96</f>
        <v>10815.75</v>
      </c>
      <c r="E111" s="312" t="n">
        <f aca="false">C111-D111</f>
        <v>-10815.75</v>
      </c>
      <c r="F111" s="312"/>
      <c r="G111" s="312"/>
      <c r="H111" s="312" t="n">
        <f aca="false">+H109*$K$96</f>
        <v>14184.2425</v>
      </c>
      <c r="I111" s="312" t="n">
        <f aca="false">+D111-H111</f>
        <v>-3368.4925</v>
      </c>
    </row>
    <row r="112" customFormat="false" ht="15" hidden="false" customHeight="false" outlineLevel="0" collapsed="false">
      <c r="B112" s="324" t="s">
        <v>259</v>
      </c>
      <c r="C112" s="312" t="n">
        <f aca="false">SUM(C110:C111)</f>
        <v>0</v>
      </c>
      <c r="D112" s="312" t="n">
        <f aca="false">SUM(D110:D111)</f>
        <v>43263</v>
      </c>
      <c r="E112" s="312" t="n">
        <f aca="false">C112-D112</f>
        <v>-43263</v>
      </c>
      <c r="F112" s="312"/>
      <c r="G112" s="312"/>
      <c r="H112" s="312" t="n">
        <f aca="false">SUM(H110:H111)</f>
        <v>56736.97</v>
      </c>
      <c r="I112" s="312" t="n">
        <f aca="false">+D112-H112</f>
        <v>-13473.97</v>
      </c>
    </row>
    <row r="113" customFormat="false" ht="15" hidden="false" customHeight="false" outlineLevel="0" collapsed="false">
      <c r="B113" s="324"/>
      <c r="C113" s="267" t="n">
        <f aca="false">C109-C112</f>
        <v>0</v>
      </c>
      <c r="D113" s="267" t="n">
        <f aca="false">D109-D112</f>
        <v>0</v>
      </c>
      <c r="E113" s="312" t="n">
        <f aca="false">C113-D113</f>
        <v>0</v>
      </c>
      <c r="H113" s="267" t="n">
        <f aca="false">H109-H112</f>
        <v>0</v>
      </c>
    </row>
    <row r="114" customFormat="false" ht="15" hidden="false" customHeight="false" outlineLevel="0" collapsed="false">
      <c r="B114" s="324"/>
      <c r="C114" s="324"/>
    </row>
    <row r="115" customFormat="false" ht="15" hidden="false" customHeight="false" outlineLevel="0" collapsed="false">
      <c r="F115" s="312" t="s">
        <v>352</v>
      </c>
      <c r="G115" s="312" t="s">
        <v>353</v>
      </c>
      <c r="J115" s="312" t="s">
        <v>352</v>
      </c>
      <c r="K115" s="312" t="s">
        <v>353</v>
      </c>
    </row>
    <row r="116" customFormat="false" ht="15" hidden="false" customHeight="false" outlineLevel="0" collapsed="false">
      <c r="B116" s="313" t="s">
        <v>372</v>
      </c>
      <c r="C116" s="314" t="s">
        <v>389</v>
      </c>
      <c r="D116" s="314" t="s">
        <v>355</v>
      </c>
      <c r="E116" s="314" t="s">
        <v>5</v>
      </c>
      <c r="F116" s="314"/>
      <c r="G116" s="314"/>
      <c r="H116" s="314" t="s">
        <v>356</v>
      </c>
      <c r="I116" s="314" t="s">
        <v>5</v>
      </c>
      <c r="J116" s="315" t="n">
        <f aca="false">+R118</f>
        <v>0.928</v>
      </c>
      <c r="K116" s="316" t="n">
        <f aca="false">+R119</f>
        <v>0.072</v>
      </c>
      <c r="L116" s="314"/>
    </row>
    <row r="117" customFormat="false" ht="15" hidden="false" customHeight="false" outlineLevel="0" collapsed="false">
      <c r="B117" s="311" t="s">
        <v>87</v>
      </c>
      <c r="C117" s="267" t="n">
        <v>5000</v>
      </c>
      <c r="D117" s="267" t="n">
        <v>5000</v>
      </c>
      <c r="E117" s="267" t="n">
        <f aca="false">C117-D117</f>
        <v>0</v>
      </c>
      <c r="H117" s="267" t="n">
        <v>5000</v>
      </c>
      <c r="I117" s="267" t="n">
        <f aca="false">+D117-H117</f>
        <v>0</v>
      </c>
      <c r="J117" s="267" t="n">
        <f aca="false">+I117*$J$116</f>
        <v>0</v>
      </c>
      <c r="K117" s="267" t="n">
        <f aca="false">+I117*$K$116</f>
        <v>0</v>
      </c>
      <c r="Q117" s="317" t="n">
        <v>2017</v>
      </c>
      <c r="R117" s="317"/>
      <c r="S117" s="317" t="n">
        <v>2016</v>
      </c>
      <c r="T117" s="317"/>
      <c r="U117" s="317" t="s">
        <v>5</v>
      </c>
      <c r="V117" s="317"/>
    </row>
    <row r="118" customFormat="false" ht="15" hidden="false" customHeight="false" outlineLevel="0" collapsed="false">
      <c r="B118" s="311" t="s">
        <v>88</v>
      </c>
      <c r="C118" s="267" t="n">
        <v>0</v>
      </c>
      <c r="D118" s="267" t="n">
        <v>0</v>
      </c>
      <c r="E118" s="267" t="n">
        <f aca="false">C118-D118</f>
        <v>0</v>
      </c>
      <c r="H118" s="267" t="n">
        <v>0</v>
      </c>
      <c r="I118" s="267" t="n">
        <f aca="false">+D118-H118</f>
        <v>0</v>
      </c>
      <c r="J118" s="267" t="n">
        <f aca="false">+I118*$J$116</f>
        <v>0</v>
      </c>
      <c r="K118" s="267" t="n">
        <f aca="false">+I118*$K$116</f>
        <v>0</v>
      </c>
      <c r="N118" s="267" t="s">
        <v>293</v>
      </c>
      <c r="Q118" s="277" t="n">
        <v>4640</v>
      </c>
      <c r="R118" s="278" t="n">
        <f aca="false">+Q118/$Q$120</f>
        <v>0.928</v>
      </c>
      <c r="S118" s="277" t="n">
        <v>4640</v>
      </c>
      <c r="T118" s="278" t="n">
        <f aca="false">+S118/$S$120</f>
        <v>0.928</v>
      </c>
      <c r="U118" s="277" t="n">
        <f aca="false">+Q118-S118</f>
        <v>0</v>
      </c>
      <c r="V118" s="278" t="n">
        <f aca="false">+R118-T118</f>
        <v>0</v>
      </c>
    </row>
    <row r="119" customFormat="false" ht="15" hidden="false" customHeight="false" outlineLevel="0" collapsed="false">
      <c r="B119" s="311" t="s">
        <v>90</v>
      </c>
      <c r="C119" s="267" t="n">
        <v>0</v>
      </c>
      <c r="D119" s="267" t="n">
        <v>0</v>
      </c>
      <c r="E119" s="267" t="n">
        <f aca="false">C119-D119</f>
        <v>0</v>
      </c>
      <c r="H119" s="267" t="n">
        <v>0</v>
      </c>
      <c r="I119" s="267" t="n">
        <f aca="false">+D119-H119</f>
        <v>0</v>
      </c>
      <c r="J119" s="267" t="n">
        <f aca="false">+I119*$J$116</f>
        <v>0</v>
      </c>
      <c r="K119" s="267" t="n">
        <f aca="false">+I119*$K$116</f>
        <v>0</v>
      </c>
      <c r="N119" s="267" t="s">
        <v>296</v>
      </c>
      <c r="Q119" s="282" t="n">
        <v>360</v>
      </c>
      <c r="R119" s="278" t="n">
        <f aca="false">+Q119/$Q$120</f>
        <v>0.072</v>
      </c>
      <c r="S119" s="282" t="n">
        <v>360</v>
      </c>
      <c r="T119" s="278" t="n">
        <f aca="false">+S119/$S$120</f>
        <v>0.072</v>
      </c>
      <c r="U119" s="277" t="n">
        <f aca="false">+Q119-S119</f>
        <v>0</v>
      </c>
      <c r="V119" s="278" t="n">
        <f aca="false">+R119-T119</f>
        <v>0</v>
      </c>
    </row>
    <row r="120" customFormat="false" ht="14.25" hidden="false" customHeight="false" outlineLevel="0" collapsed="false">
      <c r="B120" s="311" t="s">
        <v>91</v>
      </c>
      <c r="C120" s="267" t="n">
        <v>0</v>
      </c>
      <c r="D120" s="267" t="n">
        <v>0</v>
      </c>
      <c r="E120" s="267" t="n">
        <f aca="false">C120-D120</f>
        <v>0</v>
      </c>
      <c r="H120" s="267" t="n">
        <v>0</v>
      </c>
      <c r="I120" s="267" t="n">
        <f aca="false">+D120-H120</f>
        <v>0</v>
      </c>
      <c r="J120" s="267" t="n">
        <f aca="false">+I120*$J$116</f>
        <v>0</v>
      </c>
      <c r="K120" s="267" t="n">
        <f aca="false">+I120*$K$116</f>
        <v>0</v>
      </c>
      <c r="Q120" s="277" t="n">
        <f aca="false">SUM(Q118:Q119)</f>
        <v>5000</v>
      </c>
      <c r="R120" s="285"/>
      <c r="S120" s="277" t="n">
        <f aca="false">SUM(S118:S119)</f>
        <v>5000</v>
      </c>
      <c r="T120" s="285"/>
      <c r="U120" s="277" t="n">
        <f aca="false">SUM(U118:U119)</f>
        <v>0</v>
      </c>
      <c r="V120" s="285"/>
    </row>
    <row r="121" customFormat="false" ht="14.25" hidden="false" customHeight="false" outlineLevel="0" collapsed="false">
      <c r="B121" s="311" t="s">
        <v>92</v>
      </c>
      <c r="C121" s="267" t="n">
        <v>1226</v>
      </c>
      <c r="D121" s="267" t="n">
        <v>1226</v>
      </c>
      <c r="E121" s="267" t="n">
        <f aca="false">C121-D121</f>
        <v>0</v>
      </c>
      <c r="H121" s="267" t="n">
        <v>1226.12</v>
      </c>
      <c r="I121" s="267" t="n">
        <f aca="false">+D121-H121</f>
        <v>-0.119999999999891</v>
      </c>
      <c r="J121" s="267" t="n">
        <f aca="false">+I121*$J$116</f>
        <v>-0.111359999999899</v>
      </c>
      <c r="K121" s="267" t="n">
        <f aca="false">+I121*$K$116</f>
        <v>-0.00863999999999214</v>
      </c>
    </row>
    <row r="122" customFormat="false" ht="14.25" hidden="false" customHeight="false" outlineLevel="0" collapsed="false">
      <c r="B122" s="311" t="s">
        <v>94</v>
      </c>
      <c r="C122" s="267" t="n">
        <v>0</v>
      </c>
      <c r="D122" s="267" t="n">
        <v>0</v>
      </c>
      <c r="E122" s="267" t="n">
        <f aca="false">C122-D122</f>
        <v>0</v>
      </c>
      <c r="H122" s="267" t="n">
        <v>0</v>
      </c>
      <c r="I122" s="267" t="n">
        <f aca="false">+D122-H122</f>
        <v>0</v>
      </c>
      <c r="J122" s="267" t="n">
        <f aca="false">+I122*$J$116</f>
        <v>0</v>
      </c>
      <c r="K122" s="267" t="n">
        <f aca="false">+I122*$K$116</f>
        <v>0</v>
      </c>
    </row>
    <row r="123" customFormat="false" ht="19.5" hidden="false" customHeight="false" outlineLevel="0" collapsed="false">
      <c r="B123" s="311" t="s">
        <v>95</v>
      </c>
      <c r="C123" s="267" t="n">
        <v>1763</v>
      </c>
      <c r="D123" s="267" t="n">
        <v>1763</v>
      </c>
      <c r="E123" s="267" t="n">
        <f aca="false">C123-D123</f>
        <v>0</v>
      </c>
      <c r="H123" s="267" t="n">
        <v>1763</v>
      </c>
      <c r="I123" s="267" t="n">
        <f aca="false">+D123-H123</f>
        <v>0</v>
      </c>
      <c r="J123" s="267" t="n">
        <f aca="false">+I123*$J$116</f>
        <v>0</v>
      </c>
      <c r="K123" s="267" t="n">
        <f aca="false">+I123*$K$116</f>
        <v>0</v>
      </c>
      <c r="M123" s="327" t="s">
        <v>373</v>
      </c>
    </row>
    <row r="124" customFormat="false" ht="14.25" hidden="false" customHeight="false" outlineLevel="0" collapsed="false">
      <c r="B124" s="311" t="s">
        <v>358</v>
      </c>
      <c r="C124" s="322" t="n">
        <v>0</v>
      </c>
      <c r="D124" s="322" t="n">
        <v>0</v>
      </c>
      <c r="E124" s="322" t="n">
        <f aca="false">C124-D124</f>
        <v>0</v>
      </c>
      <c r="F124" s="322"/>
      <c r="G124" s="322"/>
      <c r="H124" s="322" t="n">
        <v>0</v>
      </c>
      <c r="I124" s="322" t="n">
        <f aca="false">+D124-H124</f>
        <v>0</v>
      </c>
      <c r="J124" s="267" t="n">
        <f aca="false">+I124*$J$116</f>
        <v>0</v>
      </c>
      <c r="K124" s="267" t="n">
        <f aca="false">+I124*$K$116</f>
        <v>0</v>
      </c>
    </row>
    <row r="126" customFormat="false" ht="15" hidden="false" customHeight="false" outlineLevel="0" collapsed="false">
      <c r="B126" s="313" t="s">
        <v>374</v>
      </c>
      <c r="C126" s="312" t="n">
        <f aca="false">SUM(C117:C125)</f>
        <v>7989</v>
      </c>
      <c r="D126" s="312" t="n">
        <f aca="false">SUM(D117:D125)</f>
        <v>7989</v>
      </c>
      <c r="E126" s="312" t="n">
        <f aca="false">SUM(E115:E122)</f>
        <v>0</v>
      </c>
      <c r="F126" s="312"/>
      <c r="G126" s="312"/>
      <c r="H126" s="312" t="n">
        <f aca="false">SUM(H117:H125)</f>
        <v>7989.12</v>
      </c>
      <c r="I126" s="312" t="n">
        <f aca="false">SUM(I117:I124)</f>
        <v>-0.119999999999891</v>
      </c>
      <c r="J126" s="312"/>
      <c r="K126" s="312"/>
      <c r="L126" s="312"/>
    </row>
    <row r="127" customFormat="false" ht="15" hidden="false" customHeight="false" outlineLevel="0" collapsed="false">
      <c r="B127" s="324" t="s">
        <v>360</v>
      </c>
      <c r="C127" s="312" t="n">
        <f aca="false">+(C126)*$F$116</f>
        <v>0</v>
      </c>
      <c r="D127" s="312" t="n">
        <f aca="false">+(D126)*$J$116</f>
        <v>7413.792</v>
      </c>
      <c r="E127" s="312" t="n">
        <f aca="false">C127-D127</f>
        <v>-7413.792</v>
      </c>
      <c r="F127" s="312"/>
      <c r="G127" s="312"/>
      <c r="H127" s="312" t="n">
        <f aca="false">+(H126)*$J$116</f>
        <v>7413.90336</v>
      </c>
      <c r="I127" s="312" t="n">
        <f aca="false">+D127-H127</f>
        <v>-0.111359999999877</v>
      </c>
      <c r="J127" s="312"/>
      <c r="K127" s="312"/>
      <c r="L127" s="312"/>
    </row>
    <row r="128" customFormat="false" ht="15" hidden="false" customHeight="false" outlineLevel="0" collapsed="false">
      <c r="B128" s="324" t="s">
        <v>361</v>
      </c>
      <c r="C128" s="312" t="n">
        <f aca="false">+C126*$G$116</f>
        <v>0</v>
      </c>
      <c r="D128" s="312" t="n">
        <f aca="false">+D126*$K$116</f>
        <v>575.208</v>
      </c>
      <c r="E128" s="312" t="n">
        <f aca="false">C128-D128</f>
        <v>-575.208</v>
      </c>
      <c r="F128" s="312"/>
      <c r="G128" s="312"/>
      <c r="H128" s="312" t="n">
        <f aca="false">+H126*$K$116</f>
        <v>575.21664</v>
      </c>
      <c r="I128" s="312" t="n">
        <f aca="false">+D128-H128</f>
        <v>-0.00863999999990028</v>
      </c>
      <c r="J128" s="312"/>
      <c r="K128" s="312"/>
      <c r="L128" s="312"/>
    </row>
    <row r="129" customFormat="false" ht="15" hidden="false" customHeight="false" outlineLevel="0" collapsed="false">
      <c r="B129" s="324" t="s">
        <v>259</v>
      </c>
      <c r="C129" s="312" t="n">
        <f aca="false">SUM(C127:C128)</f>
        <v>0</v>
      </c>
      <c r="D129" s="312" t="n">
        <f aca="false">SUM(D127:D128)</f>
        <v>7989</v>
      </c>
      <c r="E129" s="312" t="n">
        <f aca="false">C129-D129</f>
        <v>-7989</v>
      </c>
      <c r="F129" s="312"/>
      <c r="G129" s="312"/>
      <c r="H129" s="312" t="n">
        <f aca="false">SUM(H127:H128)</f>
        <v>7989.12</v>
      </c>
      <c r="I129" s="312" t="n">
        <f aca="false">+D129-H129</f>
        <v>-0.119999999999891</v>
      </c>
    </row>
    <row r="130" customFormat="false" ht="15" hidden="false" customHeight="false" outlineLevel="0" collapsed="false">
      <c r="B130" s="324"/>
      <c r="C130" s="267" t="n">
        <f aca="false">C126-C129</f>
        <v>7989</v>
      </c>
      <c r="D130" s="267" t="n">
        <f aca="false">D126-D129</f>
        <v>0</v>
      </c>
      <c r="E130" s="312" t="n">
        <f aca="false">C130-D130</f>
        <v>7989</v>
      </c>
      <c r="H130" s="267" t="n">
        <f aca="false">H126-H129</f>
        <v>0</v>
      </c>
    </row>
    <row r="132" customFormat="false" ht="15" hidden="false" customHeight="false" outlineLevel="0" collapsed="false">
      <c r="F132" s="312" t="s">
        <v>352</v>
      </c>
      <c r="G132" s="312" t="s">
        <v>353</v>
      </c>
      <c r="J132" s="312" t="s">
        <v>352</v>
      </c>
      <c r="K132" s="312" t="s">
        <v>353</v>
      </c>
    </row>
    <row r="133" customFormat="false" ht="15" hidden="false" customHeight="false" outlineLevel="0" collapsed="false">
      <c r="B133" s="313" t="s">
        <v>375</v>
      </c>
      <c r="C133" s="314" t="s">
        <v>389</v>
      </c>
      <c r="D133" s="314" t="s">
        <v>355</v>
      </c>
      <c r="E133" s="314" t="s">
        <v>5</v>
      </c>
      <c r="F133" s="314"/>
      <c r="G133" s="314"/>
      <c r="H133" s="314" t="s">
        <v>356</v>
      </c>
      <c r="I133" s="314" t="s">
        <v>5</v>
      </c>
      <c r="J133" s="315" t="n">
        <f aca="false">+R135</f>
        <v>0.6</v>
      </c>
      <c r="K133" s="316" t="n">
        <f aca="false">+R136</f>
        <v>0.4</v>
      </c>
      <c r="L133" s="314"/>
    </row>
    <row r="134" customFormat="false" ht="15" hidden="false" customHeight="false" outlineLevel="0" collapsed="false">
      <c r="B134" s="311" t="s">
        <v>87</v>
      </c>
      <c r="C134" s="267" t="n">
        <f aca="false">Participaciones!Q3</f>
        <v>0</v>
      </c>
      <c r="D134" s="267" t="n">
        <v>10000</v>
      </c>
      <c r="E134" s="267" t="n">
        <f aca="false">C134-D134</f>
        <v>-10000</v>
      </c>
      <c r="H134" s="267" t="n">
        <v>10000</v>
      </c>
      <c r="I134" s="267" t="n">
        <f aca="false">+D134-H134</f>
        <v>0</v>
      </c>
      <c r="J134" s="267" t="n">
        <f aca="false">+I134*$J$133</f>
        <v>0</v>
      </c>
      <c r="K134" s="267" t="n">
        <f aca="false">+I134*$K$133</f>
        <v>0</v>
      </c>
      <c r="Q134" s="317" t="n">
        <v>2017</v>
      </c>
      <c r="R134" s="317"/>
      <c r="S134" s="317" t="n">
        <v>2016</v>
      </c>
      <c r="T134" s="317"/>
      <c r="U134" s="317" t="s">
        <v>5</v>
      </c>
      <c r="V134" s="317"/>
    </row>
    <row r="135" customFormat="false" ht="15" hidden="false" customHeight="false" outlineLevel="0" collapsed="false">
      <c r="B135" s="311" t="s">
        <v>88</v>
      </c>
      <c r="C135" s="267" t="n">
        <f aca="false">Participaciones!Q4</f>
        <v>0</v>
      </c>
      <c r="D135" s="267" t="n">
        <v>0</v>
      </c>
      <c r="E135" s="267" t="n">
        <f aca="false">C135-D135</f>
        <v>0</v>
      </c>
      <c r="H135" s="267" t="n">
        <v>0</v>
      </c>
      <c r="I135" s="267" t="n">
        <f aca="false">+D135-H135</f>
        <v>0</v>
      </c>
      <c r="J135" s="267" t="n">
        <f aca="false">+I135*$J$133</f>
        <v>0</v>
      </c>
      <c r="K135" s="267" t="n">
        <f aca="false">+I135*$K$133</f>
        <v>0</v>
      </c>
      <c r="N135" s="267" t="s">
        <v>293</v>
      </c>
      <c r="Q135" s="277" t="n">
        <v>6000</v>
      </c>
      <c r="R135" s="278" t="n">
        <f aca="false">+Q135/$Q$137</f>
        <v>0.6</v>
      </c>
      <c r="S135" s="277" t="n">
        <v>6000</v>
      </c>
      <c r="T135" s="278" t="n">
        <f aca="false">+S135/$S$137</f>
        <v>0.6</v>
      </c>
      <c r="U135" s="277" t="n">
        <f aca="false">+Q135-S135</f>
        <v>0</v>
      </c>
      <c r="V135" s="278" t="n">
        <f aca="false">+R135-T135</f>
        <v>0</v>
      </c>
    </row>
    <row r="136" customFormat="false" ht="15" hidden="false" customHeight="false" outlineLevel="0" collapsed="false">
      <c r="B136" s="311" t="s">
        <v>90</v>
      </c>
      <c r="C136" s="267" t="n">
        <f aca="false">Participaciones!Q5</f>
        <v>0</v>
      </c>
      <c r="D136" s="267" t="n">
        <v>0</v>
      </c>
      <c r="E136" s="267" t="n">
        <f aca="false">C136-D136</f>
        <v>0</v>
      </c>
      <c r="H136" s="267" t="n">
        <v>0</v>
      </c>
      <c r="I136" s="267" t="n">
        <f aca="false">+D136-H136</f>
        <v>0</v>
      </c>
      <c r="J136" s="267" t="n">
        <f aca="false">+I136*$J$133</f>
        <v>0</v>
      </c>
      <c r="K136" s="267" t="n">
        <f aca="false">+I136*$K$133</f>
        <v>0</v>
      </c>
      <c r="N136" s="267" t="s">
        <v>296</v>
      </c>
      <c r="Q136" s="282" t="n">
        <v>4000</v>
      </c>
      <c r="R136" s="278" t="n">
        <f aca="false">+Q136/$Q$137</f>
        <v>0.4</v>
      </c>
      <c r="S136" s="282" t="n">
        <v>4000</v>
      </c>
      <c r="T136" s="278" t="n">
        <f aca="false">+S136/$S$137</f>
        <v>0.4</v>
      </c>
      <c r="U136" s="277" t="n">
        <f aca="false">+Q136-S136</f>
        <v>0</v>
      </c>
      <c r="V136" s="278" t="n">
        <f aca="false">+R136-T136</f>
        <v>0</v>
      </c>
    </row>
    <row r="137" customFormat="false" ht="14.25" hidden="false" customHeight="false" outlineLevel="0" collapsed="false">
      <c r="B137" s="311" t="s">
        <v>91</v>
      </c>
      <c r="C137" s="267" t="n">
        <f aca="false">Participaciones!Q6</f>
        <v>0</v>
      </c>
      <c r="D137" s="267" t="n">
        <v>0</v>
      </c>
      <c r="E137" s="267" t="n">
        <f aca="false">C137-D137</f>
        <v>0</v>
      </c>
      <c r="H137" s="267" t="n">
        <v>0</v>
      </c>
      <c r="I137" s="267" t="n">
        <f aca="false">+D137-H137</f>
        <v>0</v>
      </c>
      <c r="J137" s="267" t="n">
        <f aca="false">+I137*$J$133</f>
        <v>0</v>
      </c>
      <c r="K137" s="267" t="n">
        <f aca="false">+I137*$K$133</f>
        <v>0</v>
      </c>
      <c r="Q137" s="277" t="n">
        <f aca="false">SUM(Q135:Q136)</f>
        <v>10000</v>
      </c>
      <c r="R137" s="285"/>
      <c r="S137" s="277" t="n">
        <f aca="false">SUM(S135:S136)</f>
        <v>10000</v>
      </c>
      <c r="T137" s="285"/>
      <c r="U137" s="277" t="n">
        <f aca="false">SUM(U135:U136)</f>
        <v>0</v>
      </c>
      <c r="V137" s="285"/>
    </row>
    <row r="138" customFormat="false" ht="14.25" hidden="false" customHeight="false" outlineLevel="0" collapsed="false">
      <c r="B138" s="311" t="s">
        <v>92</v>
      </c>
      <c r="C138" s="267" t="n">
        <f aca="false">Participaciones!Q7</f>
        <v>0</v>
      </c>
      <c r="D138" s="267" t="n">
        <v>0</v>
      </c>
      <c r="E138" s="267" t="n">
        <f aca="false">C138-D138</f>
        <v>0</v>
      </c>
      <c r="H138" s="267" t="n">
        <v>0</v>
      </c>
      <c r="I138" s="267" t="n">
        <f aca="false">+D138-H138</f>
        <v>0</v>
      </c>
      <c r="J138" s="267" t="n">
        <f aca="false">+I138*$J$133</f>
        <v>0</v>
      </c>
      <c r="K138" s="267" t="n">
        <f aca="false">+I138*$K$133</f>
        <v>0</v>
      </c>
    </row>
    <row r="139" customFormat="false" ht="14.25" hidden="false" customHeight="false" outlineLevel="0" collapsed="false">
      <c r="B139" s="311" t="s">
        <v>94</v>
      </c>
      <c r="C139" s="267" t="n">
        <f aca="false">Participaciones!Q8</f>
        <v>0</v>
      </c>
      <c r="D139" s="267" t="n">
        <v>0</v>
      </c>
      <c r="E139" s="267" t="n">
        <f aca="false">C139-D139</f>
        <v>0</v>
      </c>
      <c r="H139" s="267" t="n">
        <v>0</v>
      </c>
      <c r="I139" s="267" t="n">
        <f aca="false">+D139-H139</f>
        <v>0</v>
      </c>
      <c r="J139" s="267" t="n">
        <f aca="false">+I139*$J$133</f>
        <v>0</v>
      </c>
      <c r="K139" s="267" t="n">
        <f aca="false">+I139*$K$133</f>
        <v>0</v>
      </c>
    </row>
    <row r="140" customFormat="false" ht="14.25" hidden="false" customHeight="false" outlineLevel="0" collapsed="false">
      <c r="B140" s="311" t="s">
        <v>95</v>
      </c>
      <c r="C140" s="267" t="n">
        <f aca="false">Participaciones!Q11</f>
        <v>0</v>
      </c>
      <c r="D140" s="267" t="n">
        <v>0</v>
      </c>
      <c r="E140" s="267" t="n">
        <f aca="false">C140-D140</f>
        <v>0</v>
      </c>
      <c r="H140" s="267" t="n">
        <v>0</v>
      </c>
      <c r="I140" s="267" t="n">
        <f aca="false">+D140-H140</f>
        <v>0</v>
      </c>
      <c r="J140" s="267" t="n">
        <f aca="false">+I140*$J$133</f>
        <v>0</v>
      </c>
      <c r="K140" s="267" t="n">
        <f aca="false">+I140*$K$133</f>
        <v>0</v>
      </c>
    </row>
    <row r="141" customFormat="false" ht="14.25" hidden="false" customHeight="false" outlineLevel="0" collapsed="false">
      <c r="B141" s="311" t="s">
        <v>358</v>
      </c>
      <c r="C141" s="322" t="n">
        <f aca="false">'Planilla final'!I73</f>
        <v>0</v>
      </c>
      <c r="D141" s="322" t="n">
        <v>0</v>
      </c>
      <c r="E141" s="322" t="n">
        <f aca="false">C141-D141</f>
        <v>0</v>
      </c>
      <c r="F141" s="322"/>
      <c r="G141" s="322"/>
      <c r="H141" s="322" t="n">
        <v>0</v>
      </c>
      <c r="I141" s="322" t="n">
        <f aca="false">+D141-H141</f>
        <v>0</v>
      </c>
      <c r="J141" s="267" t="n">
        <f aca="false">+I141*$J$133</f>
        <v>0</v>
      </c>
      <c r="K141" s="267" t="n">
        <f aca="false">+I141*$K$133</f>
        <v>0</v>
      </c>
    </row>
    <row r="143" customFormat="false" ht="15" hidden="false" customHeight="false" outlineLevel="0" collapsed="false">
      <c r="B143" s="313" t="s">
        <v>374</v>
      </c>
      <c r="C143" s="312" t="n">
        <f aca="false">SUM(C134:C142)</f>
        <v>0</v>
      </c>
      <c r="D143" s="312" t="n">
        <f aca="false">SUM(D134:D142)</f>
        <v>10000</v>
      </c>
      <c r="E143" s="312" t="n">
        <f aca="false">SUM(E132:E139)</f>
        <v>-10000</v>
      </c>
      <c r="F143" s="312"/>
      <c r="G143" s="312"/>
      <c r="H143" s="312" t="n">
        <f aca="false">SUM(H134:H142)</f>
        <v>10000</v>
      </c>
      <c r="I143" s="312" t="n">
        <f aca="false">SUM(I134:I141)</f>
        <v>0</v>
      </c>
      <c r="J143" s="312"/>
      <c r="K143" s="312"/>
      <c r="L143" s="312"/>
    </row>
    <row r="144" customFormat="false" ht="15" hidden="false" customHeight="false" outlineLevel="0" collapsed="false">
      <c r="B144" s="324" t="s">
        <v>360</v>
      </c>
      <c r="C144" s="312" t="n">
        <f aca="false">+(C143)*$F$133</f>
        <v>0</v>
      </c>
      <c r="D144" s="312" t="n">
        <f aca="false">+(D143)*$J$133</f>
        <v>6000</v>
      </c>
      <c r="E144" s="312" t="n">
        <f aca="false">C144-D144</f>
        <v>-6000</v>
      </c>
      <c r="F144" s="312"/>
      <c r="G144" s="312"/>
      <c r="H144" s="312" t="n">
        <f aca="false">+(H143)*$J$133</f>
        <v>6000</v>
      </c>
      <c r="I144" s="312" t="n">
        <f aca="false">+D144-H144</f>
        <v>0</v>
      </c>
      <c r="J144" s="312"/>
      <c r="K144" s="312"/>
      <c r="L144" s="312"/>
    </row>
    <row r="145" customFormat="false" ht="15" hidden="false" customHeight="false" outlineLevel="0" collapsed="false">
      <c r="B145" s="324" t="s">
        <v>361</v>
      </c>
      <c r="C145" s="312" t="n">
        <f aca="false">+C143*$G$133</f>
        <v>0</v>
      </c>
      <c r="D145" s="312" t="n">
        <f aca="false">+D143*$K$133</f>
        <v>4000</v>
      </c>
      <c r="E145" s="312" t="n">
        <f aca="false">C145-D145</f>
        <v>-4000</v>
      </c>
      <c r="F145" s="312"/>
      <c r="G145" s="312"/>
      <c r="H145" s="312" t="n">
        <f aca="false">+H143*$K$133</f>
        <v>4000</v>
      </c>
      <c r="I145" s="312" t="n">
        <f aca="false">+D145-H145</f>
        <v>0</v>
      </c>
    </row>
    <row r="146" customFormat="false" ht="15" hidden="false" customHeight="false" outlineLevel="0" collapsed="false">
      <c r="B146" s="324" t="s">
        <v>259</v>
      </c>
      <c r="C146" s="312" t="n">
        <f aca="false">SUM(C144:C145)</f>
        <v>0</v>
      </c>
      <c r="D146" s="312" t="n">
        <f aca="false">SUM(D144:D145)</f>
        <v>10000</v>
      </c>
      <c r="E146" s="312" t="n">
        <f aca="false">C146-D146</f>
        <v>-10000</v>
      </c>
      <c r="F146" s="312"/>
      <c r="G146" s="312"/>
      <c r="H146" s="312" t="n">
        <f aca="false">SUM(H144:H145)</f>
        <v>10000</v>
      </c>
      <c r="I146" s="312" t="n">
        <f aca="false">+D146-H146</f>
        <v>0</v>
      </c>
    </row>
    <row r="147" customFormat="false" ht="15" hidden="false" customHeight="false" outlineLevel="0" collapsed="false">
      <c r="B147" s="324"/>
      <c r="C147" s="267" t="n">
        <f aca="false">C143-C146</f>
        <v>0</v>
      </c>
      <c r="D147" s="267" t="n">
        <f aca="false">D143-D146</f>
        <v>0</v>
      </c>
      <c r="E147" s="312" t="n">
        <f aca="false">C147-D147</f>
        <v>0</v>
      </c>
      <c r="H147" s="267" t="n">
        <f aca="false">H143-H146</f>
        <v>0</v>
      </c>
    </row>
    <row r="148" customFormat="false" ht="15" hidden="false" customHeight="false" outlineLevel="0" collapsed="false">
      <c r="B148" s="324"/>
      <c r="C148" s="324"/>
      <c r="D148" s="312"/>
      <c r="E148" s="312"/>
      <c r="F148" s="312"/>
      <c r="G148" s="312"/>
      <c r="H148" s="312"/>
      <c r="I148" s="312"/>
    </row>
    <row r="149" customFormat="false" ht="15" hidden="false" customHeight="false" outlineLevel="0" collapsed="false">
      <c r="F149" s="312" t="s">
        <v>352</v>
      </c>
      <c r="G149" s="312" t="s">
        <v>353</v>
      </c>
      <c r="J149" s="312" t="s">
        <v>352</v>
      </c>
      <c r="K149" s="312" t="s">
        <v>353</v>
      </c>
    </row>
    <row r="150" customFormat="false" ht="15" hidden="false" customHeight="false" outlineLevel="0" collapsed="false">
      <c r="B150" s="313" t="s">
        <v>376</v>
      </c>
      <c r="C150" s="314" t="s">
        <v>389</v>
      </c>
      <c r="D150" s="314" t="s">
        <v>355</v>
      </c>
      <c r="E150" s="314" t="s">
        <v>5</v>
      </c>
      <c r="F150" s="314"/>
      <c r="G150" s="314"/>
      <c r="H150" s="314" t="s">
        <v>356</v>
      </c>
      <c r="I150" s="314" t="s">
        <v>5</v>
      </c>
      <c r="J150" s="315" t="n">
        <f aca="false">+R152</f>
        <v>0.99995</v>
      </c>
      <c r="K150" s="316" t="n">
        <f aca="false">+R153</f>
        <v>5E-005</v>
      </c>
      <c r="L150" s="314"/>
    </row>
    <row r="151" customFormat="false" ht="15" hidden="false" customHeight="false" outlineLevel="0" collapsed="false">
      <c r="B151" s="311" t="s">
        <v>87</v>
      </c>
      <c r="C151" s="267" t="n">
        <f aca="false">Participaciones!S3</f>
        <v>0</v>
      </c>
      <c r="D151" s="267" t="n">
        <v>800</v>
      </c>
      <c r="E151" s="267" t="n">
        <f aca="false">C151-D151</f>
        <v>-800</v>
      </c>
      <c r="H151" s="267" t="n">
        <v>800</v>
      </c>
      <c r="I151" s="267" t="n">
        <f aca="false">+D151-H151</f>
        <v>0</v>
      </c>
      <c r="J151" s="267" t="n">
        <f aca="false">+I151*$J$150</f>
        <v>0</v>
      </c>
      <c r="K151" s="267" t="n">
        <f aca="false">+I151*$K$150</f>
        <v>0</v>
      </c>
      <c r="Q151" s="317" t="n">
        <v>2017</v>
      </c>
      <c r="R151" s="317"/>
      <c r="S151" s="317" t="n">
        <v>2016</v>
      </c>
      <c r="T151" s="317"/>
      <c r="U151" s="317" t="s">
        <v>5</v>
      </c>
      <c r="V151" s="317"/>
    </row>
    <row r="152" customFormat="false" ht="15" hidden="false" customHeight="false" outlineLevel="0" collapsed="false">
      <c r="B152" s="311" t="s">
        <v>88</v>
      </c>
      <c r="C152" s="267" t="n">
        <f aca="false">Participaciones!S4</f>
        <v>0</v>
      </c>
      <c r="D152" s="267" t="n">
        <v>0</v>
      </c>
      <c r="E152" s="267" t="n">
        <f aca="false">C152-D152</f>
        <v>0</v>
      </c>
      <c r="H152" s="267" t="n">
        <v>0</v>
      </c>
      <c r="I152" s="267" t="n">
        <f aca="false">+D152-H152</f>
        <v>0</v>
      </c>
      <c r="J152" s="267" t="n">
        <f aca="false">+I152*$J$150</f>
        <v>0</v>
      </c>
      <c r="K152" s="267" t="n">
        <f aca="false">+I152*$K$150</f>
        <v>0</v>
      </c>
      <c r="N152" s="267" t="s">
        <v>293</v>
      </c>
      <c r="Q152" s="277" t="n">
        <v>799.96</v>
      </c>
      <c r="R152" s="278" t="n">
        <f aca="false">+Q152/$Q$154</f>
        <v>0.99995</v>
      </c>
      <c r="S152" s="277" t="n">
        <v>799.96</v>
      </c>
      <c r="T152" s="278" t="n">
        <f aca="false">+S152/$S$154</f>
        <v>0.99995</v>
      </c>
      <c r="U152" s="277" t="n">
        <f aca="false">+Q152-S152</f>
        <v>0</v>
      </c>
      <c r="V152" s="278" t="n">
        <f aca="false">+R152-T152</f>
        <v>0</v>
      </c>
    </row>
    <row r="153" customFormat="false" ht="15" hidden="false" customHeight="false" outlineLevel="0" collapsed="false">
      <c r="B153" s="311" t="s">
        <v>90</v>
      </c>
      <c r="C153" s="267" t="n">
        <f aca="false">Participaciones!S5</f>
        <v>0</v>
      </c>
      <c r="D153" s="267" t="n">
        <v>0</v>
      </c>
      <c r="E153" s="267" t="n">
        <f aca="false">C153-D153</f>
        <v>0</v>
      </c>
      <c r="H153" s="267" t="n">
        <v>0</v>
      </c>
      <c r="I153" s="267" t="n">
        <f aca="false">+D153-H153</f>
        <v>0</v>
      </c>
      <c r="J153" s="267" t="n">
        <f aca="false">+I153*$J$150</f>
        <v>0</v>
      </c>
      <c r="K153" s="267" t="n">
        <f aca="false">+I153*$K$150</f>
        <v>0</v>
      </c>
      <c r="N153" s="267" t="s">
        <v>296</v>
      </c>
      <c r="Q153" s="282" t="n">
        <v>0.04</v>
      </c>
      <c r="R153" s="278" t="n">
        <f aca="false">+Q153/$Q$154</f>
        <v>5E-005</v>
      </c>
      <c r="S153" s="282" t="n">
        <v>0.04</v>
      </c>
      <c r="T153" s="278" t="n">
        <f aca="false">+S153/$S$154</f>
        <v>5E-005</v>
      </c>
      <c r="U153" s="277" t="n">
        <f aca="false">+Q153-S153</f>
        <v>0</v>
      </c>
      <c r="V153" s="278" t="n">
        <f aca="false">+R153-T153</f>
        <v>0</v>
      </c>
    </row>
    <row r="154" customFormat="false" ht="14.25" hidden="false" customHeight="false" outlineLevel="0" collapsed="false">
      <c r="B154" s="311" t="s">
        <v>91</v>
      </c>
      <c r="C154" s="267" t="n">
        <f aca="false">Participaciones!S6</f>
        <v>0</v>
      </c>
      <c r="D154" s="267" t="n">
        <v>0</v>
      </c>
      <c r="E154" s="267" t="n">
        <f aca="false">C154-D154</f>
        <v>0</v>
      </c>
      <c r="H154" s="267" t="n">
        <v>0</v>
      </c>
      <c r="I154" s="267" t="n">
        <f aca="false">+D154-H154</f>
        <v>0</v>
      </c>
      <c r="J154" s="267" t="n">
        <f aca="false">+I154*$J$150</f>
        <v>0</v>
      </c>
      <c r="K154" s="267" t="n">
        <f aca="false">+I154*$K$150</f>
        <v>0</v>
      </c>
      <c r="Q154" s="277" t="n">
        <f aca="false">SUM(Q152:Q153)</f>
        <v>800</v>
      </c>
      <c r="R154" s="285"/>
      <c r="S154" s="277" t="n">
        <f aca="false">SUM(S152:S153)</f>
        <v>800</v>
      </c>
      <c r="T154" s="285"/>
      <c r="U154" s="277" t="n">
        <f aca="false">SUM(U152:U153)</f>
        <v>0</v>
      </c>
      <c r="V154" s="285"/>
    </row>
    <row r="155" customFormat="false" ht="14.25" hidden="false" customHeight="false" outlineLevel="0" collapsed="false">
      <c r="B155" s="311" t="s">
        <v>92</v>
      </c>
      <c r="C155" s="267" t="n">
        <f aca="false">Participaciones!S7</f>
        <v>0</v>
      </c>
      <c r="D155" s="267" t="n">
        <v>340.17</v>
      </c>
      <c r="E155" s="267" t="n">
        <f aca="false">C155-D155</f>
        <v>-340.17</v>
      </c>
      <c r="H155" s="267" t="n">
        <v>340.17</v>
      </c>
      <c r="I155" s="267" t="n">
        <f aca="false">+D155-H155</f>
        <v>0</v>
      </c>
      <c r="J155" s="267" t="n">
        <f aca="false">+I155*$J$150</f>
        <v>0</v>
      </c>
      <c r="K155" s="267" t="n">
        <f aca="false">+I155*$K$150</f>
        <v>0</v>
      </c>
    </row>
    <row r="156" customFormat="false" ht="14.25" hidden="false" customHeight="false" outlineLevel="0" collapsed="false">
      <c r="B156" s="311" t="s">
        <v>94</v>
      </c>
      <c r="C156" s="267" t="n">
        <f aca="false">Participaciones!S8</f>
        <v>0</v>
      </c>
      <c r="D156" s="267" t="n">
        <v>0</v>
      </c>
      <c r="E156" s="267" t="n">
        <f aca="false">C156-D156</f>
        <v>0</v>
      </c>
      <c r="H156" s="267" t="n">
        <v>0</v>
      </c>
      <c r="I156" s="267" t="n">
        <f aca="false">+D156-H156</f>
        <v>0</v>
      </c>
      <c r="J156" s="267" t="n">
        <f aca="false">+I156*$J$150</f>
        <v>0</v>
      </c>
      <c r="K156" s="267" t="n">
        <f aca="false">+I156*$K$150</f>
        <v>0</v>
      </c>
    </row>
    <row r="157" customFormat="false" ht="14.25" hidden="false" customHeight="false" outlineLevel="0" collapsed="false">
      <c r="B157" s="311" t="s">
        <v>95</v>
      </c>
      <c r="C157" s="267" t="n">
        <f aca="false">Participaciones!S10</f>
        <v>0</v>
      </c>
      <c r="D157" s="267" t="n">
        <v>0</v>
      </c>
      <c r="E157" s="267" t="n">
        <f aca="false">C157-D157</f>
        <v>0</v>
      </c>
      <c r="H157" s="267" t="n">
        <v>0</v>
      </c>
      <c r="I157" s="267" t="n">
        <f aca="false">+D157-H157</f>
        <v>0</v>
      </c>
      <c r="J157" s="267" t="n">
        <f aca="false">+I157*$J$150</f>
        <v>0</v>
      </c>
      <c r="K157" s="267" t="n">
        <f aca="false">+I157*$K$150</f>
        <v>0</v>
      </c>
    </row>
    <row r="158" customFormat="false" ht="14.25" hidden="false" customHeight="false" outlineLevel="0" collapsed="false">
      <c r="B158" s="311" t="s">
        <v>358</v>
      </c>
      <c r="C158" s="322" t="n">
        <f aca="false">'Planilla final'!J73</f>
        <v>0</v>
      </c>
      <c r="D158" s="322" t="n">
        <v>0</v>
      </c>
      <c r="E158" s="322" t="n">
        <f aca="false">C158-D158</f>
        <v>0</v>
      </c>
      <c r="F158" s="322"/>
      <c r="G158" s="322"/>
      <c r="H158" s="322" t="n">
        <v>0</v>
      </c>
      <c r="I158" s="322" t="n">
        <f aca="false">+D158-H158</f>
        <v>0</v>
      </c>
      <c r="J158" s="267" t="n">
        <f aca="false">+I158*$J$150</f>
        <v>0</v>
      </c>
      <c r="K158" s="267" t="n">
        <f aca="false">+I158*$K$150</f>
        <v>0</v>
      </c>
    </row>
    <row r="160" customFormat="false" ht="15" hidden="false" customHeight="false" outlineLevel="0" collapsed="false">
      <c r="B160" s="313" t="s">
        <v>374</v>
      </c>
      <c r="C160" s="312" t="n">
        <f aca="false">SUM(C151:C159)</f>
        <v>0</v>
      </c>
      <c r="D160" s="312" t="n">
        <f aca="false">SUM(D151:D159)</f>
        <v>1140.17</v>
      </c>
      <c r="E160" s="312" t="n">
        <f aca="false">SUM(E149:E156)</f>
        <v>-1140.17</v>
      </c>
      <c r="F160" s="312"/>
      <c r="G160" s="312"/>
      <c r="H160" s="312" t="n">
        <f aca="false">SUM(H151:H159)</f>
        <v>1140.17</v>
      </c>
      <c r="I160" s="312" t="n">
        <f aca="false">SUM(I151:I158)</f>
        <v>0</v>
      </c>
      <c r="J160" s="312"/>
      <c r="K160" s="312"/>
      <c r="L160" s="312"/>
    </row>
    <row r="161" customFormat="false" ht="15" hidden="false" customHeight="false" outlineLevel="0" collapsed="false">
      <c r="B161" s="324" t="s">
        <v>360</v>
      </c>
      <c r="C161" s="312" t="n">
        <f aca="false">+(C160)*$F$150</f>
        <v>0</v>
      </c>
      <c r="D161" s="312" t="n">
        <f aca="false">+(D160)*$J$150</f>
        <v>1140.1129915</v>
      </c>
      <c r="E161" s="312" t="n">
        <f aca="false">C161-D161</f>
        <v>-1140.1129915</v>
      </c>
      <c r="F161" s="312"/>
      <c r="G161" s="312"/>
      <c r="H161" s="312" t="n">
        <f aca="false">+(H160)*$J$150</f>
        <v>1140.1129915</v>
      </c>
      <c r="I161" s="312"/>
      <c r="J161" s="312"/>
      <c r="K161" s="312"/>
      <c r="L161" s="312"/>
    </row>
    <row r="162" customFormat="false" ht="15" hidden="false" customHeight="false" outlineLevel="0" collapsed="false">
      <c r="B162" s="324" t="s">
        <v>361</v>
      </c>
      <c r="C162" s="329" t="n">
        <f aca="false">+C160*$G$150</f>
        <v>0</v>
      </c>
      <c r="D162" s="329" t="n">
        <f aca="false">+D160*$K$150</f>
        <v>0.0570085</v>
      </c>
      <c r="E162" s="312" t="n">
        <f aca="false">C162-D162</f>
        <v>-0.0570085</v>
      </c>
      <c r="F162" s="329"/>
      <c r="G162" s="329"/>
      <c r="H162" s="329" t="n">
        <f aca="false">+H160*$K$150</f>
        <v>0.0570085</v>
      </c>
      <c r="I162" s="312" t="n">
        <f aca="false">+D162-H162</f>
        <v>0</v>
      </c>
    </row>
    <row r="163" customFormat="false" ht="15" hidden="false" customHeight="false" outlineLevel="0" collapsed="false">
      <c r="B163" s="324" t="s">
        <v>259</v>
      </c>
      <c r="C163" s="312" t="n">
        <f aca="false">SUM(C161:C162)</f>
        <v>0</v>
      </c>
      <c r="D163" s="312" t="n">
        <f aca="false">SUM(D161:D162)</f>
        <v>1140.17</v>
      </c>
      <c r="E163" s="312" t="n">
        <f aca="false">C163-D163</f>
        <v>-1140.17</v>
      </c>
      <c r="F163" s="312"/>
      <c r="G163" s="312"/>
      <c r="H163" s="312" t="n">
        <f aca="false">SUM(H161:H162)</f>
        <v>1140.17</v>
      </c>
      <c r="I163" s="312" t="n">
        <f aca="false">+D163-H163</f>
        <v>0</v>
      </c>
    </row>
    <row r="164" customFormat="false" ht="15" hidden="false" customHeight="false" outlineLevel="0" collapsed="false">
      <c r="B164" s="324"/>
      <c r="C164" s="267" t="n">
        <f aca="false">C160-C163</f>
        <v>0</v>
      </c>
      <c r="D164" s="267" t="n">
        <f aca="false">D160-D163</f>
        <v>0</v>
      </c>
      <c r="E164" s="312" t="n">
        <f aca="false">C164-D164</f>
        <v>0</v>
      </c>
      <c r="H164" s="267" t="n">
        <f aca="false">H160-H163</f>
        <v>0</v>
      </c>
    </row>
    <row r="165" customFormat="false" ht="15" hidden="false" customHeight="false" outlineLevel="0" collapsed="false">
      <c r="B165" s="324"/>
      <c r="C165" s="267"/>
      <c r="E165" s="312"/>
    </row>
    <row r="166" customFormat="false" ht="15" hidden="false" customHeight="false" outlineLevel="0" collapsed="false">
      <c r="F166" s="312" t="s">
        <v>352</v>
      </c>
      <c r="G166" s="312" t="s">
        <v>353</v>
      </c>
      <c r="J166" s="312" t="s">
        <v>352</v>
      </c>
      <c r="K166" s="312" t="s">
        <v>353</v>
      </c>
    </row>
    <row r="167" customFormat="false" ht="15" hidden="false" customHeight="false" outlineLevel="0" collapsed="false">
      <c r="B167" s="313" t="s">
        <v>377</v>
      </c>
      <c r="C167" s="314" t="s">
        <v>389</v>
      </c>
      <c r="D167" s="314" t="s">
        <v>355</v>
      </c>
      <c r="E167" s="314" t="s">
        <v>5</v>
      </c>
      <c r="F167" s="314"/>
      <c r="G167" s="314"/>
      <c r="H167" s="314" t="s">
        <v>356</v>
      </c>
      <c r="I167" s="314" t="s">
        <v>5</v>
      </c>
      <c r="J167" s="315" t="n">
        <f aca="false">+R169</f>
        <v>0.925</v>
      </c>
      <c r="K167" s="316" t="n">
        <f aca="false">+R170</f>
        <v>0.075</v>
      </c>
      <c r="L167" s="314"/>
    </row>
    <row r="168" customFormat="false" ht="15" hidden="false" customHeight="false" outlineLevel="0" collapsed="false">
      <c r="B168" s="311" t="s">
        <v>87</v>
      </c>
      <c r="C168" s="267" t="n">
        <f aca="false">Participaciones!U3</f>
        <v>0</v>
      </c>
      <c r="D168" s="267" t="n">
        <v>800</v>
      </c>
      <c r="E168" s="267" t="n">
        <f aca="false">C168-D168</f>
        <v>-800</v>
      </c>
      <c r="H168" s="267" t="n">
        <v>800</v>
      </c>
      <c r="I168" s="267" t="n">
        <f aca="false">+D168-H168</f>
        <v>0</v>
      </c>
      <c r="J168" s="267" t="n">
        <f aca="false">+I168*$J$167</f>
        <v>0</v>
      </c>
      <c r="K168" s="267" t="n">
        <f aca="false">+I168*$K$167</f>
        <v>0</v>
      </c>
      <c r="Q168" s="317" t="n">
        <v>2017</v>
      </c>
      <c r="R168" s="317"/>
      <c r="S168" s="317" t="n">
        <v>2016</v>
      </c>
      <c r="T168" s="317"/>
      <c r="U168" s="317" t="s">
        <v>5</v>
      </c>
      <c r="V168" s="317"/>
    </row>
    <row r="169" customFormat="false" ht="15" hidden="false" customHeight="false" outlineLevel="0" collapsed="false">
      <c r="B169" s="311" t="s">
        <v>88</v>
      </c>
      <c r="C169" s="267" t="n">
        <f aca="false">Participaciones!U4</f>
        <v>0</v>
      </c>
      <c r="D169" s="267" t="n">
        <f aca="false">'ESF - ERI'!AB49</f>
        <v>1833417</v>
      </c>
      <c r="E169" s="267" t="n">
        <f aca="false">C169-D169</f>
        <v>-1833417</v>
      </c>
      <c r="H169" s="267" t="n">
        <v>0</v>
      </c>
      <c r="I169" s="267" t="n">
        <f aca="false">+D169-H169</f>
        <v>1833417</v>
      </c>
      <c r="J169" s="267" t="n">
        <f aca="false">+I169*$J$167</f>
        <v>1695910.725</v>
      </c>
      <c r="K169" s="267" t="n">
        <f aca="false">+I169*$K$167</f>
        <v>137506.275</v>
      </c>
      <c r="N169" s="267" t="s">
        <v>293</v>
      </c>
      <c r="Q169" s="277" t="n">
        <v>740</v>
      </c>
      <c r="R169" s="278" t="n">
        <f aca="false">+Q169/$Q$171</f>
        <v>0.925</v>
      </c>
      <c r="S169" s="277" t="n">
        <v>740</v>
      </c>
      <c r="T169" s="278" t="n">
        <f aca="false">+S169/$S$171</f>
        <v>0.925</v>
      </c>
      <c r="U169" s="277" t="n">
        <f aca="false">+Q169-S169</f>
        <v>0</v>
      </c>
      <c r="V169" s="278" t="n">
        <f aca="false">+R169-T169</f>
        <v>0</v>
      </c>
    </row>
    <row r="170" customFormat="false" ht="15" hidden="false" customHeight="false" outlineLevel="0" collapsed="false">
      <c r="B170" s="311" t="s">
        <v>90</v>
      </c>
      <c r="C170" s="267" t="n">
        <f aca="false">Participaciones!U5</f>
        <v>0</v>
      </c>
      <c r="D170" s="267" t="n">
        <v>0</v>
      </c>
      <c r="E170" s="267" t="n">
        <f aca="false">C170-D170</f>
        <v>0</v>
      </c>
      <c r="H170" s="267" t="n">
        <v>0</v>
      </c>
      <c r="I170" s="267" t="n">
        <f aca="false">+D170-H170</f>
        <v>0</v>
      </c>
      <c r="J170" s="267" t="n">
        <f aca="false">+I170*$J$167</f>
        <v>0</v>
      </c>
      <c r="K170" s="267" t="n">
        <f aca="false">+I170*$K$167</f>
        <v>0</v>
      </c>
      <c r="N170" s="267" t="s">
        <v>296</v>
      </c>
      <c r="Q170" s="282" t="n">
        <v>60</v>
      </c>
      <c r="R170" s="278" t="n">
        <f aca="false">+Q170/$Q$171</f>
        <v>0.075</v>
      </c>
      <c r="S170" s="282" t="n">
        <v>60</v>
      </c>
      <c r="T170" s="278" t="n">
        <f aca="false">+S170/$S$171</f>
        <v>0.075</v>
      </c>
      <c r="U170" s="277" t="n">
        <f aca="false">+Q170-S170</f>
        <v>0</v>
      </c>
      <c r="V170" s="278" t="n">
        <f aca="false">+R170-T170</f>
        <v>0</v>
      </c>
    </row>
    <row r="171" customFormat="false" ht="14.25" hidden="false" customHeight="false" outlineLevel="0" collapsed="false">
      <c r="B171" s="311" t="s">
        <v>91</v>
      </c>
      <c r="C171" s="267" t="n">
        <f aca="false">Participaciones!U6</f>
        <v>0</v>
      </c>
      <c r="D171" s="267" t="n">
        <v>0</v>
      </c>
      <c r="E171" s="267" t="n">
        <f aca="false">C171-D171</f>
        <v>0</v>
      </c>
      <c r="H171" s="267" t="n">
        <v>0</v>
      </c>
      <c r="I171" s="267" t="n">
        <f aca="false">+D171-H171</f>
        <v>0</v>
      </c>
      <c r="J171" s="267" t="n">
        <f aca="false">+I171*$J$167</f>
        <v>0</v>
      </c>
      <c r="K171" s="267" t="n">
        <f aca="false">+I171*$K$167</f>
        <v>0</v>
      </c>
      <c r="Q171" s="277" t="n">
        <f aca="false">SUM(Q169:Q170)</f>
        <v>800</v>
      </c>
      <c r="R171" s="285"/>
      <c r="S171" s="277" t="n">
        <f aca="false">SUM(S169:S170)</f>
        <v>800</v>
      </c>
      <c r="T171" s="285"/>
      <c r="U171" s="277" t="n">
        <f aca="false">SUM(U169:U170)</f>
        <v>0</v>
      </c>
      <c r="V171" s="285"/>
    </row>
    <row r="172" customFormat="false" ht="14.25" hidden="false" customHeight="false" outlineLevel="0" collapsed="false">
      <c r="B172" s="311" t="s">
        <v>92</v>
      </c>
      <c r="C172" s="267" t="n">
        <f aca="false">Participaciones!U7</f>
        <v>0</v>
      </c>
      <c r="D172" s="267" t="n">
        <v>0</v>
      </c>
      <c r="E172" s="267" t="n">
        <f aca="false">C172-D172</f>
        <v>0</v>
      </c>
      <c r="H172" s="267" t="n">
        <v>0</v>
      </c>
      <c r="I172" s="267" t="n">
        <f aca="false">+D172-H172</f>
        <v>0</v>
      </c>
      <c r="J172" s="267" t="n">
        <f aca="false">+I172*$J$167</f>
        <v>0</v>
      </c>
      <c r="K172" s="267" t="n">
        <f aca="false">+I172*$K$167</f>
        <v>0</v>
      </c>
    </row>
    <row r="173" customFormat="false" ht="14.25" hidden="false" customHeight="false" outlineLevel="0" collapsed="false">
      <c r="B173" s="311" t="s">
        <v>94</v>
      </c>
      <c r="C173" s="267" t="n">
        <f aca="false">Participaciones!U8</f>
        <v>0</v>
      </c>
      <c r="D173" s="267" t="n">
        <v>0</v>
      </c>
      <c r="E173" s="267" t="n">
        <f aca="false">C173-D173</f>
        <v>0</v>
      </c>
      <c r="H173" s="267" t="n">
        <v>0</v>
      </c>
      <c r="I173" s="267" t="n">
        <f aca="false">+D173-H173</f>
        <v>0</v>
      </c>
      <c r="J173" s="267" t="n">
        <f aca="false">+I173*$J$167</f>
        <v>0</v>
      </c>
      <c r="K173" s="267" t="n">
        <f aca="false">+I173*$K$167</f>
        <v>0</v>
      </c>
    </row>
    <row r="174" customFormat="false" ht="14.25" hidden="false" customHeight="false" outlineLevel="0" collapsed="false">
      <c r="B174" s="311" t="s">
        <v>95</v>
      </c>
      <c r="C174" s="332" t="n">
        <f aca="false">Participaciones!U11-C175</f>
        <v>0</v>
      </c>
      <c r="D174" s="267" t="n">
        <f aca="false">'ESF - ERI'!AB55</f>
        <v>-15422</v>
      </c>
      <c r="E174" s="267" t="n">
        <f aca="false">C174-D174</f>
        <v>15422</v>
      </c>
      <c r="H174" s="267" t="n">
        <v>0</v>
      </c>
      <c r="I174" s="267" t="n">
        <f aca="false">+D174-H174</f>
        <v>-15422</v>
      </c>
      <c r="J174" s="267" t="n">
        <f aca="false">+I174*$J$167</f>
        <v>-14265.35</v>
      </c>
      <c r="K174" s="267" t="n">
        <f aca="false">+I174*$K$167</f>
        <v>-1156.65</v>
      </c>
    </row>
    <row r="175" customFormat="false" ht="14.25" hidden="false" customHeight="false" outlineLevel="0" collapsed="false">
      <c r="B175" s="311" t="s">
        <v>358</v>
      </c>
      <c r="C175" s="322" t="n">
        <f aca="false">'Planilla final'!K73</f>
        <v>0</v>
      </c>
      <c r="D175" s="322" t="n">
        <f aca="false">'ESF - ERI'!AB56</f>
        <v>-344143</v>
      </c>
      <c r="E175" s="322" t="n">
        <f aca="false">C175-D175</f>
        <v>344143</v>
      </c>
      <c r="F175" s="322"/>
      <c r="G175" s="322"/>
      <c r="H175" s="322" t="n">
        <v>-15422</v>
      </c>
      <c r="I175" s="322" t="n">
        <f aca="false">+D175-H175</f>
        <v>-328721</v>
      </c>
      <c r="J175" s="267" t="n">
        <f aca="false">+I175*$J$167</f>
        <v>-304066.925</v>
      </c>
      <c r="K175" s="267" t="n">
        <f aca="false">+I175*$K$167</f>
        <v>-24654.075</v>
      </c>
    </row>
    <row r="177" customFormat="false" ht="15" hidden="false" customHeight="false" outlineLevel="0" collapsed="false">
      <c r="B177" s="313" t="s">
        <v>374</v>
      </c>
      <c r="C177" s="312" t="n">
        <f aca="false">SUM(C168:C176)</f>
        <v>0</v>
      </c>
      <c r="D177" s="312" t="n">
        <f aca="false">SUM(D168:D176)</f>
        <v>1474652</v>
      </c>
      <c r="E177" s="312" t="n">
        <f aca="false">SUM(E166:E173)</f>
        <v>-1834217</v>
      </c>
      <c r="F177" s="312"/>
      <c r="G177" s="312"/>
      <c r="H177" s="312" t="n">
        <f aca="false">SUM(H168:H176)</f>
        <v>-14622</v>
      </c>
      <c r="I177" s="312" t="n">
        <f aca="false">SUM(I168:I175)</f>
        <v>1489274</v>
      </c>
      <c r="J177" s="312"/>
      <c r="K177" s="312"/>
      <c r="L177" s="312"/>
    </row>
    <row r="178" customFormat="false" ht="15" hidden="false" customHeight="false" outlineLevel="0" collapsed="false">
      <c r="B178" s="324" t="s">
        <v>360</v>
      </c>
      <c r="C178" s="312" t="n">
        <f aca="false">+(C177)*$F$167</f>
        <v>0</v>
      </c>
      <c r="D178" s="312" t="n">
        <f aca="false">+(D177)*$J$167</f>
        <v>1364053.1</v>
      </c>
      <c r="E178" s="312" t="n">
        <f aca="false">C178-D178</f>
        <v>-1364053.1</v>
      </c>
      <c r="F178" s="312"/>
      <c r="G178" s="312"/>
      <c r="H178" s="312" t="n">
        <f aca="false">+(H177)*$J$167</f>
        <v>-13525.35</v>
      </c>
      <c r="I178" s="312" t="n">
        <f aca="false">+D178-H178</f>
        <v>1377578.45</v>
      </c>
      <c r="J178" s="312"/>
      <c r="K178" s="312"/>
      <c r="L178" s="312"/>
    </row>
    <row r="179" customFormat="false" ht="15" hidden="false" customHeight="false" outlineLevel="0" collapsed="false">
      <c r="B179" s="324" t="s">
        <v>361</v>
      </c>
      <c r="C179" s="312" t="n">
        <f aca="false">+C177*$G$167</f>
        <v>0</v>
      </c>
      <c r="D179" s="312" t="n">
        <f aca="false">+D177*$K$167</f>
        <v>110598.9</v>
      </c>
      <c r="E179" s="312" t="n">
        <f aca="false">C179-D179</f>
        <v>-110598.9</v>
      </c>
      <c r="F179" s="312"/>
      <c r="G179" s="312"/>
      <c r="H179" s="312" t="n">
        <f aca="false">+H177*$K$167</f>
        <v>-1096.65</v>
      </c>
      <c r="I179" s="312" t="n">
        <f aca="false">+D179-H179</f>
        <v>111695.55</v>
      </c>
    </row>
    <row r="180" customFormat="false" ht="15" hidden="false" customHeight="false" outlineLevel="0" collapsed="false">
      <c r="B180" s="324" t="s">
        <v>259</v>
      </c>
      <c r="C180" s="312" t="n">
        <f aca="false">SUM(C178:C179)</f>
        <v>0</v>
      </c>
      <c r="D180" s="312" t="n">
        <f aca="false">SUM(D178:D179)</f>
        <v>1474652</v>
      </c>
      <c r="E180" s="312" t="n">
        <f aca="false">C180-D180</f>
        <v>-1474652</v>
      </c>
      <c r="F180" s="312"/>
      <c r="G180" s="312"/>
      <c r="H180" s="312" t="n">
        <f aca="false">SUM(H178:H179)</f>
        <v>-14622</v>
      </c>
      <c r="I180" s="312" t="n">
        <f aca="false">+D180-H180</f>
        <v>1489274</v>
      </c>
    </row>
    <row r="181" customFormat="false" ht="15" hidden="false" customHeight="false" outlineLevel="0" collapsed="false">
      <c r="B181" s="324"/>
      <c r="C181" s="267" t="n">
        <f aca="false">C177-C180</f>
        <v>0</v>
      </c>
      <c r="D181" s="267" t="n">
        <f aca="false">D177-D180</f>
        <v>0</v>
      </c>
      <c r="E181" s="312" t="n">
        <f aca="false">C181-D181</f>
        <v>0</v>
      </c>
      <c r="H181" s="267" t="n">
        <f aca="false">H177-H180</f>
        <v>0</v>
      </c>
    </row>
    <row r="183" customFormat="false" ht="15" hidden="false" customHeight="false" outlineLevel="0" collapsed="false">
      <c r="F183" s="312" t="s">
        <v>352</v>
      </c>
      <c r="G183" s="312" t="s">
        <v>353</v>
      </c>
      <c r="J183" s="312" t="s">
        <v>352</v>
      </c>
      <c r="K183" s="312" t="s">
        <v>353</v>
      </c>
    </row>
    <row r="184" customFormat="false" ht="15" hidden="false" customHeight="false" outlineLevel="0" collapsed="false">
      <c r="B184" s="313" t="s">
        <v>378</v>
      </c>
      <c r="C184" s="314" t="s">
        <v>389</v>
      </c>
      <c r="D184" s="314" t="s">
        <v>355</v>
      </c>
      <c r="E184" s="314" t="s">
        <v>5</v>
      </c>
      <c r="F184" s="314"/>
      <c r="G184" s="314"/>
      <c r="H184" s="314" t="s">
        <v>356</v>
      </c>
      <c r="I184" s="314" t="s">
        <v>5</v>
      </c>
      <c r="J184" s="315" t="n">
        <f aca="false">+R186</f>
        <v>0.98</v>
      </c>
      <c r="K184" s="316" t="n">
        <f aca="false">+R187</f>
        <v>0.02</v>
      </c>
      <c r="L184" s="314"/>
    </row>
    <row r="185" customFormat="false" ht="15" hidden="false" customHeight="false" outlineLevel="0" collapsed="false">
      <c r="B185" s="311" t="s">
        <v>87</v>
      </c>
      <c r="C185" s="267" t="n">
        <f aca="false">Participaciones!W3</f>
        <v>3661400</v>
      </c>
      <c r="D185" s="267" t="n">
        <v>3661400</v>
      </c>
      <c r="E185" s="267" t="n">
        <f aca="false">C185-D185</f>
        <v>0</v>
      </c>
      <c r="H185" s="267" t="n">
        <v>3661400</v>
      </c>
      <c r="I185" s="267" t="n">
        <f aca="false">+D185-H185</f>
        <v>0</v>
      </c>
      <c r="J185" s="267" t="n">
        <f aca="false">+I185*$J$184</f>
        <v>0</v>
      </c>
      <c r="K185" s="267" t="n">
        <f aca="false">+I185*$K$184</f>
        <v>0</v>
      </c>
      <c r="Q185" s="317" t="n">
        <v>2017</v>
      </c>
      <c r="R185" s="317"/>
      <c r="S185" s="317" t="n">
        <v>2016</v>
      </c>
      <c r="T185" s="317"/>
    </row>
    <row r="186" customFormat="false" ht="15" hidden="false" customHeight="false" outlineLevel="0" collapsed="false">
      <c r="B186" s="311" t="s">
        <v>88</v>
      </c>
      <c r="C186" s="267" t="n">
        <f aca="false">Participaciones!W4</f>
        <v>406799.86</v>
      </c>
      <c r="D186" s="267" t="n">
        <v>406800</v>
      </c>
      <c r="E186" s="267" t="n">
        <f aca="false">C186-D186</f>
        <v>-0.14000000001397</v>
      </c>
      <c r="H186" s="267" t="n">
        <v>112799</v>
      </c>
      <c r="I186" s="267" t="n">
        <f aca="false">+D186-H186</f>
        <v>294001</v>
      </c>
      <c r="J186" s="267" t="n">
        <f aca="false">+I186*$J$184</f>
        <v>288120.98</v>
      </c>
      <c r="K186" s="267" t="n">
        <f aca="false">+I186*$K$184</f>
        <v>5880.02</v>
      </c>
      <c r="N186" s="267" t="s">
        <v>293</v>
      </c>
      <c r="Q186" s="330" t="n">
        <v>3588172</v>
      </c>
      <c r="R186" s="278" t="n">
        <f aca="false">Q186/Q188</f>
        <v>0.98</v>
      </c>
      <c r="S186" s="330" t="n">
        <v>3588172</v>
      </c>
      <c r="T186" s="278" t="n">
        <f aca="false">S186/S188</f>
        <v>0.98</v>
      </c>
    </row>
    <row r="187" customFormat="false" ht="15" hidden="false" customHeight="false" outlineLevel="0" collapsed="false">
      <c r="B187" s="311" t="s">
        <v>90</v>
      </c>
      <c r="C187" s="267" t="n">
        <f aca="false">Participaciones!W5</f>
        <v>104043.49</v>
      </c>
      <c r="D187" s="267" t="n">
        <v>0</v>
      </c>
      <c r="E187" s="267" t="n">
        <f aca="false">C187-D187</f>
        <v>104043.49</v>
      </c>
      <c r="H187" s="267" t="n">
        <v>0</v>
      </c>
      <c r="I187" s="267" t="n">
        <f aca="false">+D187-H187</f>
        <v>0</v>
      </c>
      <c r="J187" s="267" t="n">
        <f aca="false">+I187*$J$184</f>
        <v>0</v>
      </c>
      <c r="K187" s="267" t="n">
        <f aca="false">+I187*$K$184</f>
        <v>0</v>
      </c>
      <c r="N187" s="267" t="s">
        <v>296</v>
      </c>
      <c r="Q187" s="323" t="n">
        <f aca="false">3661400-Q186</f>
        <v>73228</v>
      </c>
      <c r="R187" s="278" t="n">
        <f aca="false">Q187/Q188</f>
        <v>0.02</v>
      </c>
      <c r="S187" s="323" t="n">
        <f aca="false">3661400-S186</f>
        <v>73228</v>
      </c>
      <c r="T187" s="278" t="n">
        <f aca="false">S187/S188</f>
        <v>0.02</v>
      </c>
    </row>
    <row r="188" customFormat="false" ht="14.25" hidden="false" customHeight="false" outlineLevel="0" collapsed="false">
      <c r="B188" s="311" t="s">
        <v>91</v>
      </c>
      <c r="C188" s="267" t="n">
        <f aca="false">Participaciones!W6</f>
        <v>0</v>
      </c>
      <c r="D188" s="267" t="n">
        <v>0</v>
      </c>
      <c r="E188" s="267" t="n">
        <f aca="false">C188-D188</f>
        <v>0</v>
      </c>
      <c r="H188" s="267" t="n">
        <v>0</v>
      </c>
      <c r="I188" s="267" t="n">
        <f aca="false">+D188-H188</f>
        <v>0</v>
      </c>
      <c r="J188" s="267" t="n">
        <f aca="false">+I188*$J$184</f>
        <v>0</v>
      </c>
      <c r="K188" s="267" t="n">
        <f aca="false">+I188*$K$184</f>
        <v>0</v>
      </c>
      <c r="Q188" s="330" t="n">
        <f aca="false">SUM(Q186:Q187)</f>
        <v>3661400</v>
      </c>
      <c r="R188" s="285"/>
      <c r="S188" s="330" t="n">
        <f aca="false">SUM(S186:S187)</f>
        <v>3661400</v>
      </c>
      <c r="T188" s="285"/>
    </row>
    <row r="189" customFormat="false" ht="14.25" hidden="false" customHeight="false" outlineLevel="0" collapsed="false">
      <c r="B189" s="311" t="s">
        <v>92</v>
      </c>
      <c r="C189" s="267" t="n">
        <f aca="false">Participaciones!W7</f>
        <v>0</v>
      </c>
      <c r="D189" s="267" t="n">
        <v>274690</v>
      </c>
      <c r="E189" s="267" t="n">
        <f aca="false">C189-D189</f>
        <v>-274690</v>
      </c>
      <c r="H189" s="267" t="n">
        <v>0</v>
      </c>
      <c r="I189" s="267" t="n">
        <f aca="false">+D189-H189</f>
        <v>274690</v>
      </c>
      <c r="J189" s="267" t="n">
        <f aca="false">+I189*$J$184</f>
        <v>269196.2</v>
      </c>
      <c r="K189" s="267" t="n">
        <f aca="false">+I189*$K$184</f>
        <v>5493.8</v>
      </c>
    </row>
    <row r="190" customFormat="false" ht="14.25" hidden="false" customHeight="false" outlineLevel="0" collapsed="false">
      <c r="B190" s="311" t="s">
        <v>94</v>
      </c>
      <c r="C190" s="267" t="n">
        <f aca="false">Participaciones!W8</f>
        <v>150408.58</v>
      </c>
      <c r="D190" s="267" t="n">
        <v>-56932</v>
      </c>
      <c r="E190" s="267" t="n">
        <f aca="false">C190-D190</f>
        <v>207340.58</v>
      </c>
      <c r="H190" s="267" t="n">
        <v>-56932</v>
      </c>
      <c r="I190" s="267" t="n">
        <f aca="false">+D190-H190</f>
        <v>0</v>
      </c>
      <c r="J190" s="267" t="n">
        <f aca="false">+I190*$J$184</f>
        <v>0</v>
      </c>
      <c r="K190" s="267" t="n">
        <f aca="false">+I190*$K$184</f>
        <v>0</v>
      </c>
    </row>
    <row r="191" customFormat="false" ht="14.25" hidden="false" customHeight="false" outlineLevel="0" collapsed="false">
      <c r="B191" s="311" t="s">
        <v>95</v>
      </c>
      <c r="C191" s="267" t="n">
        <f aca="false">Participaciones!W11-C192</f>
        <v>-4198246.64</v>
      </c>
      <c r="D191" s="267" t="n">
        <v>-3886526</v>
      </c>
      <c r="E191" s="267" t="n">
        <f aca="false">C191-D191</f>
        <v>-311720.640000001</v>
      </c>
      <c r="H191" s="267" t="n">
        <v>-3026105</v>
      </c>
      <c r="I191" s="267" t="n">
        <f aca="false">+D191-H191</f>
        <v>-860421</v>
      </c>
      <c r="J191" s="267" t="n">
        <f aca="false">+I191*$J$184</f>
        <v>-843212.58</v>
      </c>
      <c r="K191" s="267" t="n">
        <f aca="false">+I191*$K$184</f>
        <v>-17208.42</v>
      </c>
    </row>
    <row r="192" customFormat="false" ht="14.25" hidden="false" customHeight="false" outlineLevel="0" collapsed="false">
      <c r="B192" s="311" t="s">
        <v>358</v>
      </c>
      <c r="C192" s="322" t="n">
        <f aca="false">'Planilla final'!L73</f>
        <v>224972.81</v>
      </c>
      <c r="D192" s="322" t="n">
        <v>-502401</v>
      </c>
      <c r="E192" s="322" t="n">
        <f aca="false">C192-D192</f>
        <v>727373.81</v>
      </c>
      <c r="F192" s="322"/>
      <c r="G192" s="322"/>
      <c r="H192" s="322" t="n">
        <v>-494302</v>
      </c>
      <c r="I192" s="322" t="n">
        <f aca="false">+D192-H192</f>
        <v>-8099</v>
      </c>
      <c r="J192" s="267" t="n">
        <f aca="false">+I192*$J$184</f>
        <v>-7937.02</v>
      </c>
      <c r="K192" s="267" t="n">
        <f aca="false">+I192*$K$184</f>
        <v>-161.98</v>
      </c>
    </row>
    <row r="194" customFormat="false" ht="15" hidden="false" customHeight="false" outlineLevel="0" collapsed="false">
      <c r="B194" s="313" t="s">
        <v>374</v>
      </c>
      <c r="C194" s="312" t="n">
        <f aca="false">SUM(C185:C192)</f>
        <v>349378.099999999</v>
      </c>
      <c r="D194" s="312" t="n">
        <f aca="false">SUM(D185:D192)</f>
        <v>-102969</v>
      </c>
      <c r="E194" s="312" t="n">
        <f aca="false">SUM(E185:E192)</f>
        <v>452347.099999999</v>
      </c>
      <c r="F194" s="312"/>
      <c r="G194" s="312"/>
      <c r="H194" s="312" t="n">
        <f aca="false">SUM(H185:H193)</f>
        <v>196860</v>
      </c>
      <c r="I194" s="312" t="n">
        <f aca="false">SUM(I185:I192)</f>
        <v>-299829</v>
      </c>
      <c r="J194" s="312"/>
      <c r="K194" s="312"/>
      <c r="L194" s="312"/>
    </row>
    <row r="195" customFormat="false" ht="14.25" hidden="false" customHeight="false" outlineLevel="0" collapsed="false">
      <c r="B195" s="331" t="s">
        <v>379</v>
      </c>
      <c r="C195" s="322" t="n">
        <f aca="false">C194-C186</f>
        <v>-57421.7600000008</v>
      </c>
      <c r="D195" s="322" t="n">
        <f aca="false">D194-D186</f>
        <v>-509769</v>
      </c>
      <c r="E195" s="322" t="n">
        <f aca="false">E194-E186</f>
        <v>452347.239999999</v>
      </c>
      <c r="F195" s="322"/>
      <c r="G195" s="322"/>
      <c r="H195" s="322" t="n">
        <f aca="false">H194-H186</f>
        <v>84061</v>
      </c>
      <c r="I195" s="322" t="s">
        <v>380</v>
      </c>
    </row>
    <row r="196" customFormat="false" ht="14.25" hidden="false" customHeight="false" outlineLevel="0" collapsed="false">
      <c r="B196" s="267"/>
      <c r="C196" s="267"/>
    </row>
    <row r="197" customFormat="false" ht="15" hidden="false" customHeight="false" outlineLevel="0" collapsed="false">
      <c r="B197" s="324" t="s">
        <v>360</v>
      </c>
      <c r="C197" s="312" t="n">
        <f aca="false">+(C195)*$F$184</f>
        <v>-0</v>
      </c>
      <c r="D197" s="267" t="n">
        <f aca="false">D195*$J$184</f>
        <v>-499573.62</v>
      </c>
      <c r="E197" s="312" t="n">
        <f aca="false">C197-D197</f>
        <v>499573.62</v>
      </c>
      <c r="H197" s="267" t="e">
        <f aca="false">#REF!</f>
        <v>#REF!</v>
      </c>
      <c r="K197" s="267" t="n">
        <f aca="false">H195-H198</f>
        <v>82379.78</v>
      </c>
    </row>
    <row r="198" customFormat="false" ht="15" hidden="false" customHeight="false" outlineLevel="0" collapsed="false">
      <c r="B198" s="324" t="s">
        <v>361</v>
      </c>
      <c r="C198" s="328" t="n">
        <f aca="false">+C195*$G$184</f>
        <v>-0</v>
      </c>
      <c r="D198" s="322" t="n">
        <f aca="false">D195*$K$184</f>
        <v>-10195.38</v>
      </c>
      <c r="E198" s="328" t="n">
        <f aca="false">C198-D198</f>
        <v>10195.38</v>
      </c>
      <c r="F198" s="322"/>
      <c r="G198" s="322"/>
      <c r="H198" s="322" t="n">
        <f aca="false">H195*$K$184</f>
        <v>1681.22</v>
      </c>
      <c r="I198" s="332" t="n">
        <f aca="false">H198*2</f>
        <v>3362.44</v>
      </c>
      <c r="K198" s="267" t="e">
        <f aca="false">H197-K197</f>
        <v>#REF!</v>
      </c>
      <c r="L198" s="331"/>
    </row>
    <row r="199" customFormat="false" ht="15" hidden="false" customHeight="false" outlineLevel="0" collapsed="false">
      <c r="B199" s="324" t="s">
        <v>259</v>
      </c>
      <c r="C199" s="267" t="n">
        <f aca="false">SUM(C197:C198)</f>
        <v>0</v>
      </c>
      <c r="D199" s="267" t="n">
        <f aca="false">SUM(D197:D198)</f>
        <v>-509769</v>
      </c>
      <c r="E199" s="312" t="n">
        <f aca="false">C199-D199</f>
        <v>509769</v>
      </c>
      <c r="H199" s="267" t="e">
        <f aca="false">SUM(H197:H198)</f>
        <v>#REF!</v>
      </c>
    </row>
    <row r="200" customFormat="false" ht="15" hidden="false" customHeight="false" outlineLevel="0" collapsed="false">
      <c r="B200" s="331" t="s">
        <v>382</v>
      </c>
      <c r="C200" s="322" t="n">
        <f aca="false">C195</f>
        <v>-57421.7600000008</v>
      </c>
      <c r="D200" s="322" t="n">
        <f aca="false">D195</f>
        <v>-509769</v>
      </c>
      <c r="E200" s="328" t="n">
        <f aca="false">C200-D200</f>
        <v>452347.239999999</v>
      </c>
      <c r="F200" s="322"/>
      <c r="G200" s="322"/>
      <c r="H200" s="322" t="n">
        <f aca="false">H195</f>
        <v>84061</v>
      </c>
    </row>
    <row r="201" customFormat="false" ht="15" hidden="false" customHeight="false" outlineLevel="0" collapsed="false">
      <c r="B201" s="267" t="s">
        <v>62</v>
      </c>
      <c r="C201" s="267" t="n">
        <f aca="false">C199-C200</f>
        <v>57421.7600000008</v>
      </c>
      <c r="D201" s="267" t="n">
        <f aca="false">D199-D200</f>
        <v>0</v>
      </c>
      <c r="E201" s="267" t="n">
        <f aca="false">E199-E200</f>
        <v>57421.7600000008</v>
      </c>
      <c r="H201" s="267" t="e">
        <f aca="false">H199-H200</f>
        <v>#REF!</v>
      </c>
      <c r="I201" s="312" t="s">
        <v>149</v>
      </c>
      <c r="K201" s="311"/>
    </row>
    <row r="204" customFormat="false" ht="15" hidden="false" customHeight="false" outlineLevel="0" collapsed="false">
      <c r="F204" s="312" t="s">
        <v>352</v>
      </c>
      <c r="G204" s="312" t="s">
        <v>353</v>
      </c>
      <c r="J204" s="312" t="s">
        <v>352</v>
      </c>
      <c r="K204" s="312" t="s">
        <v>353</v>
      </c>
    </row>
    <row r="205" customFormat="false" ht="15" hidden="false" customHeight="false" outlineLevel="0" collapsed="false">
      <c r="B205" s="313" t="s">
        <v>383</v>
      </c>
      <c r="C205" s="314" t="s">
        <v>389</v>
      </c>
      <c r="D205" s="314" t="s">
        <v>355</v>
      </c>
      <c r="E205" s="314" t="s">
        <v>5</v>
      </c>
      <c r="F205" s="314"/>
      <c r="G205" s="314"/>
      <c r="H205" s="314" t="s">
        <v>356</v>
      </c>
      <c r="I205" s="314" t="s">
        <v>5</v>
      </c>
      <c r="J205" s="315" t="n">
        <f aca="false">+R207</f>
        <v>1</v>
      </c>
      <c r="K205" s="316" t="n">
        <f aca="false">+R208</f>
        <v>0</v>
      </c>
      <c r="L205" s="314"/>
    </row>
    <row r="206" customFormat="false" ht="15" hidden="false" customHeight="false" outlineLevel="0" collapsed="false">
      <c r="B206" s="311" t="s">
        <v>87</v>
      </c>
      <c r="C206" s="267" t="n">
        <f aca="false">Participaciones!Y3</f>
        <v>0</v>
      </c>
      <c r="D206" s="267" t="n">
        <v>10000</v>
      </c>
      <c r="E206" s="267" t="n">
        <f aca="false">C206-D206</f>
        <v>-10000</v>
      </c>
      <c r="H206" s="267" t="n">
        <v>10000</v>
      </c>
      <c r="I206" s="267" t="n">
        <f aca="false">+D206-H206</f>
        <v>0</v>
      </c>
      <c r="J206" s="267" t="n">
        <f aca="false">+I206*$J$205</f>
        <v>0</v>
      </c>
      <c r="K206" s="267" t="n">
        <f aca="false">+I206*$K$205</f>
        <v>0</v>
      </c>
      <c r="Q206" s="317" t="n">
        <v>2017</v>
      </c>
      <c r="R206" s="317"/>
    </row>
    <row r="207" customFormat="false" ht="15" hidden="false" customHeight="false" outlineLevel="0" collapsed="false">
      <c r="B207" s="311" t="s">
        <v>88</v>
      </c>
      <c r="C207" s="267" t="n">
        <f aca="false">Participaciones!Y4</f>
        <v>0</v>
      </c>
      <c r="D207" s="267" t="n">
        <v>0</v>
      </c>
      <c r="E207" s="267" t="n">
        <f aca="false">C207-D207</f>
        <v>0</v>
      </c>
      <c r="H207" s="267" t="n">
        <v>0</v>
      </c>
      <c r="I207" s="267" t="n">
        <f aca="false">+D207-H207</f>
        <v>0</v>
      </c>
      <c r="J207" s="267" t="n">
        <f aca="false">+I207*$J$205</f>
        <v>0</v>
      </c>
      <c r="K207" s="267" t="n">
        <f aca="false">+I207*$K$205</f>
        <v>0</v>
      </c>
      <c r="N207" s="267" t="s">
        <v>293</v>
      </c>
      <c r="Q207" s="330" t="n">
        <v>10000</v>
      </c>
      <c r="R207" s="278" t="n">
        <f aca="false">Q207/Q209</f>
        <v>1</v>
      </c>
    </row>
    <row r="208" customFormat="false" ht="15" hidden="false" customHeight="false" outlineLevel="0" collapsed="false">
      <c r="B208" s="311" t="s">
        <v>90</v>
      </c>
      <c r="C208" s="267" t="n">
        <f aca="false">Participaciones!Y5</f>
        <v>0</v>
      </c>
      <c r="D208" s="267" t="n">
        <v>0</v>
      </c>
      <c r="E208" s="267" t="n">
        <f aca="false">C208-D208</f>
        <v>0</v>
      </c>
      <c r="H208" s="267" t="n">
        <v>0</v>
      </c>
      <c r="I208" s="267" t="n">
        <f aca="false">+D208-H208</f>
        <v>0</v>
      </c>
      <c r="J208" s="267" t="n">
        <f aca="false">+I208*$J$205</f>
        <v>0</v>
      </c>
      <c r="K208" s="267" t="n">
        <f aca="false">+I208*$K$205</f>
        <v>0</v>
      </c>
      <c r="N208" s="267" t="s">
        <v>296</v>
      </c>
      <c r="Q208" s="323" t="n">
        <v>0</v>
      </c>
      <c r="R208" s="278" t="n">
        <f aca="false">Q208/Q209</f>
        <v>0</v>
      </c>
    </row>
    <row r="209" customFormat="false" ht="14.25" hidden="false" customHeight="false" outlineLevel="0" collapsed="false">
      <c r="B209" s="311" t="s">
        <v>91</v>
      </c>
      <c r="C209" s="267" t="n">
        <f aca="false">Participaciones!Y6</f>
        <v>0</v>
      </c>
      <c r="D209" s="267" t="n">
        <v>0</v>
      </c>
      <c r="E209" s="267" t="n">
        <f aca="false">C209-D209</f>
        <v>0</v>
      </c>
      <c r="H209" s="267" t="n">
        <v>0</v>
      </c>
      <c r="I209" s="267" t="n">
        <f aca="false">+D209-H209</f>
        <v>0</v>
      </c>
      <c r="J209" s="267" t="n">
        <f aca="false">+I209*$J$205</f>
        <v>0</v>
      </c>
      <c r="K209" s="267" t="n">
        <f aca="false">+I209*$K$205</f>
        <v>0</v>
      </c>
      <c r="Q209" s="330" t="n">
        <v>10000</v>
      </c>
      <c r="R209" s="285"/>
    </row>
    <row r="210" customFormat="false" ht="14.25" hidden="false" customHeight="false" outlineLevel="0" collapsed="false">
      <c r="B210" s="311" t="s">
        <v>92</v>
      </c>
      <c r="C210" s="267" t="n">
        <f aca="false">Participaciones!Y7</f>
        <v>0</v>
      </c>
      <c r="D210" s="267" t="n">
        <v>0</v>
      </c>
      <c r="E210" s="267" t="n">
        <f aca="false">C210-D210</f>
        <v>0</v>
      </c>
      <c r="H210" s="267" t="n">
        <v>0</v>
      </c>
      <c r="I210" s="267" t="n">
        <f aca="false">+D210-H210</f>
        <v>0</v>
      </c>
      <c r="J210" s="267" t="n">
        <f aca="false">+I210*$J$205</f>
        <v>0</v>
      </c>
      <c r="K210" s="267" t="n">
        <f aca="false">+I210*$K$205</f>
        <v>0</v>
      </c>
    </row>
    <row r="211" customFormat="false" ht="14.25" hidden="false" customHeight="false" outlineLevel="0" collapsed="false">
      <c r="B211" s="311" t="s">
        <v>94</v>
      </c>
      <c r="C211" s="267" t="n">
        <f aca="false">Participaciones!Y8</f>
        <v>0</v>
      </c>
      <c r="D211" s="267" t="n">
        <v>0</v>
      </c>
      <c r="E211" s="267" t="n">
        <f aca="false">C211-D211</f>
        <v>0</v>
      </c>
      <c r="H211" s="267" t="n">
        <v>0</v>
      </c>
      <c r="I211" s="267" t="n">
        <f aca="false">+D211-H211</f>
        <v>0</v>
      </c>
      <c r="J211" s="267" t="n">
        <f aca="false">+I211*$J$205</f>
        <v>0</v>
      </c>
      <c r="K211" s="267" t="n">
        <f aca="false">+I211*$K$205</f>
        <v>0</v>
      </c>
    </row>
    <row r="212" customFormat="false" ht="14.25" hidden="false" customHeight="false" outlineLevel="0" collapsed="false">
      <c r="B212" s="311" t="s">
        <v>95</v>
      </c>
      <c r="C212" s="267" t="n">
        <f aca="false">Participaciones!Y11-C213</f>
        <v>0</v>
      </c>
      <c r="D212" s="267" t="n">
        <f aca="false">'ESF - ERI'!AD55</f>
        <v>-144335</v>
      </c>
      <c r="E212" s="267" t="n">
        <f aca="false">C212-D212</f>
        <v>144335</v>
      </c>
      <c r="H212" s="267" t="n">
        <v>0</v>
      </c>
      <c r="I212" s="267" t="n">
        <f aca="false">+D212-H212</f>
        <v>-144335</v>
      </c>
      <c r="J212" s="267" t="n">
        <f aca="false">+I212*$J$205</f>
        <v>-144335</v>
      </c>
      <c r="K212" s="267" t="n">
        <f aca="false">+I212*$K$205</f>
        <v>-0</v>
      </c>
    </row>
    <row r="213" customFormat="false" ht="14.25" hidden="false" customHeight="false" outlineLevel="0" collapsed="false">
      <c r="B213" s="311" t="s">
        <v>358</v>
      </c>
      <c r="C213" s="322" t="n">
        <f aca="false">'Planilla final'!M73</f>
        <v>0</v>
      </c>
      <c r="D213" s="322" t="n">
        <f aca="false">'ESF - ERI'!AD56</f>
        <v>-395559</v>
      </c>
      <c r="E213" s="322" t="n">
        <f aca="false">C213-D213</f>
        <v>395559</v>
      </c>
      <c r="F213" s="322"/>
      <c r="G213" s="322"/>
      <c r="H213" s="322" t="n">
        <v>-126652</v>
      </c>
      <c r="I213" s="322" t="n">
        <f aca="false">+D213-H213</f>
        <v>-268907</v>
      </c>
      <c r="J213" s="267" t="n">
        <f aca="false">+I213*$J$205</f>
        <v>-268907</v>
      </c>
      <c r="K213" s="267" t="n">
        <f aca="false">+I213*$K$205</f>
        <v>-0</v>
      </c>
    </row>
    <row r="215" customFormat="false" ht="15" hidden="false" customHeight="false" outlineLevel="0" collapsed="false">
      <c r="B215" s="313" t="s">
        <v>374</v>
      </c>
      <c r="C215" s="312" t="n">
        <f aca="false">SUM(C206:C214)</f>
        <v>0</v>
      </c>
      <c r="D215" s="312" t="n">
        <f aca="false">SUM(D206:D214)</f>
        <v>-529894</v>
      </c>
      <c r="E215" s="312" t="n">
        <f aca="false">SUM(E204:E211)</f>
        <v>-10000</v>
      </c>
      <c r="F215" s="312"/>
      <c r="G215" s="312"/>
      <c r="H215" s="312" t="n">
        <f aca="false">SUM(H206:H214)</f>
        <v>-116652</v>
      </c>
      <c r="I215" s="312" t="n">
        <f aca="false">SUM(I206:I213)</f>
        <v>-413242</v>
      </c>
      <c r="J215" s="312"/>
      <c r="K215" s="312"/>
      <c r="L215" s="312"/>
    </row>
    <row r="216" customFormat="false" ht="15" hidden="false" customHeight="false" outlineLevel="0" collapsed="false">
      <c r="B216" s="324" t="s">
        <v>360</v>
      </c>
      <c r="C216" s="312" t="n">
        <f aca="false">+(C215)*$F$205</f>
        <v>0</v>
      </c>
      <c r="D216" s="312" t="n">
        <f aca="false">+(D215)*$J$167</f>
        <v>-490151.95</v>
      </c>
      <c r="E216" s="312" t="n">
        <f aca="false">C216-D216</f>
        <v>490151.95</v>
      </c>
      <c r="F216" s="312"/>
      <c r="G216" s="312"/>
      <c r="H216" s="312" t="n">
        <f aca="false">+(H215)*$J$167</f>
        <v>-107903.1</v>
      </c>
      <c r="I216" s="312" t="n">
        <f aca="false">+D216-H216</f>
        <v>-382248.85</v>
      </c>
    </row>
    <row r="217" customFormat="false" ht="15" hidden="false" customHeight="false" outlineLevel="0" collapsed="false">
      <c r="B217" s="324" t="s">
        <v>361</v>
      </c>
      <c r="C217" s="312" t="n">
        <f aca="false">+C215*$G$205</f>
        <v>0</v>
      </c>
      <c r="D217" s="312" t="n">
        <f aca="false">+D215*$K$167</f>
        <v>-39742.05</v>
      </c>
      <c r="E217" s="312" t="n">
        <f aca="false">C217-D217</f>
        <v>39742.05</v>
      </c>
      <c r="F217" s="312"/>
      <c r="G217" s="312"/>
      <c r="H217" s="312" t="n">
        <f aca="false">+H215*$K$167</f>
        <v>-8748.9</v>
      </c>
      <c r="I217" s="312" t="n">
        <f aca="false">+D217-H217</f>
        <v>-30993.15</v>
      </c>
    </row>
    <row r="218" customFormat="false" ht="15" hidden="false" customHeight="false" outlineLevel="0" collapsed="false">
      <c r="B218" s="324" t="s">
        <v>259</v>
      </c>
      <c r="C218" s="312" t="n">
        <f aca="false">SUM(C216:C217)</f>
        <v>0</v>
      </c>
      <c r="D218" s="312" t="n">
        <f aca="false">SUM(D216:D217)</f>
        <v>-529894</v>
      </c>
      <c r="E218" s="312" t="n">
        <f aca="false">C218-D218</f>
        <v>529894</v>
      </c>
      <c r="F218" s="312"/>
      <c r="G218" s="312"/>
      <c r="H218" s="312" t="n">
        <f aca="false">SUM(H216:H217)</f>
        <v>-116652</v>
      </c>
      <c r="I218" s="312" t="n">
        <f aca="false">+D218-H218</f>
        <v>-413242</v>
      </c>
    </row>
    <row r="219" customFormat="false" ht="15" hidden="false" customHeight="false" outlineLevel="0" collapsed="false">
      <c r="B219" s="324"/>
      <c r="C219" s="267" t="n">
        <f aca="false">C215-C218</f>
        <v>0</v>
      </c>
      <c r="D219" s="267" t="n">
        <f aca="false">D215-D218</f>
        <v>0</v>
      </c>
      <c r="E219" s="312" t="n">
        <f aca="false">C219-D219</f>
        <v>0</v>
      </c>
      <c r="H219" s="267" t="n">
        <f aca="false">H215-H218</f>
        <v>0</v>
      </c>
    </row>
    <row r="223" customFormat="false" ht="15" hidden="false" customHeight="false" outlineLevel="0" collapsed="false">
      <c r="B223" s="313" t="s">
        <v>384</v>
      </c>
      <c r="C223" s="312" t="n">
        <f aca="false">+C32+C53+C70+C90+C110+C127+C144+C161+C178+G197+C197+C216</f>
        <v>0</v>
      </c>
      <c r="D223" s="312" t="e">
        <f aca="false">+D32+D53+D70+D90+D110+D127+D144+D161+D178+H197+D197+D216</f>
        <v>#REF!</v>
      </c>
      <c r="E223" s="312" t="e">
        <f aca="false">C223-D223</f>
        <v>#REF!</v>
      </c>
      <c r="F223" s="312"/>
      <c r="G223" s="312"/>
      <c r="H223" s="312" t="e">
        <f aca="false">+H32+H53+H70+H90+H110+H127+H144+H161+H178+H197+H216</f>
        <v>#REF!</v>
      </c>
      <c r="I223" s="267" t="e">
        <f aca="false">+D223-H223</f>
        <v>#REF!</v>
      </c>
      <c r="N223" s="267" t="s">
        <v>293</v>
      </c>
      <c r="Q223" s="312" t="n">
        <f aca="false">+Q23+Q28+Q40+Q61+Q78+Q98+Q118+Q135+Q152+Q169+Q186+Q207</f>
        <v>36644382.96</v>
      </c>
      <c r="S223" s="312" t="n">
        <f aca="false">+S23+S28+S40+S61+S78+S98+S118+S135+S152+S169+S186+S207</f>
        <v>37131561.96</v>
      </c>
    </row>
    <row r="224" customFormat="false" ht="15" hidden="false" customHeight="false" outlineLevel="0" collapsed="false">
      <c r="B224" s="313" t="s">
        <v>385</v>
      </c>
      <c r="C224" s="312" t="n">
        <f aca="false">+C33+C54+C71+C91+C111+C128+C145+C162+C179+G198+C198+C217</f>
        <v>0</v>
      </c>
      <c r="D224" s="312" t="n">
        <f aca="false">+D33+D54+D71+D91+D111+D128+D145+D162+D179+H198+D198+D217</f>
        <v>10773197.2914058</v>
      </c>
      <c r="E224" s="312" t="n">
        <f aca="false">C224-D224</f>
        <v>-10773197.2914058</v>
      </c>
      <c r="F224" s="312"/>
      <c r="G224" s="312"/>
      <c r="H224" s="312" t="n">
        <f aca="false">+H33+H54+H71+H91+H111+H128+H145+H162+H179+H198+H217</f>
        <v>11152518.2523372</v>
      </c>
      <c r="I224" s="267" t="n">
        <f aca="false">+D224-H224</f>
        <v>-379320.960931417</v>
      </c>
      <c r="N224" s="267" t="s">
        <v>296</v>
      </c>
      <c r="Q224" s="312" t="n">
        <f aca="false">+Q24+Q29+Q41+Q62+Q79+Q99+Q119+Q136+Q153+Q170+Q187+Q208</f>
        <v>10505669.04</v>
      </c>
      <c r="S224" s="312" t="n">
        <f aca="false">+S24+S29+S41+S62+S79+S99+S119+S136+S153+S170+S187+S208</f>
        <v>10505669.04</v>
      </c>
    </row>
    <row r="225" customFormat="false" ht="15" hidden="false" customHeight="false" outlineLevel="0" collapsed="false">
      <c r="B225" s="313" t="s">
        <v>386</v>
      </c>
      <c r="C225" s="312" t="n">
        <f aca="false">+C34+C55+C72+C92+C112+C129+C146+C163+C180+G199+C199+C218</f>
        <v>0</v>
      </c>
      <c r="D225" s="312" t="e">
        <f aca="false">+D34+D55+D72+D92+D112+D129+D146+D163+D180+H199+D199+D218</f>
        <v>#REF!</v>
      </c>
      <c r="E225" s="312" t="e">
        <f aca="false">C225-D225</f>
        <v>#REF!</v>
      </c>
      <c r="F225" s="312"/>
      <c r="G225" s="312"/>
      <c r="H225" s="312" t="e">
        <f aca="false">+H34+H55+H72+H92+H112+H129+H146+H163+H180+H199+H218</f>
        <v>#REF!</v>
      </c>
      <c r="I225" s="267" t="e">
        <f aca="false">+D225-H225</f>
        <v>#REF!</v>
      </c>
      <c r="Q225" s="267" t="n">
        <f aca="false">SUM(Q223:Q224)</f>
        <v>47150052</v>
      </c>
      <c r="S225" s="267" t="n">
        <f aca="false">SUM(S223:S224)</f>
        <v>47637231</v>
      </c>
    </row>
    <row r="226" customFormat="false" ht="15" hidden="false" customHeight="false" outlineLevel="0" collapsed="false">
      <c r="B226" s="313" t="s">
        <v>387</v>
      </c>
      <c r="C226" s="333" t="n">
        <f aca="false">C223+C224-C225</f>
        <v>0</v>
      </c>
      <c r="D226" s="333" t="e">
        <f aca="false">D223+D224-D225</f>
        <v>#REF!</v>
      </c>
      <c r="E226" s="333" t="e">
        <f aca="false">E223+E224-E225</f>
        <v>#REF!</v>
      </c>
      <c r="F226" s="333"/>
      <c r="G226" s="333"/>
      <c r="H226" s="333" t="e">
        <f aca="false">H223+H224-H225</f>
        <v>#REF!</v>
      </c>
      <c r="I226" s="267" t="e">
        <f aca="false">+D226-H226</f>
        <v>#REF!</v>
      </c>
    </row>
    <row r="227" customFormat="false" ht="14.25" hidden="false" customHeight="false" outlineLevel="0" collapsed="false">
      <c r="Q227" s="334" t="n">
        <v>44513438</v>
      </c>
    </row>
    <row r="228" customFormat="false" ht="14.25" hidden="false" customHeight="false" outlineLevel="0" collapsed="false">
      <c r="Q228" s="335" t="n">
        <v>6468792</v>
      </c>
    </row>
    <row r="229" customFormat="false" ht="14.25" hidden="false" customHeight="false" outlineLevel="0" collapsed="false">
      <c r="D229" s="311"/>
      <c r="E229" s="311"/>
      <c r="F229" s="311"/>
      <c r="G229" s="311"/>
      <c r="Q229" s="267" t="n">
        <f aca="false">Q227-Q228</f>
        <v>38044646</v>
      </c>
      <c r="R229" s="311" t="n">
        <v>38835024.05</v>
      </c>
      <c r="S229" s="326" t="n">
        <f aca="false">R229-Q229</f>
        <v>790378.049999997</v>
      </c>
    </row>
    <row r="230" customFormat="false" ht="14.25" hidden="false" customHeight="false" outlineLevel="0" collapsed="false">
      <c r="Q230" s="267" t="n">
        <f aca="false">Q223-Q229</f>
        <v>-1400263.04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Q117:R117"/>
    <mergeCell ref="S117:T117"/>
    <mergeCell ref="U117:V117"/>
    <mergeCell ref="Q134:R134"/>
    <mergeCell ref="S134:T134"/>
    <mergeCell ref="U134:V134"/>
    <mergeCell ref="Q151:R151"/>
    <mergeCell ref="S151:T151"/>
    <mergeCell ref="U151:V151"/>
    <mergeCell ref="Q168:R168"/>
    <mergeCell ref="S168:T168"/>
    <mergeCell ref="U168:V168"/>
    <mergeCell ref="Q185:R185"/>
    <mergeCell ref="S185:T185"/>
    <mergeCell ref="Q206:R2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8" width="5.55"/>
    <col collapsed="false" customWidth="true" hidden="false" outlineLevel="0" max="2" min="2" style="338" width="5.88"/>
    <col collapsed="false" customWidth="true" hidden="false" outlineLevel="0" max="3" min="3" style="338" width="65.27"/>
    <col collapsed="false" customWidth="true" hidden="false" outlineLevel="0" max="4" min="4" style="338" width="15.61"/>
    <col collapsed="false" customWidth="true" hidden="false" outlineLevel="0" max="5" min="5" style="338" width="12.13"/>
    <col collapsed="false" customWidth="true" hidden="false" outlineLevel="0" max="6" min="6" style="338" width="15.61"/>
    <col collapsed="false" customWidth="true" hidden="false" outlineLevel="0" max="7" min="7" style="338" width="11.11"/>
    <col collapsed="false" customWidth="false" hidden="false" outlineLevel="0" max="991" min="8" style="338" width="11.52"/>
  </cols>
  <sheetData>
    <row r="1" customFormat="false" ht="13.8" hidden="false" customHeight="false" outlineLevel="0" collapsed="false">
      <c r="A1" s="339" t="s">
        <v>390</v>
      </c>
    </row>
    <row r="2" customFormat="false" ht="13.8" hidden="false" customHeight="false" outlineLevel="0" collapsed="false">
      <c r="A2" s="339" t="s">
        <v>391</v>
      </c>
    </row>
    <row r="3" customFormat="false" ht="13.8" hidden="false" customHeight="false" outlineLevel="0" collapsed="false">
      <c r="A3" s="339" t="s">
        <v>392</v>
      </c>
    </row>
    <row r="4" customFormat="false" ht="13.8" hidden="false" customHeight="false" outlineLevel="0" collapsed="false"/>
    <row r="5" customFormat="false" ht="13.8" hidden="false" customHeight="false" outlineLevel="0" collapsed="false">
      <c r="B5" s="340"/>
      <c r="C5" s="341" t="s">
        <v>393</v>
      </c>
      <c r="D5" s="342"/>
      <c r="E5" s="343" t="n">
        <v>2020</v>
      </c>
      <c r="F5" s="344" t="n">
        <v>2019</v>
      </c>
      <c r="G5" s="345" t="s">
        <v>5</v>
      </c>
    </row>
    <row r="6" customFormat="false" ht="13.8" hidden="false" customHeight="false" outlineLevel="0" collapsed="false">
      <c r="B6" s="346" t="n">
        <v>2320</v>
      </c>
      <c r="C6" s="342" t="s">
        <v>394</v>
      </c>
      <c r="D6" s="347" t="s">
        <v>395</v>
      </c>
      <c r="E6" s="348" t="n">
        <v>31463534.27</v>
      </c>
      <c r="F6" s="348" t="n">
        <v>27858699</v>
      </c>
      <c r="G6" s="349" t="n">
        <f aca="false">E6-F6</f>
        <v>3604835.27</v>
      </c>
    </row>
    <row r="7" customFormat="false" ht="13.8" hidden="false" customHeight="false" outlineLevel="0" collapsed="false">
      <c r="B7" s="346" t="n">
        <v>2342</v>
      </c>
      <c r="C7" s="350" t="s">
        <v>396</v>
      </c>
      <c r="D7" s="351" t="s">
        <v>397</v>
      </c>
      <c r="E7" s="352" t="n">
        <v>1982263.02</v>
      </c>
      <c r="F7" s="352" t="n">
        <v>1982263</v>
      </c>
      <c r="G7" s="353" t="n">
        <f aca="false">E7-F7</f>
        <v>0.0200000000186265</v>
      </c>
    </row>
    <row r="8" customFormat="false" ht="13.8" hidden="false" customHeight="true" outlineLevel="0" collapsed="false">
      <c r="B8" s="346" t="n">
        <v>2322</v>
      </c>
      <c r="C8" s="350" t="s">
        <v>398</v>
      </c>
      <c r="D8" s="351" t="s">
        <v>399</v>
      </c>
      <c r="E8" s="352" t="n">
        <v>943459.2</v>
      </c>
      <c r="F8" s="352" t="n">
        <v>943459</v>
      </c>
      <c r="G8" s="353" t="n">
        <f aca="false">E8-F8</f>
        <v>0.199999999953434</v>
      </c>
    </row>
    <row r="9" customFormat="false" ht="13.8" hidden="false" customHeight="false" outlineLevel="0" collapsed="false">
      <c r="B9" s="346" t="n">
        <v>2324</v>
      </c>
      <c r="C9" s="350" t="s">
        <v>400</v>
      </c>
      <c r="D9" s="351" t="s">
        <v>401</v>
      </c>
      <c r="E9" s="352" t="n">
        <v>147840</v>
      </c>
      <c r="F9" s="352" t="n">
        <v>147840</v>
      </c>
      <c r="G9" s="353" t="n">
        <f aca="false">E9-F9</f>
        <v>0</v>
      </c>
    </row>
    <row r="10" customFormat="false" ht="13.8" hidden="false" customHeight="false" outlineLevel="0" collapsed="false">
      <c r="B10" s="346" t="n">
        <v>2326</v>
      </c>
      <c r="C10" s="350" t="s">
        <v>402</v>
      </c>
      <c r="D10" s="351" t="s">
        <v>403</v>
      </c>
      <c r="E10" s="352" t="n">
        <v>462500</v>
      </c>
      <c r="F10" s="352" t="n">
        <v>462500</v>
      </c>
      <c r="G10" s="353" t="n">
        <f aca="false">E10-F10</f>
        <v>0</v>
      </c>
    </row>
    <row r="11" customFormat="false" ht="13.8" hidden="false" customHeight="false" outlineLevel="0" collapsed="false">
      <c r="B11" s="346" t="n">
        <v>2328</v>
      </c>
      <c r="C11" s="350" t="s">
        <v>404</v>
      </c>
      <c r="D11" s="351" t="s">
        <v>405</v>
      </c>
      <c r="E11" s="352" t="n">
        <v>140052.15</v>
      </c>
      <c r="F11" s="352" t="n">
        <v>140052</v>
      </c>
      <c r="G11" s="353" t="n">
        <f aca="false">E11-F11</f>
        <v>0.149999999994179</v>
      </c>
    </row>
    <row r="12" customFormat="false" ht="13.8" hidden="false" customHeight="false" outlineLevel="0" collapsed="false">
      <c r="B12" s="346" t="n">
        <v>2334</v>
      </c>
      <c r="C12" s="350" t="s">
        <v>406</v>
      </c>
      <c r="D12" s="351" t="s">
        <v>407</v>
      </c>
      <c r="E12" s="352" t="n">
        <v>6000</v>
      </c>
      <c r="F12" s="352" t="n">
        <v>6000</v>
      </c>
      <c r="G12" s="353" t="n">
        <f aca="false">E12-F12</f>
        <v>0</v>
      </c>
    </row>
    <row r="13" customFormat="false" ht="13.8" hidden="false" customHeight="false" outlineLevel="0" collapsed="false">
      <c r="B13" s="346" t="n">
        <v>2336</v>
      </c>
      <c r="C13" s="350" t="s">
        <v>408</v>
      </c>
      <c r="D13" s="351" t="s">
        <v>409</v>
      </c>
      <c r="E13" s="352" t="n">
        <v>1173781.21</v>
      </c>
      <c r="F13" s="352" t="n">
        <v>1173781</v>
      </c>
      <c r="G13" s="353" t="n">
        <f aca="false">E13-F13</f>
        <v>0.209999999962747</v>
      </c>
    </row>
    <row r="14" customFormat="false" ht="13.8" hidden="false" customHeight="false" outlineLevel="0" collapsed="false">
      <c r="B14" s="346" t="n">
        <v>2340</v>
      </c>
      <c r="C14" s="350" t="s">
        <v>410</v>
      </c>
      <c r="D14" s="351" t="s">
        <v>411</v>
      </c>
      <c r="E14" s="352" t="n">
        <v>1114175.56</v>
      </c>
      <c r="F14" s="352" t="n">
        <v>1114176</v>
      </c>
      <c r="G14" s="353" t="n">
        <f aca="false">E14-F14</f>
        <v>-0.439999999944121</v>
      </c>
    </row>
    <row r="15" customFormat="false" ht="13.8" hidden="false" customHeight="false" outlineLevel="0" collapsed="false">
      <c r="B15" s="346" t="n">
        <v>2344</v>
      </c>
      <c r="C15" s="350" t="s">
        <v>412</v>
      </c>
      <c r="D15" s="351" t="s">
        <v>413</v>
      </c>
      <c r="E15" s="352" t="n">
        <v>1834157.69</v>
      </c>
      <c r="F15" s="352" t="n">
        <v>1834158</v>
      </c>
      <c r="G15" s="353" t="n">
        <f aca="false">E15-F15</f>
        <v>-0.310000000055879</v>
      </c>
    </row>
    <row r="16" customFormat="false" ht="13.8" hidden="false" customHeight="false" outlineLevel="0" collapsed="false">
      <c r="B16" s="346" t="n">
        <v>2348</v>
      </c>
      <c r="C16" s="350" t="s">
        <v>414</v>
      </c>
      <c r="D16" s="351" t="s">
        <v>415</v>
      </c>
      <c r="E16" s="352" t="n">
        <v>1193125.89</v>
      </c>
      <c r="F16" s="352" t="n">
        <v>1193126</v>
      </c>
      <c r="G16" s="353" t="n">
        <f aca="false">E16-F16</f>
        <v>-0.110000000102445</v>
      </c>
    </row>
    <row r="17" customFormat="false" ht="13.8" hidden="false" customHeight="false" outlineLevel="0" collapsed="false">
      <c r="B17" s="346" t="n">
        <v>2350</v>
      </c>
      <c r="C17" s="350" t="s">
        <v>416</v>
      </c>
      <c r="D17" s="351" t="s">
        <v>417</v>
      </c>
      <c r="E17" s="352" t="n">
        <v>-1598182.88</v>
      </c>
      <c r="F17" s="352" t="n">
        <f aca="false">-1606183+8000</f>
        <v>-1598183</v>
      </c>
      <c r="G17" s="353" t="n">
        <f aca="false">E17-F17</f>
        <v>0.120000000111759</v>
      </c>
    </row>
    <row r="18" customFormat="false" ht="13.8" hidden="false" customHeight="false" outlineLevel="0" collapsed="false">
      <c r="B18" s="354"/>
      <c r="C18" s="350"/>
      <c r="D18" s="350"/>
      <c r="E18" s="355" t="n">
        <f aca="false">SUM(E6:E17)</f>
        <v>38862706.11</v>
      </c>
      <c r="F18" s="355" t="n">
        <f aca="false">SUM(F6:F17)</f>
        <v>35257871</v>
      </c>
      <c r="G18" s="356" t="n">
        <f aca="false">E18-F18</f>
        <v>3604835.11</v>
      </c>
    </row>
    <row r="19" customFormat="false" ht="13.8" hidden="false" customHeight="false" outlineLevel="0" collapsed="false">
      <c r="B19" s="354"/>
      <c r="C19" s="357" t="s">
        <v>418</v>
      </c>
      <c r="D19" s="350"/>
      <c r="E19" s="358" t="n">
        <f aca="false">SUM(E6:E16)</f>
        <v>40460888.99</v>
      </c>
      <c r="F19" s="358" t="n">
        <f aca="false">SUM(F6:F16)</f>
        <v>36856054</v>
      </c>
      <c r="G19" s="356" t="n">
        <f aca="false">E19-F19</f>
        <v>3604834.99</v>
      </c>
    </row>
    <row r="20" customFormat="false" ht="13.8" hidden="false" customHeight="false" outlineLevel="0" collapsed="false">
      <c r="B20" s="354" t="n">
        <v>2102</v>
      </c>
      <c r="C20" s="350" t="s">
        <v>419</v>
      </c>
      <c r="D20" s="351" t="s">
        <v>420</v>
      </c>
      <c r="E20" s="352"/>
      <c r="F20" s="352" t="n">
        <v>0</v>
      </c>
      <c r="G20" s="353" t="n">
        <f aca="false">E20-F20</f>
        <v>0</v>
      </c>
    </row>
    <row r="21" customFormat="false" ht="13.8" hidden="false" customHeight="false" outlineLevel="0" collapsed="false">
      <c r="B21" s="346" t="n">
        <v>2330</v>
      </c>
      <c r="C21" s="350" t="s">
        <v>421</v>
      </c>
      <c r="D21" s="351" t="s">
        <v>422</v>
      </c>
      <c r="E21" s="352" t="n">
        <v>84000</v>
      </c>
      <c r="F21" s="352" t="n">
        <v>84000</v>
      </c>
      <c r="G21" s="353" t="n">
        <f aca="false">E21-F21</f>
        <v>0</v>
      </c>
    </row>
    <row r="22" customFormat="false" ht="13.8" hidden="false" customHeight="false" outlineLevel="0" collapsed="false">
      <c r="B22" s="346" t="n">
        <v>2332</v>
      </c>
      <c r="C22" s="350" t="s">
        <v>423</v>
      </c>
      <c r="D22" s="351" t="s">
        <v>424</v>
      </c>
      <c r="E22" s="352" t="n">
        <v>3675000</v>
      </c>
      <c r="F22" s="352" t="n">
        <v>3675000</v>
      </c>
      <c r="G22" s="353" t="n">
        <f aca="false">E22-F22</f>
        <v>0</v>
      </c>
    </row>
    <row r="23" customFormat="false" ht="13.8" hidden="false" customHeight="false" outlineLevel="0" collapsed="false">
      <c r="B23" s="346" t="n">
        <v>2338</v>
      </c>
      <c r="C23" s="350" t="s">
        <v>425</v>
      </c>
      <c r="D23" s="351" t="s">
        <v>426</v>
      </c>
      <c r="E23" s="352" t="n">
        <v>8000</v>
      </c>
      <c r="F23" s="352" t="n">
        <v>8000</v>
      </c>
      <c r="G23" s="353" t="n">
        <f aca="false">E23-F23</f>
        <v>0</v>
      </c>
    </row>
    <row r="24" customFormat="false" ht="13.8" hidden="false" customHeight="false" outlineLevel="0" collapsed="false">
      <c r="B24" s="346" t="n">
        <v>2346</v>
      </c>
      <c r="C24" s="350" t="s">
        <v>427</v>
      </c>
      <c r="D24" s="351" t="s">
        <v>428</v>
      </c>
      <c r="E24" s="352" t="n">
        <v>1500</v>
      </c>
      <c r="F24" s="352" t="n">
        <v>1500</v>
      </c>
      <c r="G24" s="353" t="n">
        <f aca="false">E24-F24</f>
        <v>0</v>
      </c>
    </row>
    <row r="25" customFormat="false" ht="13.8" hidden="false" customHeight="false" outlineLevel="0" collapsed="false">
      <c r="B25" s="346" t="n">
        <v>2350</v>
      </c>
      <c r="C25" s="350" t="s">
        <v>416</v>
      </c>
      <c r="D25" s="351" t="s">
        <v>417</v>
      </c>
      <c r="E25" s="352" t="n">
        <v>-8000</v>
      </c>
      <c r="F25" s="352" t="n">
        <v>-8000</v>
      </c>
      <c r="G25" s="353" t="n">
        <f aca="false">E25-F25</f>
        <v>0</v>
      </c>
    </row>
    <row r="26" customFormat="false" ht="13.8" hidden="false" customHeight="false" outlineLevel="0" collapsed="false">
      <c r="B26" s="354"/>
      <c r="C26" s="350"/>
      <c r="D26" s="350"/>
      <c r="E26" s="355" t="n">
        <f aca="false">SUM(E20:E25)</f>
        <v>3760500</v>
      </c>
      <c r="F26" s="355" t="n">
        <f aca="false">SUM(F20:F25)</f>
        <v>3760500</v>
      </c>
      <c r="G26" s="356" t="n">
        <f aca="false">E26-F26</f>
        <v>0</v>
      </c>
    </row>
    <row r="27" customFormat="false" ht="13.8" hidden="false" customHeight="false" outlineLevel="0" collapsed="false">
      <c r="B27" s="354"/>
      <c r="C27" s="350"/>
      <c r="D27" s="350"/>
      <c r="E27" s="355" t="n">
        <f aca="false">E18+E26</f>
        <v>42623206.11</v>
      </c>
      <c r="F27" s="355" t="n">
        <f aca="false">F18+F26</f>
        <v>39018371</v>
      </c>
      <c r="G27" s="356" t="n">
        <f aca="false">E27-F27</f>
        <v>3604835.11</v>
      </c>
    </row>
    <row r="28" customFormat="false" ht="13.8" hidden="false" customHeight="false" outlineLevel="0" collapsed="false">
      <c r="B28" s="359"/>
      <c r="C28" s="360"/>
      <c r="D28" s="360"/>
      <c r="E28" s="361"/>
      <c r="F28" s="361"/>
      <c r="G28" s="356"/>
    </row>
    <row r="32" customFormat="false" ht="12.8" hidden="false" customHeight="false" outlineLevel="0" collapsed="false">
      <c r="C32" s="338" t="s">
        <v>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75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ColWidth="11.43359375" defaultRowHeight="9.75" zeroHeight="false" outlineLevelRow="1" outlineLevelCol="0"/>
  <cols>
    <col collapsed="false" customWidth="true" hidden="false" outlineLevel="0" max="1" min="1" style="362" width="27.99"/>
    <col collapsed="false" customWidth="true" hidden="false" outlineLevel="0" max="2" min="2" style="362" width="1.71"/>
    <col collapsed="false" customWidth="true" hidden="false" outlineLevel="0" max="3" min="3" style="362" width="12.42"/>
    <col collapsed="false" customWidth="true" hidden="false" outlineLevel="0" max="4" min="4" style="362" width="1.71"/>
    <col collapsed="false" customWidth="true" hidden="false" outlineLevel="0" max="5" min="5" style="362" width="12.71"/>
    <col collapsed="false" customWidth="true" hidden="false" outlineLevel="0" max="6" min="6" style="362" width="1.71"/>
    <col collapsed="false" customWidth="true" hidden="false" outlineLevel="0" max="7" min="7" style="362" width="13.29"/>
    <col collapsed="false" customWidth="true" hidden="false" outlineLevel="0" max="8" min="8" style="362" width="1.71"/>
    <col collapsed="false" customWidth="true" hidden="false" outlineLevel="0" max="9" min="9" style="362" width="12.29"/>
    <col collapsed="false" customWidth="true" hidden="false" outlineLevel="0" max="10" min="10" style="362" width="1.71"/>
    <col collapsed="false" customWidth="true" hidden="false" outlineLevel="0" max="11" min="11" style="362" width="9.13"/>
    <col collapsed="false" customWidth="true" hidden="false" outlineLevel="0" max="12" min="12" style="362" width="1.71"/>
    <col collapsed="false" customWidth="true" hidden="false" outlineLevel="0" max="13" min="13" style="362" width="8.57"/>
    <col collapsed="false" customWidth="true" hidden="false" outlineLevel="0" max="14" min="14" style="362" width="1.71"/>
    <col collapsed="false" customWidth="false" hidden="false" outlineLevel="0" max="15" min="15" style="362" width="11.42"/>
    <col collapsed="false" customWidth="true" hidden="false" outlineLevel="0" max="16" min="16" style="362" width="1.71"/>
    <col collapsed="false" customWidth="true" hidden="false" outlineLevel="0" max="17" min="17" style="362" width="12.42"/>
    <col collapsed="false" customWidth="true" hidden="false" outlineLevel="0" max="18" min="18" style="362" width="1.71"/>
    <col collapsed="false" customWidth="true" hidden="false" outlineLevel="0" max="19" min="19" style="362" width="12.42"/>
    <col collapsed="false" customWidth="true" hidden="false" outlineLevel="0" max="20" min="20" style="362" width="1.71"/>
    <col collapsed="false" customWidth="true" hidden="false" outlineLevel="0" max="21" min="21" style="362" width="10"/>
    <col collapsed="false" customWidth="true" hidden="false" outlineLevel="0" max="22" min="22" style="362" width="1.71"/>
    <col collapsed="false" customWidth="true" hidden="false" outlineLevel="0" max="23" min="23" style="362" width="10.58"/>
    <col collapsed="false" customWidth="true" hidden="false" outlineLevel="0" max="24" min="24" style="362" width="1.71"/>
    <col collapsed="false" customWidth="true" hidden="false" outlineLevel="0" max="25" min="25" style="362" width="8.86"/>
    <col collapsed="false" customWidth="true" hidden="false" outlineLevel="0" max="26" min="26" style="362" width="1.71"/>
    <col collapsed="false" customWidth="true" hidden="false" outlineLevel="0" max="27" min="27" style="362" width="11.99"/>
    <col collapsed="false" customWidth="true" hidden="false" outlineLevel="0" max="28" min="28" style="362" width="1.71"/>
    <col collapsed="false" customWidth="true" hidden="false" outlineLevel="0" max="29" min="29" style="362" width="11.57"/>
    <col collapsed="false" customWidth="true" hidden="false" outlineLevel="0" max="30" min="30" style="362" width="1.71"/>
    <col collapsed="false" customWidth="true" hidden="false" outlineLevel="0" max="31" min="31" style="362" width="11.57"/>
    <col collapsed="false" customWidth="true" hidden="false" outlineLevel="0" max="32" min="32" style="362" width="1.71"/>
    <col collapsed="false" customWidth="true" hidden="false" outlineLevel="0" max="33" min="33" style="363" width="11.99"/>
    <col collapsed="false" customWidth="false" hidden="false" outlineLevel="0" max="1024" min="34" style="362" width="11.42"/>
  </cols>
  <sheetData>
    <row r="1" s="364" customFormat="true" ht="19.5" hidden="false" customHeight="false" outlineLevel="1" collapsed="false">
      <c r="C1" s="364" t="s">
        <v>212</v>
      </c>
      <c r="E1" s="364" t="s">
        <v>430</v>
      </c>
      <c r="G1" s="364" t="s">
        <v>431</v>
      </c>
      <c r="I1" s="364" t="s">
        <v>280</v>
      </c>
      <c r="K1" s="364" t="s">
        <v>281</v>
      </c>
      <c r="M1" s="364" t="s">
        <v>432</v>
      </c>
      <c r="O1" s="364" t="s">
        <v>282</v>
      </c>
      <c r="Q1" s="364" t="s">
        <v>433</v>
      </c>
      <c r="S1" s="364" t="s">
        <v>434</v>
      </c>
      <c r="U1" s="364" t="s">
        <v>245</v>
      </c>
      <c r="W1" s="364" t="s">
        <v>247</v>
      </c>
      <c r="Y1" s="364" t="s">
        <v>32</v>
      </c>
      <c r="AA1" s="364" t="s">
        <v>259</v>
      </c>
      <c r="AC1" s="364" t="s">
        <v>200</v>
      </c>
      <c r="AE1" s="364" t="s">
        <v>201</v>
      </c>
      <c r="AG1" s="364" t="s">
        <v>259</v>
      </c>
    </row>
    <row r="2" customFormat="false" ht="9.75" hidden="false" customHeight="false" outlineLevel="1" collapsed="false"/>
    <row r="3" customFormat="false" ht="9.75" hidden="false" customHeight="false" outlineLevel="1" collapsed="false">
      <c r="A3" s="365" t="s">
        <v>172</v>
      </c>
      <c r="B3" s="365"/>
      <c r="C3" s="366" t="n">
        <f aca="false">'Planilla final'!B47</f>
        <v>21629181.18</v>
      </c>
      <c r="D3" s="367"/>
      <c r="E3" s="366" t="n">
        <f aca="false">'Planilla final'!C47</f>
        <v>0</v>
      </c>
      <c r="F3" s="367"/>
      <c r="G3" s="366" t="n">
        <f aca="false">'Planilla final'!D47</f>
        <v>0</v>
      </c>
      <c r="H3" s="367"/>
      <c r="I3" s="366" t="n">
        <f aca="false">'Planilla final'!E47</f>
        <v>0</v>
      </c>
      <c r="J3" s="367"/>
      <c r="K3" s="366" t="n">
        <f aca="false">'Planilla final'!F47</f>
        <v>0</v>
      </c>
      <c r="L3" s="367"/>
      <c r="M3" s="366" t="n">
        <f aca="false">'Planilla final'!G47</f>
        <v>0</v>
      </c>
      <c r="N3" s="367"/>
      <c r="O3" s="366" t="n">
        <f aca="false">'Planilla final'!H47</f>
        <v>0</v>
      </c>
      <c r="P3" s="367"/>
      <c r="Q3" s="366" t="n">
        <f aca="false">'Planilla final'!I47</f>
        <v>0</v>
      </c>
      <c r="R3" s="367"/>
      <c r="S3" s="366" t="n">
        <f aca="false">'Planilla final'!J47</f>
        <v>0</v>
      </c>
      <c r="T3" s="367"/>
      <c r="U3" s="366" t="n">
        <f aca="false">'Planilla final'!K47</f>
        <v>0</v>
      </c>
      <c r="V3" s="368"/>
      <c r="W3" s="366" t="n">
        <f aca="false">'Planilla final'!L47</f>
        <v>3661400</v>
      </c>
      <c r="X3" s="368"/>
      <c r="Y3" s="366" t="n">
        <f aca="false">'Planilla final'!M47</f>
        <v>0</v>
      </c>
      <c r="Z3" s="367"/>
      <c r="AA3" s="367" t="n">
        <f aca="false">+SUM(C3:Y3)</f>
        <v>25290581.18</v>
      </c>
      <c r="AB3" s="367"/>
      <c r="AC3" s="367" t="n">
        <f aca="false">+'Planilla final'!O47</f>
        <v>0</v>
      </c>
      <c r="AD3" s="367"/>
      <c r="AE3" s="367" t="n">
        <f aca="false">+'Planilla final'!P47</f>
        <v>0</v>
      </c>
      <c r="AF3" s="367"/>
      <c r="AG3" s="369" t="n">
        <f aca="false">AA3-AC3+AE3</f>
        <v>25290581.18</v>
      </c>
      <c r="AI3" s="370"/>
    </row>
    <row r="4" customFormat="false" ht="9.75" hidden="false" customHeight="false" outlineLevel="1" collapsed="false">
      <c r="A4" s="365" t="s">
        <v>435</v>
      </c>
      <c r="B4" s="365"/>
      <c r="C4" s="367" t="n">
        <f aca="false">'Planilla final'!B48</f>
        <v>920.74</v>
      </c>
      <c r="D4" s="367"/>
      <c r="E4" s="366" t="n">
        <f aca="false">'Planilla final'!C48</f>
        <v>0</v>
      </c>
      <c r="F4" s="367"/>
      <c r="G4" s="366" t="n">
        <f aca="false">'Planilla final'!D48</f>
        <v>0</v>
      </c>
      <c r="H4" s="367"/>
      <c r="I4" s="366" t="n">
        <f aca="false">'Planilla final'!E48</f>
        <v>0</v>
      </c>
      <c r="J4" s="367"/>
      <c r="K4" s="366" t="n">
        <f aca="false">'Planilla final'!F48</f>
        <v>0</v>
      </c>
      <c r="L4" s="367"/>
      <c r="M4" s="366" t="n">
        <f aca="false">'Planilla final'!G48</f>
        <v>0</v>
      </c>
      <c r="N4" s="367"/>
      <c r="O4" s="366" t="n">
        <f aca="false">'Planilla final'!H48</f>
        <v>0</v>
      </c>
      <c r="P4" s="367"/>
      <c r="Q4" s="366" t="n">
        <f aca="false">'Planilla final'!I48</f>
        <v>0</v>
      </c>
      <c r="R4" s="367"/>
      <c r="S4" s="366" t="n">
        <f aca="false">'Planilla final'!J48</f>
        <v>0</v>
      </c>
      <c r="T4" s="367"/>
      <c r="U4" s="366" t="n">
        <f aca="false">'Planilla final'!K48</f>
        <v>0</v>
      </c>
      <c r="V4" s="368"/>
      <c r="W4" s="366" t="n">
        <f aca="false">'Planilla final'!L48</f>
        <v>406799.86</v>
      </c>
      <c r="X4" s="368"/>
      <c r="Y4" s="366" t="n">
        <f aca="false">'Planilla final'!M48</f>
        <v>0</v>
      </c>
      <c r="Z4" s="367"/>
      <c r="AA4" s="367" t="n">
        <f aca="false">+SUM(C4:Y4)</f>
        <v>407720.6</v>
      </c>
      <c r="AB4" s="367"/>
      <c r="AC4" s="367" t="n">
        <f aca="false">+'Planilla final'!O48</f>
        <v>0</v>
      </c>
      <c r="AD4" s="367"/>
      <c r="AE4" s="367" t="n">
        <f aca="false">+'Planilla final'!P48</f>
        <v>0</v>
      </c>
      <c r="AF4" s="367"/>
      <c r="AG4" s="369" t="n">
        <f aca="false">AA4-AC4+AE4</f>
        <v>407720.6</v>
      </c>
    </row>
    <row r="5" customFormat="false" ht="9.75" hidden="false" customHeight="false" outlineLevel="1" collapsed="false">
      <c r="A5" s="365" t="s">
        <v>90</v>
      </c>
      <c r="B5" s="371"/>
      <c r="C5" s="367" t="n">
        <f aca="false">'Planilla final'!B49</f>
        <v>6397230.37</v>
      </c>
      <c r="D5" s="367"/>
      <c r="E5" s="366" t="n">
        <f aca="false">'Planilla final'!C49</f>
        <v>0</v>
      </c>
      <c r="F5" s="367"/>
      <c r="G5" s="366" t="n">
        <f aca="false">'Planilla final'!D49</f>
        <v>0</v>
      </c>
      <c r="H5" s="367"/>
      <c r="I5" s="366" t="n">
        <f aca="false">'Planilla final'!E49</f>
        <v>0</v>
      </c>
      <c r="J5" s="367"/>
      <c r="K5" s="366" t="n">
        <f aca="false">'Planilla final'!F49</f>
        <v>0</v>
      </c>
      <c r="L5" s="367"/>
      <c r="M5" s="366" t="n">
        <f aca="false">'Planilla final'!G49</f>
        <v>0</v>
      </c>
      <c r="N5" s="367"/>
      <c r="O5" s="366" t="n">
        <f aca="false">'Planilla final'!H49</f>
        <v>0</v>
      </c>
      <c r="P5" s="367"/>
      <c r="Q5" s="366" t="n">
        <f aca="false">'Planilla final'!I49</f>
        <v>0</v>
      </c>
      <c r="R5" s="367"/>
      <c r="S5" s="366" t="n">
        <f aca="false">'Planilla final'!J49</f>
        <v>0</v>
      </c>
      <c r="T5" s="367"/>
      <c r="U5" s="366" t="n">
        <f aca="false">'Planilla final'!K49</f>
        <v>0</v>
      </c>
      <c r="V5" s="368"/>
      <c r="W5" s="366" t="n">
        <f aca="false">'Planilla final'!L49</f>
        <v>104043.49</v>
      </c>
      <c r="X5" s="368"/>
      <c r="Y5" s="366" t="n">
        <f aca="false">'Planilla final'!M49</f>
        <v>0</v>
      </c>
      <c r="Z5" s="367"/>
      <c r="AA5" s="367" t="n">
        <f aca="false">+SUM(C5:Y5)</f>
        <v>6501273.86</v>
      </c>
      <c r="AB5" s="367"/>
      <c r="AC5" s="367" t="n">
        <f aca="false">+'Planilla final'!O49</f>
        <v>0</v>
      </c>
      <c r="AD5" s="367"/>
      <c r="AE5" s="367" t="n">
        <f aca="false">+'Planilla final'!P49</f>
        <v>0</v>
      </c>
      <c r="AF5" s="367"/>
      <c r="AG5" s="369" t="n">
        <f aca="false">AA5-AC5+AE5</f>
        <v>6501273.86</v>
      </c>
    </row>
    <row r="6" customFormat="false" ht="9.75" hidden="false" customHeight="false" outlineLevel="1" collapsed="false">
      <c r="A6" s="365" t="s">
        <v>91</v>
      </c>
      <c r="B6" s="371"/>
      <c r="C6" s="367" t="n">
        <f aca="false">'Planilla final'!B50</f>
        <v>0</v>
      </c>
      <c r="D6" s="367"/>
      <c r="E6" s="366" t="n">
        <f aca="false">'Planilla final'!C50</f>
        <v>0</v>
      </c>
      <c r="F6" s="367"/>
      <c r="G6" s="366" t="n">
        <f aca="false">'Planilla final'!D50</f>
        <v>0</v>
      </c>
      <c r="H6" s="367"/>
      <c r="I6" s="366" t="n">
        <f aca="false">'Planilla final'!E50</f>
        <v>0</v>
      </c>
      <c r="J6" s="367"/>
      <c r="K6" s="366" t="n">
        <f aca="false">'Planilla final'!F50</f>
        <v>0</v>
      </c>
      <c r="L6" s="367"/>
      <c r="M6" s="366" t="n">
        <f aca="false">'Planilla final'!G50</f>
        <v>0</v>
      </c>
      <c r="N6" s="367"/>
      <c r="O6" s="366" t="n">
        <f aca="false">'Planilla final'!H50</f>
        <v>0</v>
      </c>
      <c r="P6" s="367"/>
      <c r="Q6" s="366" t="n">
        <f aca="false">'Planilla final'!I50</f>
        <v>0</v>
      </c>
      <c r="R6" s="367"/>
      <c r="S6" s="366" t="n">
        <f aca="false">'Planilla final'!J50</f>
        <v>0</v>
      </c>
      <c r="T6" s="367"/>
      <c r="U6" s="366" t="n">
        <f aca="false">'Planilla final'!K50</f>
        <v>0</v>
      </c>
      <c r="V6" s="368"/>
      <c r="W6" s="366" t="n">
        <f aca="false">'Planilla final'!L50</f>
        <v>0</v>
      </c>
      <c r="X6" s="368"/>
      <c r="Y6" s="366" t="n">
        <f aca="false">'Planilla final'!M50</f>
        <v>0</v>
      </c>
      <c r="Z6" s="367"/>
      <c r="AA6" s="367" t="n">
        <f aca="false">+SUM(C6:Y6)</f>
        <v>0</v>
      </c>
      <c r="AB6" s="367"/>
      <c r="AC6" s="367" t="n">
        <f aca="false">+'Planilla final'!O50</f>
        <v>0</v>
      </c>
      <c r="AD6" s="367"/>
      <c r="AE6" s="367" t="n">
        <f aca="false">+'Planilla final'!P50</f>
        <v>0</v>
      </c>
      <c r="AF6" s="367"/>
      <c r="AG6" s="369" t="n">
        <f aca="false">AA6-AC6+AE6</f>
        <v>0</v>
      </c>
    </row>
    <row r="7" customFormat="false" ht="9.75" hidden="false" customHeight="false" outlineLevel="1" collapsed="false">
      <c r="A7" s="365" t="s">
        <v>436</v>
      </c>
      <c r="B7" s="371"/>
      <c r="C7" s="367" t="n">
        <f aca="false">'Planilla final'!B51</f>
        <v>0</v>
      </c>
      <c r="D7" s="367"/>
      <c r="E7" s="366" t="n">
        <f aca="false">'Planilla final'!C51</f>
        <v>0</v>
      </c>
      <c r="F7" s="367"/>
      <c r="G7" s="366" t="n">
        <f aca="false">'Planilla final'!D51</f>
        <v>0</v>
      </c>
      <c r="H7" s="367"/>
      <c r="I7" s="366" t="n">
        <f aca="false">'Planilla final'!E51</f>
        <v>0</v>
      </c>
      <c r="J7" s="367"/>
      <c r="K7" s="366" t="n">
        <f aca="false">'Planilla final'!F51</f>
        <v>0</v>
      </c>
      <c r="L7" s="367"/>
      <c r="M7" s="366" t="n">
        <f aca="false">'Planilla final'!G51</f>
        <v>0</v>
      </c>
      <c r="N7" s="367"/>
      <c r="O7" s="366" t="n">
        <f aca="false">'Planilla final'!H51</f>
        <v>0</v>
      </c>
      <c r="P7" s="367"/>
      <c r="Q7" s="366" t="n">
        <f aca="false">'Planilla final'!I51</f>
        <v>0</v>
      </c>
      <c r="R7" s="367"/>
      <c r="S7" s="366" t="n">
        <f aca="false">'Planilla final'!J51</f>
        <v>0</v>
      </c>
      <c r="T7" s="367"/>
      <c r="U7" s="366" t="n">
        <f aca="false">'Planilla final'!K51</f>
        <v>0</v>
      </c>
      <c r="V7" s="368"/>
      <c r="W7" s="366" t="n">
        <f aca="false">'Planilla final'!L51</f>
        <v>0</v>
      </c>
      <c r="X7" s="368"/>
      <c r="Y7" s="366" t="n">
        <f aca="false">'Planilla final'!M51</f>
        <v>0</v>
      </c>
      <c r="Z7" s="367"/>
      <c r="AA7" s="367" t="n">
        <f aca="false">+SUM(C7:Y7)</f>
        <v>0</v>
      </c>
      <c r="AB7" s="367"/>
      <c r="AC7" s="367" t="n">
        <f aca="false">+'Planilla final'!O51</f>
        <v>0</v>
      </c>
      <c r="AD7" s="367"/>
      <c r="AE7" s="367" t="n">
        <f aca="false">+'Planilla final'!P51</f>
        <v>0</v>
      </c>
      <c r="AF7" s="367"/>
      <c r="AG7" s="369" t="n">
        <f aca="false">AA7-AC7+AE7</f>
        <v>0</v>
      </c>
    </row>
    <row r="8" customFormat="false" ht="9.75" hidden="false" customHeight="false" outlineLevel="1" collapsed="false">
      <c r="A8" s="365" t="s">
        <v>437</v>
      </c>
      <c r="B8" s="371"/>
      <c r="C8" s="367" t="n">
        <f aca="false">'Planilla final'!B52</f>
        <v>43768255.31</v>
      </c>
      <c r="D8" s="367"/>
      <c r="E8" s="366" t="n">
        <f aca="false">'Planilla final'!C52</f>
        <v>0</v>
      </c>
      <c r="F8" s="367"/>
      <c r="G8" s="366" t="n">
        <f aca="false">'Planilla final'!D52</f>
        <v>0</v>
      </c>
      <c r="H8" s="367"/>
      <c r="I8" s="366" t="n">
        <f aca="false">'Planilla final'!E52</f>
        <v>0</v>
      </c>
      <c r="J8" s="367"/>
      <c r="K8" s="366" t="n">
        <f aca="false">'Planilla final'!F52</f>
        <v>0</v>
      </c>
      <c r="L8" s="367"/>
      <c r="M8" s="366" t="n">
        <f aca="false">'Planilla final'!G52</f>
        <v>0</v>
      </c>
      <c r="N8" s="367"/>
      <c r="O8" s="366" t="n">
        <f aca="false">'Planilla final'!H52</f>
        <v>0</v>
      </c>
      <c r="P8" s="367"/>
      <c r="Q8" s="366" t="n">
        <f aca="false">'Planilla final'!I52</f>
        <v>0</v>
      </c>
      <c r="R8" s="367"/>
      <c r="S8" s="366" t="n">
        <f aca="false">'Planilla final'!J52</f>
        <v>0</v>
      </c>
      <c r="T8" s="367"/>
      <c r="U8" s="366" t="n">
        <f aca="false">'Planilla final'!K52</f>
        <v>0</v>
      </c>
      <c r="V8" s="368"/>
      <c r="W8" s="366" t="n">
        <f aca="false">'Planilla final'!L52</f>
        <v>150408.58</v>
      </c>
      <c r="X8" s="368"/>
      <c r="Y8" s="366" t="n">
        <f aca="false">'Planilla final'!M52</f>
        <v>0</v>
      </c>
      <c r="Z8" s="367"/>
      <c r="AA8" s="367" t="n">
        <f aca="false">+SUM(C8:Y8)</f>
        <v>43918663.89</v>
      </c>
      <c r="AB8" s="367"/>
      <c r="AC8" s="367" t="n">
        <f aca="false">+'Planilla final'!O52</f>
        <v>0</v>
      </c>
      <c r="AD8" s="367"/>
      <c r="AE8" s="367" t="n">
        <f aca="false">+'Planilla final'!P52</f>
        <v>0</v>
      </c>
      <c r="AF8" s="367"/>
      <c r="AG8" s="369" t="n">
        <f aca="false">AA8-AC8+AE8</f>
        <v>43918663.89</v>
      </c>
    </row>
    <row r="9" customFormat="false" ht="9.75" hidden="false" customHeight="false" outlineLevel="1" collapsed="false">
      <c r="A9" s="365" t="s">
        <v>438</v>
      </c>
      <c r="B9" s="371"/>
      <c r="C9" s="367" t="n">
        <f aca="false">'Planilla final'!B53</f>
        <v>0</v>
      </c>
      <c r="D9" s="367"/>
      <c r="E9" s="366" t="n">
        <f aca="false">'Planilla final'!C53</f>
        <v>0</v>
      </c>
      <c r="F9" s="367"/>
      <c r="G9" s="366" t="n">
        <f aca="false">'Planilla final'!D53</f>
        <v>0</v>
      </c>
      <c r="H9" s="367"/>
      <c r="I9" s="366" t="n">
        <f aca="false">'Planilla final'!E53</f>
        <v>0</v>
      </c>
      <c r="J9" s="367"/>
      <c r="K9" s="366" t="n">
        <f aca="false">'Planilla final'!F53</f>
        <v>0</v>
      </c>
      <c r="L9" s="367"/>
      <c r="M9" s="366" t="n">
        <f aca="false">'Planilla final'!G53</f>
        <v>0</v>
      </c>
      <c r="N9" s="367"/>
      <c r="O9" s="366" t="n">
        <f aca="false">'Planilla final'!H53</f>
        <v>0</v>
      </c>
      <c r="P9" s="367"/>
      <c r="Q9" s="366" t="n">
        <f aca="false">'Planilla final'!I53</f>
        <v>0</v>
      </c>
      <c r="R9" s="367"/>
      <c r="S9" s="366" t="n">
        <f aca="false">'Planilla final'!J53</f>
        <v>0</v>
      </c>
      <c r="T9" s="367"/>
      <c r="U9" s="366" t="n">
        <f aca="false">'Planilla final'!K53</f>
        <v>0</v>
      </c>
      <c r="V9" s="368"/>
      <c r="W9" s="366" t="n">
        <f aca="false">'Planilla final'!L53</f>
        <v>202047.26</v>
      </c>
      <c r="X9" s="368"/>
      <c r="Y9" s="366" t="n">
        <f aca="false">'Planilla final'!M53</f>
        <v>0</v>
      </c>
      <c r="Z9" s="367"/>
      <c r="AA9" s="367" t="n">
        <f aca="false">+SUM(C9:Y9)</f>
        <v>202047.26</v>
      </c>
      <c r="AB9" s="367"/>
      <c r="AC9" s="367" t="n">
        <f aca="false">+'Planilla final'!O53</f>
        <v>0</v>
      </c>
      <c r="AD9" s="367"/>
      <c r="AE9" s="367" t="n">
        <f aca="false">+'Planilla final'!P53</f>
        <v>0</v>
      </c>
      <c r="AF9" s="367"/>
      <c r="AG9" s="369"/>
    </row>
    <row r="10" customFormat="false" ht="9.75" hidden="false" customHeight="false" outlineLevel="1" collapsed="false">
      <c r="A10" s="365" t="s">
        <v>439</v>
      </c>
      <c r="B10" s="371"/>
      <c r="C10" s="367" t="n">
        <f aca="false">'Planilla final'!B54</f>
        <v>-3202431</v>
      </c>
      <c r="D10" s="367"/>
      <c r="E10" s="366" t="n">
        <f aca="false">'Planilla final'!C54</f>
        <v>0</v>
      </c>
      <c r="F10" s="367"/>
      <c r="G10" s="366" t="n">
        <f aca="false">'Planilla final'!D54</f>
        <v>0</v>
      </c>
      <c r="H10" s="367"/>
      <c r="I10" s="366" t="n">
        <f aca="false">'Planilla final'!E54</f>
        <v>0</v>
      </c>
      <c r="J10" s="367"/>
      <c r="K10" s="366" t="n">
        <f aca="false">'Planilla final'!F54</f>
        <v>0</v>
      </c>
      <c r="L10" s="367"/>
      <c r="M10" s="366" t="n">
        <f aca="false">'Planilla final'!G54</f>
        <v>0</v>
      </c>
      <c r="N10" s="367"/>
      <c r="O10" s="366" t="n">
        <f aca="false">'Planilla final'!H54</f>
        <v>0</v>
      </c>
      <c r="P10" s="367"/>
      <c r="Q10" s="366" t="n">
        <f aca="false">'Planilla final'!I54</f>
        <v>0</v>
      </c>
      <c r="R10" s="367"/>
      <c r="S10" s="366" t="n">
        <f aca="false">'Planilla final'!J54</f>
        <v>0</v>
      </c>
      <c r="T10" s="367"/>
      <c r="U10" s="366" t="n">
        <f aca="false">'Planilla final'!K54</f>
        <v>0</v>
      </c>
      <c r="V10" s="368"/>
      <c r="W10" s="366" t="n">
        <f aca="false">'Planilla final'!L54</f>
        <v>-56932.01</v>
      </c>
      <c r="X10" s="368"/>
      <c r="Y10" s="366" t="n">
        <f aca="false">'Planilla final'!M54</f>
        <v>0</v>
      </c>
      <c r="Z10" s="367"/>
      <c r="AA10" s="367" t="n">
        <f aca="false">+SUM(C10:Y10)</f>
        <v>-3259363.01</v>
      </c>
      <c r="AB10" s="367"/>
      <c r="AC10" s="367" t="n">
        <f aca="false">+'Planilla final'!O54</f>
        <v>0</v>
      </c>
      <c r="AD10" s="367"/>
      <c r="AE10" s="367" t="n">
        <f aca="false">+'Planilla final'!P54</f>
        <v>0</v>
      </c>
      <c r="AF10" s="367"/>
      <c r="AG10" s="369" t="n">
        <f aca="false">AA10-AC10+AE10</f>
        <v>-3259363.01</v>
      </c>
    </row>
    <row r="11" customFormat="false" ht="9.75" hidden="false" customHeight="false" outlineLevel="1" collapsed="false">
      <c r="A11" s="365" t="s">
        <v>149</v>
      </c>
      <c r="B11" s="371"/>
      <c r="C11" s="367" t="n">
        <f aca="false">'Planilla final'!B55</f>
        <v>31376175.6</v>
      </c>
      <c r="D11" s="367"/>
      <c r="E11" s="366" t="n">
        <f aca="false">'Planilla final'!C55</f>
        <v>0</v>
      </c>
      <c r="F11" s="367"/>
      <c r="G11" s="366" t="n">
        <f aca="false">'Planilla final'!D55</f>
        <v>0</v>
      </c>
      <c r="H11" s="367"/>
      <c r="I11" s="366" t="n">
        <f aca="false">'Planilla final'!E55</f>
        <v>0</v>
      </c>
      <c r="J11" s="367"/>
      <c r="K11" s="366" t="n">
        <f aca="false">'Planilla final'!F55</f>
        <v>0</v>
      </c>
      <c r="L11" s="367"/>
      <c r="M11" s="366" t="n">
        <f aca="false">'Planilla final'!G55</f>
        <v>0</v>
      </c>
      <c r="N11" s="367"/>
      <c r="O11" s="366" t="n">
        <f aca="false">'Planilla final'!H55</f>
        <v>0</v>
      </c>
      <c r="P11" s="367"/>
      <c r="Q11" s="366" t="n">
        <f aca="false">'Planilla final'!I55</f>
        <v>0</v>
      </c>
      <c r="R11" s="367"/>
      <c r="S11" s="366" t="n">
        <f aca="false">'Planilla final'!J55</f>
        <v>0</v>
      </c>
      <c r="T11" s="367"/>
      <c r="U11" s="366" t="n">
        <f aca="false">'Planilla final'!K55</f>
        <v>0</v>
      </c>
      <c r="V11" s="368"/>
      <c r="W11" s="366" t="n">
        <f aca="false">'Planilla final'!L55</f>
        <v>-3973273.83</v>
      </c>
      <c r="X11" s="368"/>
      <c r="Y11" s="366" t="n">
        <f aca="false">'Planilla final'!M55</f>
        <v>0</v>
      </c>
      <c r="Z11" s="367"/>
      <c r="AA11" s="367" t="n">
        <f aca="false">+SUM(C11:Y11)</f>
        <v>27402901.77</v>
      </c>
      <c r="AB11" s="367"/>
      <c r="AC11" s="367" t="n">
        <f aca="false">+'Planilla final'!O55</f>
        <v>0</v>
      </c>
      <c r="AD11" s="367"/>
      <c r="AE11" s="367" t="n">
        <f aca="false">+'Planilla final'!P55</f>
        <v>0</v>
      </c>
      <c r="AF11" s="367"/>
      <c r="AG11" s="369" t="n">
        <f aca="false">AA11-AC11+AE11</f>
        <v>27402901.77</v>
      </c>
    </row>
    <row r="12" customFormat="false" ht="5.1" hidden="false" customHeight="true" outlineLevel="1" collapsed="false"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8"/>
      <c r="W12" s="367"/>
      <c r="X12" s="368"/>
      <c r="Y12" s="367"/>
      <c r="Z12" s="367"/>
      <c r="AA12" s="367"/>
      <c r="AB12" s="367"/>
      <c r="AC12" s="367"/>
      <c r="AD12" s="367"/>
      <c r="AE12" s="367"/>
      <c r="AF12" s="367"/>
      <c r="AG12" s="369"/>
    </row>
    <row r="13" customFormat="false" ht="10.5" hidden="false" customHeight="false" outlineLevel="1" collapsed="false">
      <c r="A13" s="362" t="s">
        <v>359</v>
      </c>
      <c r="C13" s="372" t="n">
        <f aca="false">+SUM(C3:C11)</f>
        <v>99969332.2</v>
      </c>
      <c r="D13" s="367"/>
      <c r="E13" s="372" t="n">
        <f aca="false">+SUM(E3:E11)</f>
        <v>0</v>
      </c>
      <c r="F13" s="367"/>
      <c r="G13" s="372" t="n">
        <f aca="false">+SUM(G3:G11)</f>
        <v>0</v>
      </c>
      <c r="H13" s="367"/>
      <c r="I13" s="372" t="n">
        <f aca="false">+SUM(I3:I11)</f>
        <v>0</v>
      </c>
      <c r="J13" s="367"/>
      <c r="K13" s="372" t="n">
        <f aca="false">+SUM(K3:K11)</f>
        <v>0</v>
      </c>
      <c r="L13" s="367"/>
      <c r="M13" s="372" t="n">
        <f aca="false">+SUM(M3:M11)</f>
        <v>0</v>
      </c>
      <c r="N13" s="367"/>
      <c r="O13" s="372" t="n">
        <f aca="false">+SUM(O3:O11)</f>
        <v>0</v>
      </c>
      <c r="P13" s="367"/>
      <c r="Q13" s="372" t="n">
        <f aca="false">+SUM(Q3:Q11)</f>
        <v>0</v>
      </c>
      <c r="R13" s="367"/>
      <c r="S13" s="372" t="n">
        <f aca="false">+SUM(S3:S11)</f>
        <v>0</v>
      </c>
      <c r="T13" s="367"/>
      <c r="U13" s="372" t="n">
        <f aca="false">+SUM(U3:U11)</f>
        <v>0</v>
      </c>
      <c r="V13" s="368"/>
      <c r="W13" s="372" t="n">
        <f aca="false">+SUM(W3:W11)</f>
        <v>494493.35</v>
      </c>
      <c r="X13" s="368"/>
      <c r="Y13" s="372" t="n">
        <f aca="false">+SUM(Y3:Y11)</f>
        <v>0</v>
      </c>
      <c r="Z13" s="367"/>
      <c r="AA13" s="372" t="n">
        <f aca="false">+SUM(AA3:AA11)</f>
        <v>100463825.55</v>
      </c>
      <c r="AB13" s="367"/>
      <c r="AC13" s="372" t="n">
        <f aca="false">+SUM(AC3:AC11)</f>
        <v>0</v>
      </c>
      <c r="AD13" s="367"/>
      <c r="AE13" s="372" t="n">
        <f aca="false">+SUM(AE3:AE11)</f>
        <v>0</v>
      </c>
      <c r="AF13" s="367"/>
      <c r="AG13" s="373" t="n">
        <f aca="false">+SUM(AG3:AG11)</f>
        <v>100261778.29</v>
      </c>
    </row>
    <row r="14" customFormat="false" ht="5.1" hidden="false" customHeight="true" outlineLevel="1" collapsed="false"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367"/>
      <c r="O14" s="367"/>
      <c r="P14" s="367"/>
      <c r="Q14" s="367"/>
      <c r="R14" s="367"/>
      <c r="S14" s="367"/>
      <c r="T14" s="367"/>
      <c r="U14" s="367"/>
      <c r="V14" s="368"/>
      <c r="W14" s="367"/>
      <c r="X14" s="368"/>
      <c r="Y14" s="367"/>
      <c r="Z14" s="367"/>
      <c r="AA14" s="367"/>
      <c r="AB14" s="367"/>
      <c r="AC14" s="367"/>
      <c r="AD14" s="367"/>
      <c r="AE14" s="367"/>
      <c r="AF14" s="367"/>
      <c r="AG14" s="369"/>
    </row>
    <row r="15" customFormat="false" ht="5.1" hidden="false" customHeight="true" outlineLevel="1" collapsed="false">
      <c r="V15" s="374"/>
      <c r="X15" s="374"/>
      <c r="AC15" s="375"/>
      <c r="AE15" s="375"/>
    </row>
    <row r="16" s="376" customFormat="true" ht="9.75" hidden="false" customHeight="false" outlineLevel="1" collapsed="false">
      <c r="A16" s="376" t="s">
        <v>440</v>
      </c>
      <c r="C16" s="377" t="n">
        <v>1</v>
      </c>
      <c r="E16" s="377" t="n">
        <v>0.7502</v>
      </c>
      <c r="G16" s="378" t="n">
        <f aca="false">+(1104950/1105000)</f>
        <v>0.999954751131222</v>
      </c>
      <c r="I16" s="377" t="n">
        <f aca="false">+(0.68)*100%</f>
        <v>0.68</v>
      </c>
      <c r="K16" s="377" t="n">
        <v>0.5</v>
      </c>
      <c r="M16" s="377" t="n">
        <v>0.75</v>
      </c>
      <c r="O16" s="377" t="n">
        <f aca="false">+(0.928)*100%</f>
        <v>0.928</v>
      </c>
      <c r="Q16" s="377" t="n">
        <v>0.6</v>
      </c>
      <c r="S16" s="378" t="n">
        <f aca="false">+(799.96/800)*100%</f>
        <v>0.99995</v>
      </c>
      <c r="U16" s="377" t="n">
        <v>0.925</v>
      </c>
      <c r="V16" s="379"/>
      <c r="W16" s="377" t="n">
        <v>0.99</v>
      </c>
      <c r="X16" s="379"/>
      <c r="Y16" s="377" t="n">
        <v>1</v>
      </c>
      <c r="AE16" s="380"/>
      <c r="AG16" s="381"/>
      <c r="AH16" s="362"/>
      <c r="AI16" s="362"/>
    </row>
    <row r="17" customFormat="false" ht="5.1" hidden="false" customHeight="true" outlineLevel="1" collapsed="false">
      <c r="C17" s="375"/>
      <c r="E17" s="375"/>
      <c r="I17" s="375"/>
      <c r="K17" s="375"/>
      <c r="M17" s="375"/>
      <c r="O17" s="375"/>
      <c r="Q17" s="375"/>
      <c r="S17" s="375"/>
      <c r="U17" s="375"/>
      <c r="V17" s="374"/>
      <c r="W17" s="375"/>
      <c r="X17" s="374"/>
      <c r="Y17" s="375"/>
      <c r="AC17" s="375"/>
      <c r="AG17" s="382"/>
    </row>
    <row r="18" customFormat="false" ht="9.75" hidden="false" customHeight="false" outlineLevel="1" collapsed="false">
      <c r="A18" s="383" t="s">
        <v>441</v>
      </c>
      <c r="C18" s="375"/>
      <c r="E18" s="375"/>
      <c r="I18" s="375"/>
      <c r="K18" s="375"/>
      <c r="M18" s="375"/>
      <c r="O18" s="375"/>
      <c r="Q18" s="375"/>
      <c r="S18" s="375"/>
      <c r="U18" s="375"/>
      <c r="V18" s="374"/>
      <c r="W18" s="375"/>
      <c r="X18" s="374"/>
      <c r="Y18" s="375"/>
      <c r="AC18" s="375"/>
      <c r="AE18" s="375"/>
      <c r="AG18" s="382"/>
    </row>
    <row r="19" customFormat="false" ht="9.75" hidden="false" customHeight="false" outlineLevel="1" collapsed="false">
      <c r="A19" s="365" t="s">
        <v>172</v>
      </c>
      <c r="C19" s="367" t="n">
        <f aca="false">+C3*C$16</f>
        <v>21629181.18</v>
      </c>
      <c r="D19" s="367"/>
      <c r="E19" s="367" t="n">
        <f aca="false">+E3*E$16</f>
        <v>0</v>
      </c>
      <c r="F19" s="367"/>
      <c r="G19" s="367" t="n">
        <f aca="false">+G3*G$16</f>
        <v>0</v>
      </c>
      <c r="H19" s="367"/>
      <c r="I19" s="367" t="n">
        <f aca="false">+I3*I$16</f>
        <v>0</v>
      </c>
      <c r="J19" s="367"/>
      <c r="K19" s="367" t="n">
        <f aca="false">+K3*K$16</f>
        <v>0</v>
      </c>
      <c r="L19" s="367"/>
      <c r="M19" s="367" t="n">
        <f aca="false">+M3*M$16</f>
        <v>0</v>
      </c>
      <c r="N19" s="367"/>
      <c r="O19" s="367" t="n">
        <f aca="false">+O3*O$16</f>
        <v>0</v>
      </c>
      <c r="P19" s="367"/>
      <c r="Q19" s="367" t="n">
        <f aca="false">+Q3*Q$16</f>
        <v>0</v>
      </c>
      <c r="R19" s="367"/>
      <c r="S19" s="367" t="n">
        <v>800</v>
      </c>
      <c r="T19" s="367"/>
      <c r="U19" s="367" t="n">
        <f aca="false">+U3*U$16</f>
        <v>0</v>
      </c>
      <c r="V19" s="368"/>
      <c r="W19" s="367" t="n">
        <f aca="false">+W3*W$16</f>
        <v>3624786</v>
      </c>
      <c r="X19" s="368"/>
      <c r="Y19" s="367" t="n">
        <f aca="false">+Y3*Y$16</f>
        <v>0</v>
      </c>
      <c r="Z19" s="367"/>
      <c r="AA19" s="367" t="n">
        <f aca="false">+SUM(C19:Z19)</f>
        <v>25254767.18</v>
      </c>
      <c r="AC19" s="375" t="n">
        <f aca="false">+AC3</f>
        <v>0</v>
      </c>
      <c r="AE19" s="384" t="n">
        <f aca="false">+AE3</f>
        <v>0</v>
      </c>
      <c r="AG19" s="369" t="n">
        <f aca="false">AA19-AC19+AE19</f>
        <v>25254767.18</v>
      </c>
    </row>
    <row r="20" customFormat="false" ht="9.75" hidden="false" customHeight="false" outlineLevel="1" collapsed="false">
      <c r="A20" s="365" t="s">
        <v>435</v>
      </c>
      <c r="C20" s="367" t="n">
        <f aca="false">+C4*C$16</f>
        <v>920.74</v>
      </c>
      <c r="D20" s="367"/>
      <c r="E20" s="367" t="n">
        <v>27854948</v>
      </c>
      <c r="F20" s="367"/>
      <c r="G20" s="367" t="n">
        <v>877313</v>
      </c>
      <c r="H20" s="367"/>
      <c r="I20" s="367" t="n">
        <f aca="false">+I4*I$16</f>
        <v>0</v>
      </c>
      <c r="J20" s="367"/>
      <c r="K20" s="367" t="n">
        <v>49015</v>
      </c>
      <c r="L20" s="367"/>
      <c r="M20" s="367" t="n">
        <v>330450</v>
      </c>
      <c r="N20" s="367"/>
      <c r="O20" s="367" t="n">
        <f aca="false">+O4*O$16</f>
        <v>0</v>
      </c>
      <c r="P20" s="367"/>
      <c r="Q20" s="367" t="n">
        <f aca="false">+Q4*Q$16</f>
        <v>0</v>
      </c>
      <c r="R20" s="367"/>
      <c r="S20" s="367" t="n">
        <f aca="false">+S4*S$16</f>
        <v>0</v>
      </c>
      <c r="T20" s="367"/>
      <c r="U20" s="367" t="n">
        <v>1833418</v>
      </c>
      <c r="V20" s="368"/>
      <c r="W20" s="367" t="n">
        <v>292500</v>
      </c>
      <c r="X20" s="368"/>
      <c r="Y20" s="367" t="n">
        <f aca="false">+Y4*Y$16</f>
        <v>0</v>
      </c>
      <c r="Z20" s="367"/>
      <c r="AA20" s="367" t="n">
        <f aca="false">+SUM(C20:Z20)</f>
        <v>31238564.74</v>
      </c>
      <c r="AC20" s="375" t="n">
        <f aca="false">+AC4</f>
        <v>0</v>
      </c>
      <c r="AE20" s="384" t="n">
        <f aca="false">+AE4</f>
        <v>0</v>
      </c>
      <c r="AG20" s="369" t="n">
        <f aca="false">AA20-AC20+AE20</f>
        <v>31238564.74</v>
      </c>
    </row>
    <row r="21" customFormat="false" ht="9.75" hidden="false" customHeight="false" outlineLevel="1" collapsed="false">
      <c r="A21" s="365" t="s">
        <v>90</v>
      </c>
      <c r="C21" s="367" t="n">
        <f aca="false">+C5*C$16</f>
        <v>6397230.37</v>
      </c>
      <c r="D21" s="367"/>
      <c r="E21" s="367" t="n">
        <f aca="false">+E5*E$16</f>
        <v>0</v>
      </c>
      <c r="F21" s="367"/>
      <c r="G21" s="367" t="n">
        <f aca="false">+G5*G$16</f>
        <v>0</v>
      </c>
      <c r="H21" s="367"/>
      <c r="I21" s="367" t="n">
        <v>74427</v>
      </c>
      <c r="J21" s="367"/>
      <c r="K21" s="367" t="n">
        <v>500</v>
      </c>
      <c r="L21" s="367"/>
      <c r="M21" s="367" t="n">
        <f aca="false">+M5*M$16</f>
        <v>0</v>
      </c>
      <c r="N21" s="367"/>
      <c r="O21" s="367" t="n">
        <v>1226</v>
      </c>
      <c r="P21" s="367"/>
      <c r="Q21" s="367" t="n">
        <f aca="false">+Q5*Q$16</f>
        <v>0</v>
      </c>
      <c r="R21" s="367"/>
      <c r="S21" s="367" t="n">
        <f aca="false">+S5*S$16</f>
        <v>0</v>
      </c>
      <c r="T21" s="367"/>
      <c r="U21" s="367" t="n">
        <f aca="false">+U5*U$16</f>
        <v>0</v>
      </c>
      <c r="V21" s="368"/>
      <c r="W21" s="367" t="n">
        <f aca="false">+W5*W$16</f>
        <v>103003.0551</v>
      </c>
      <c r="X21" s="368"/>
      <c r="Y21" s="367" t="n">
        <f aca="false">+Y5*Y$16</f>
        <v>0</v>
      </c>
      <c r="Z21" s="367"/>
      <c r="AA21" s="367" t="n">
        <f aca="false">+SUM(C21:Z21)</f>
        <v>6576386.4251</v>
      </c>
      <c r="AC21" s="375" t="n">
        <f aca="false">+AC5</f>
        <v>0</v>
      </c>
      <c r="AE21" s="384" t="n">
        <f aca="false">+AE5</f>
        <v>0</v>
      </c>
      <c r="AG21" s="369" t="n">
        <f aca="false">AA21-AC21+AE21</f>
        <v>6576386.4251</v>
      </c>
    </row>
    <row r="22" customFormat="false" ht="9.75" hidden="false" customHeight="false" outlineLevel="1" collapsed="false">
      <c r="A22" s="365" t="s">
        <v>91</v>
      </c>
      <c r="C22" s="367" t="n">
        <f aca="false">+C6*C$16</f>
        <v>0</v>
      </c>
      <c r="D22" s="367"/>
      <c r="E22" s="367" t="n">
        <f aca="false">+E6*E$16</f>
        <v>0</v>
      </c>
      <c r="F22" s="367"/>
      <c r="G22" s="367" t="n">
        <f aca="false">+G6*G$16</f>
        <v>0</v>
      </c>
      <c r="H22" s="367"/>
      <c r="I22" s="367" t="n">
        <f aca="false">+I6*I$16</f>
        <v>0</v>
      </c>
      <c r="J22" s="367"/>
      <c r="K22" s="367" t="n">
        <f aca="false">+K6*K$16</f>
        <v>0</v>
      </c>
      <c r="L22" s="367"/>
      <c r="M22" s="367" t="n">
        <f aca="false">+M6*M$16</f>
        <v>0</v>
      </c>
      <c r="N22" s="367"/>
      <c r="O22" s="367" t="n">
        <f aca="false">+O6*O$16</f>
        <v>0</v>
      </c>
      <c r="P22" s="367"/>
      <c r="Q22" s="367" t="n">
        <f aca="false">+Q6*Q$16</f>
        <v>0</v>
      </c>
      <c r="R22" s="367"/>
      <c r="S22" s="367" t="n">
        <f aca="false">+S6*S$16</f>
        <v>0</v>
      </c>
      <c r="T22" s="367"/>
      <c r="U22" s="367" t="n">
        <f aca="false">+U6*U$16</f>
        <v>0</v>
      </c>
      <c r="V22" s="368"/>
      <c r="W22" s="367" t="n">
        <f aca="false">+W6*W$16</f>
        <v>0</v>
      </c>
      <c r="X22" s="368"/>
      <c r="Y22" s="367" t="n">
        <f aca="false">+Y6*Y$16</f>
        <v>0</v>
      </c>
      <c r="Z22" s="367"/>
      <c r="AA22" s="367" t="n">
        <f aca="false">+SUM(C22:Z22)</f>
        <v>0</v>
      </c>
      <c r="AC22" s="375" t="n">
        <f aca="false">+AC6</f>
        <v>0</v>
      </c>
      <c r="AE22" s="384" t="n">
        <f aca="false">+AE6</f>
        <v>0</v>
      </c>
      <c r="AG22" s="369" t="n">
        <f aca="false">AA22-AC22+AE22</f>
        <v>0</v>
      </c>
    </row>
    <row r="23" customFormat="false" ht="9.75" hidden="false" customHeight="false" outlineLevel="1" collapsed="false">
      <c r="A23" s="365" t="s">
        <v>436</v>
      </c>
      <c r="C23" s="367" t="n">
        <f aca="false">+C7*C$16</f>
        <v>0</v>
      </c>
      <c r="D23" s="367"/>
      <c r="E23" s="367" t="n">
        <f aca="false">+E7*E$16</f>
        <v>0</v>
      </c>
      <c r="F23" s="367"/>
      <c r="G23" s="367" t="n">
        <f aca="false">+G7*G$16</f>
        <v>0</v>
      </c>
      <c r="H23" s="367"/>
      <c r="I23" s="367" t="n">
        <f aca="false">+I7*I$16</f>
        <v>0</v>
      </c>
      <c r="J23" s="367"/>
      <c r="K23" s="367" t="n">
        <f aca="false">+K7*K$16</f>
        <v>0</v>
      </c>
      <c r="L23" s="367"/>
      <c r="M23" s="367" t="n">
        <v>109633</v>
      </c>
      <c r="N23" s="367"/>
      <c r="O23" s="367" t="n">
        <f aca="false">+O7*O$16</f>
        <v>0</v>
      </c>
      <c r="P23" s="367"/>
      <c r="Q23" s="367" t="n">
        <f aca="false">+Q7*Q$16</f>
        <v>0</v>
      </c>
      <c r="R23" s="367"/>
      <c r="S23" s="367" t="n">
        <v>340</v>
      </c>
      <c r="T23" s="367"/>
      <c r="U23" s="367" t="n">
        <f aca="false">+U7*U$16</f>
        <v>0</v>
      </c>
      <c r="V23" s="368"/>
      <c r="W23" s="367" t="n">
        <f aca="false">+W7*W$16</f>
        <v>0</v>
      </c>
      <c r="X23" s="368"/>
      <c r="Y23" s="367" t="n">
        <f aca="false">+Y7*Y$16</f>
        <v>0</v>
      </c>
      <c r="Z23" s="367"/>
      <c r="AA23" s="367" t="n">
        <f aca="false">+SUM(C23:Z23)</f>
        <v>109973</v>
      </c>
      <c r="AC23" s="375" t="n">
        <f aca="false">+AC7</f>
        <v>0</v>
      </c>
      <c r="AE23" s="384" t="n">
        <f aca="false">+AE7</f>
        <v>0</v>
      </c>
      <c r="AG23" s="369" t="n">
        <f aca="false">AA23-AC23+AE23</f>
        <v>109973</v>
      </c>
    </row>
    <row r="24" customFormat="false" ht="9.75" hidden="false" customHeight="false" outlineLevel="1" collapsed="false">
      <c r="A24" s="365" t="s">
        <v>437</v>
      </c>
      <c r="C24" s="367" t="n">
        <f aca="false">+C8*C$16</f>
        <v>43768255.31</v>
      </c>
      <c r="D24" s="367"/>
      <c r="E24" s="367" t="n">
        <f aca="false">+E8*E$16</f>
        <v>0</v>
      </c>
      <c r="F24" s="367"/>
      <c r="G24" s="367" t="n">
        <f aca="false">+G8*G$16</f>
        <v>0</v>
      </c>
      <c r="H24" s="367"/>
      <c r="I24" s="367" t="n">
        <f aca="false">+I8*I$16</f>
        <v>0</v>
      </c>
      <c r="J24" s="367"/>
      <c r="K24" s="367" t="n">
        <f aca="false">+K8*K$16</f>
        <v>0</v>
      </c>
      <c r="L24" s="367"/>
      <c r="M24" s="367" t="n">
        <f aca="false">+M8*M$16</f>
        <v>0</v>
      </c>
      <c r="N24" s="367"/>
      <c r="O24" s="367" t="n">
        <f aca="false">+O8*O$16</f>
        <v>0</v>
      </c>
      <c r="P24" s="367"/>
      <c r="Q24" s="367" t="n">
        <f aca="false">+Q8*Q$16</f>
        <v>0</v>
      </c>
      <c r="R24" s="367"/>
      <c r="S24" s="367" t="n">
        <f aca="false">+S8*S$16</f>
        <v>0</v>
      </c>
      <c r="T24" s="367"/>
      <c r="U24" s="367" t="n">
        <f aca="false">+U8*U$16</f>
        <v>0</v>
      </c>
      <c r="V24" s="368"/>
      <c r="W24" s="367"/>
      <c r="X24" s="368"/>
      <c r="Y24" s="367" t="n">
        <f aca="false">+Y8*Y$16</f>
        <v>0</v>
      </c>
      <c r="Z24" s="367"/>
      <c r="AA24" s="367" t="n">
        <f aca="false">+SUM(C24:Z24)</f>
        <v>43768255.31</v>
      </c>
      <c r="AC24" s="375" t="n">
        <f aca="false">+AC8</f>
        <v>0</v>
      </c>
      <c r="AE24" s="384" t="n">
        <f aca="false">+AE8</f>
        <v>0</v>
      </c>
      <c r="AG24" s="369" t="n">
        <f aca="false">AA24-AC24+AE24</f>
        <v>43768255.31</v>
      </c>
    </row>
    <row r="25" customFormat="false" ht="9.75" hidden="false" customHeight="false" outlineLevel="1" collapsed="false">
      <c r="A25" s="365" t="s">
        <v>438</v>
      </c>
      <c r="C25" s="367" t="n">
        <v>0</v>
      </c>
      <c r="D25" s="367"/>
      <c r="E25" s="367" t="n">
        <v>0</v>
      </c>
      <c r="F25" s="367"/>
      <c r="G25" s="367" t="n">
        <v>0</v>
      </c>
      <c r="H25" s="367"/>
      <c r="I25" s="367" t="n">
        <v>0</v>
      </c>
      <c r="J25" s="367"/>
      <c r="K25" s="367" t="n">
        <v>0</v>
      </c>
      <c r="L25" s="367"/>
      <c r="M25" s="367" t="n">
        <v>0</v>
      </c>
      <c r="N25" s="367"/>
      <c r="O25" s="367" t="n">
        <v>0</v>
      </c>
      <c r="P25" s="367"/>
      <c r="Q25" s="367" t="n">
        <v>0</v>
      </c>
      <c r="R25" s="367"/>
      <c r="S25" s="367" t="n">
        <v>0</v>
      </c>
      <c r="T25" s="367"/>
      <c r="U25" s="367" t="n">
        <v>0</v>
      </c>
      <c r="V25" s="368"/>
      <c r="W25" s="367" t="n">
        <v>274690</v>
      </c>
      <c r="X25" s="368"/>
      <c r="Y25" s="367" t="n">
        <v>0</v>
      </c>
      <c r="Z25" s="367"/>
      <c r="AA25" s="367" t="n">
        <f aca="false">+SUM(C25:Z25)</f>
        <v>274690</v>
      </c>
      <c r="AC25" s="375" t="n">
        <f aca="false">+AC9</f>
        <v>0</v>
      </c>
      <c r="AE25" s="384" t="n">
        <v>0</v>
      </c>
      <c r="AG25" s="369" t="n">
        <f aca="false">AA25-AC25+AE25</f>
        <v>274690</v>
      </c>
    </row>
    <row r="26" customFormat="false" ht="9.75" hidden="false" customHeight="false" outlineLevel="1" collapsed="false">
      <c r="A26" s="365" t="s">
        <v>442</v>
      </c>
      <c r="C26" s="367" t="n">
        <f aca="false">+C10*C$16</f>
        <v>-3202431</v>
      </c>
      <c r="D26" s="367"/>
      <c r="E26" s="367" t="n">
        <f aca="false">+E10*E$16</f>
        <v>0</v>
      </c>
      <c r="F26" s="367"/>
      <c r="G26" s="367" t="n">
        <f aca="false">+G10*G$16</f>
        <v>0</v>
      </c>
      <c r="H26" s="367"/>
      <c r="I26" s="367" t="n">
        <f aca="false">+I10*I$16</f>
        <v>0</v>
      </c>
      <c r="J26" s="367"/>
      <c r="K26" s="367" t="n">
        <f aca="false">+K10*K$16</f>
        <v>0</v>
      </c>
      <c r="L26" s="367"/>
      <c r="M26" s="367" t="n">
        <f aca="false">+M10*M$16</f>
        <v>0</v>
      </c>
      <c r="N26" s="367"/>
      <c r="O26" s="367" t="n">
        <f aca="false">+O10*O$16</f>
        <v>0</v>
      </c>
      <c r="P26" s="367"/>
      <c r="Q26" s="367" t="n">
        <f aca="false">+Q10*Q$16</f>
        <v>0</v>
      </c>
      <c r="R26" s="367"/>
      <c r="S26" s="367" t="n">
        <f aca="false">+S10*S$16</f>
        <v>0</v>
      </c>
      <c r="T26" s="367"/>
      <c r="U26" s="367" t="n">
        <f aca="false">+U10*U$16</f>
        <v>0</v>
      </c>
      <c r="V26" s="368"/>
      <c r="W26" s="366" t="n">
        <v>-56932</v>
      </c>
      <c r="X26" s="368"/>
      <c r="Y26" s="367" t="n">
        <f aca="false">+Y10*Y$16</f>
        <v>0</v>
      </c>
      <c r="Z26" s="367"/>
      <c r="AA26" s="367" t="n">
        <f aca="false">+SUM(C26:Z26)</f>
        <v>-3259363</v>
      </c>
      <c r="AC26" s="375" t="n">
        <f aca="false">+AC10</f>
        <v>0</v>
      </c>
      <c r="AE26" s="384" t="n">
        <f aca="false">+AE10</f>
        <v>0</v>
      </c>
      <c r="AG26" s="369" t="n">
        <f aca="false">AA26-AC26+AE26</f>
        <v>-3259363</v>
      </c>
    </row>
    <row r="27" customFormat="false" ht="9.75" hidden="false" customHeight="false" outlineLevel="1" collapsed="false">
      <c r="A27" s="365" t="s">
        <v>149</v>
      </c>
      <c r="C27" s="385" t="n">
        <f aca="false">+C11*C$16</f>
        <v>31376175.6</v>
      </c>
      <c r="D27" s="367"/>
      <c r="E27" s="385" t="n">
        <f aca="false">+E11*E$16</f>
        <v>0</v>
      </c>
      <c r="F27" s="367"/>
      <c r="G27" s="385" t="n">
        <f aca="false">+G11*G$16</f>
        <v>0</v>
      </c>
      <c r="H27" s="367"/>
      <c r="I27" s="385" t="n">
        <f aca="false">+I11*I$16</f>
        <v>0</v>
      </c>
      <c r="J27" s="367"/>
      <c r="K27" s="385" t="n">
        <f aca="false">+K11*K$16</f>
        <v>0</v>
      </c>
      <c r="L27" s="367"/>
      <c r="M27" s="385" t="n">
        <f aca="false">+M11*M$16</f>
        <v>0</v>
      </c>
      <c r="N27" s="367"/>
      <c r="O27" s="385" t="n">
        <f aca="false">+O11*O$16</f>
        <v>0</v>
      </c>
      <c r="P27" s="367"/>
      <c r="Q27" s="385" t="n">
        <f aca="false">+Q11*Q$16</f>
        <v>0</v>
      </c>
      <c r="R27" s="367"/>
      <c r="S27" s="385" t="n">
        <f aca="false">+S11*S$16</f>
        <v>0</v>
      </c>
      <c r="T27" s="367"/>
      <c r="U27" s="385" t="n">
        <f aca="false">+U11*U$16</f>
        <v>0</v>
      </c>
      <c r="V27" s="368"/>
      <c r="W27" s="385" t="n">
        <f aca="false">+W11*W$16</f>
        <v>-3933541.0917</v>
      </c>
      <c r="X27" s="368"/>
      <c r="Y27" s="385" t="n">
        <f aca="false">+Y11*Y$16</f>
        <v>0</v>
      </c>
      <c r="Z27" s="367"/>
      <c r="AA27" s="385" t="n">
        <f aca="false">+SUM(C27:Z27)</f>
        <v>27442634.5083</v>
      </c>
      <c r="AC27" s="386" t="n">
        <f aca="false">+AC11</f>
        <v>0</v>
      </c>
      <c r="AE27" s="387" t="n">
        <f aca="false">+AE11</f>
        <v>0</v>
      </c>
      <c r="AG27" s="388" t="n">
        <f aca="false">AA27-AC27+AE27</f>
        <v>27442634.5083</v>
      </c>
    </row>
    <row r="28" customFormat="false" ht="9.75" hidden="false" customHeight="false" outlineLevel="1" collapsed="false">
      <c r="A28" s="365"/>
      <c r="C28" s="375" t="n">
        <f aca="false">+SUM(C19:C27)</f>
        <v>99969332.2</v>
      </c>
      <c r="E28" s="375" t="n">
        <f aca="false">+SUM(E19:E27)</f>
        <v>27854948</v>
      </c>
      <c r="G28" s="375" t="n">
        <f aca="false">+SUM(G19:G27)</f>
        <v>877313</v>
      </c>
      <c r="I28" s="375" t="n">
        <f aca="false">+SUM(I19:I27)</f>
        <v>74427</v>
      </c>
      <c r="K28" s="375" t="n">
        <f aca="false">+SUM(K19:K27)</f>
        <v>49515</v>
      </c>
      <c r="M28" s="375" t="n">
        <f aca="false">+SUM(M19:M27)</f>
        <v>440083</v>
      </c>
      <c r="O28" s="375" t="n">
        <f aca="false">+SUM(O19:O27)</f>
        <v>1226</v>
      </c>
      <c r="Q28" s="375" t="n">
        <f aca="false">+SUM(Q19:Q27)</f>
        <v>0</v>
      </c>
      <c r="S28" s="375" t="n">
        <f aca="false">+SUM(S19:S27)</f>
        <v>1140</v>
      </c>
      <c r="U28" s="375" t="n">
        <f aca="false">+SUM(U19:U27)</f>
        <v>1833418</v>
      </c>
      <c r="V28" s="374"/>
      <c r="W28" s="375" t="n">
        <f aca="false">+SUM(W19:W27)</f>
        <v>304505.9634</v>
      </c>
      <c r="X28" s="374"/>
      <c r="Y28" s="375" t="n">
        <f aca="false">+SUM(Y19:Y27)</f>
        <v>0</v>
      </c>
      <c r="AA28" s="375" t="n">
        <f aca="false">+SUM(AA19:AA27)</f>
        <v>131405908.1634</v>
      </c>
      <c r="AC28" s="375" t="n">
        <f aca="false">+SUM(AC19:AC27)</f>
        <v>0</v>
      </c>
      <c r="AE28" s="375" t="n">
        <f aca="false">+SUM(AE19:AE27)</f>
        <v>0</v>
      </c>
      <c r="AG28" s="369" t="n">
        <f aca="false">+SUM(AG19:AG27)</f>
        <v>131405908.1634</v>
      </c>
    </row>
    <row r="29" customFormat="false" ht="5.1" hidden="false" customHeight="true" outlineLevel="1" collapsed="false">
      <c r="C29" s="375"/>
      <c r="E29" s="375"/>
      <c r="I29" s="375"/>
      <c r="K29" s="375"/>
      <c r="M29" s="375"/>
      <c r="O29" s="375"/>
      <c r="Q29" s="375"/>
      <c r="S29" s="375"/>
      <c r="U29" s="375"/>
      <c r="V29" s="374"/>
      <c r="W29" s="375"/>
      <c r="X29" s="374"/>
      <c r="Y29" s="375"/>
      <c r="AC29" s="375"/>
      <c r="AG29" s="382"/>
    </row>
    <row r="30" customFormat="false" ht="9.75" hidden="false" customHeight="false" outlineLevel="1" collapsed="false">
      <c r="A30" s="383" t="s">
        <v>443</v>
      </c>
      <c r="C30" s="375"/>
      <c r="E30" s="375"/>
      <c r="I30" s="375"/>
      <c r="K30" s="375"/>
      <c r="M30" s="375"/>
      <c r="O30" s="375"/>
      <c r="Q30" s="375"/>
      <c r="S30" s="375"/>
      <c r="U30" s="375"/>
      <c r="V30" s="374"/>
      <c r="W30" s="375"/>
      <c r="X30" s="374"/>
      <c r="Y30" s="375"/>
      <c r="AC30" s="375"/>
      <c r="AG30" s="382"/>
    </row>
    <row r="31" customFormat="false" ht="9.75" hidden="false" customHeight="false" outlineLevel="1" collapsed="false">
      <c r="A31" s="365" t="s">
        <v>172</v>
      </c>
      <c r="C31" s="375" t="n">
        <f aca="false">+C3-C19</f>
        <v>0</v>
      </c>
      <c r="E31" s="375" t="n">
        <f aca="false">+E3-E19</f>
        <v>0</v>
      </c>
      <c r="G31" s="375" t="n">
        <f aca="false">+G3-G19</f>
        <v>0</v>
      </c>
      <c r="I31" s="375" t="n">
        <f aca="false">+I3-I19</f>
        <v>0</v>
      </c>
      <c r="K31" s="375" t="n">
        <f aca="false">+K3-K19</f>
        <v>0</v>
      </c>
      <c r="M31" s="375" t="n">
        <f aca="false">+M3-M19</f>
        <v>0</v>
      </c>
      <c r="O31" s="375" t="n">
        <f aca="false">+O3-O19</f>
        <v>0</v>
      </c>
      <c r="Q31" s="375" t="n">
        <f aca="false">+Q3-Q19</f>
        <v>0</v>
      </c>
      <c r="S31" s="375" t="n">
        <f aca="false">+S3-S19</f>
        <v>-800</v>
      </c>
      <c r="U31" s="375" t="n">
        <f aca="false">+U3-U19</f>
        <v>0</v>
      </c>
      <c r="V31" s="374"/>
      <c r="W31" s="375" t="n">
        <f aca="false">+W3-W19</f>
        <v>36614</v>
      </c>
      <c r="X31" s="374"/>
      <c r="Y31" s="375" t="n">
        <f aca="false">+Y3-Y19</f>
        <v>0</v>
      </c>
      <c r="AA31" s="367" t="n">
        <f aca="false">+SUM(C31:Z31)</f>
        <v>35814</v>
      </c>
      <c r="AC31" s="375" t="n">
        <v>0</v>
      </c>
      <c r="AE31" s="375" t="n">
        <v>0</v>
      </c>
      <c r="AG31" s="369" t="n">
        <f aca="false">+AA31+AC31+AE31</f>
        <v>35814</v>
      </c>
    </row>
    <row r="32" customFormat="false" ht="9.75" hidden="false" customHeight="false" outlineLevel="1" collapsed="false">
      <c r="A32" s="365" t="s">
        <v>435</v>
      </c>
      <c r="C32" s="375" t="n">
        <f aca="false">+C4-C20</f>
        <v>0</v>
      </c>
      <c r="E32" s="375" t="n">
        <f aca="false">+E4-E20</f>
        <v>-27854948</v>
      </c>
      <c r="G32" s="375" t="n">
        <f aca="false">+G4-G20</f>
        <v>-877313</v>
      </c>
      <c r="I32" s="375" t="n">
        <f aca="false">+I4-I20</f>
        <v>0</v>
      </c>
      <c r="K32" s="375" t="n">
        <f aca="false">+K4-K20</f>
        <v>-49015</v>
      </c>
      <c r="M32" s="375" t="n">
        <f aca="false">+M4-M20</f>
        <v>-330450</v>
      </c>
      <c r="O32" s="375" t="n">
        <f aca="false">+O4-O20</f>
        <v>0</v>
      </c>
      <c r="Q32" s="375" t="n">
        <f aca="false">+Q4-Q20</f>
        <v>0</v>
      </c>
      <c r="S32" s="375" t="n">
        <f aca="false">+S4-S20</f>
        <v>0</v>
      </c>
      <c r="U32" s="375" t="n">
        <f aca="false">+U4-U20</f>
        <v>-1833418</v>
      </c>
      <c r="V32" s="374"/>
      <c r="W32" s="375" t="n">
        <f aca="false">+W4-W20</f>
        <v>114299.86</v>
      </c>
      <c r="X32" s="374"/>
      <c r="Y32" s="375" t="n">
        <f aca="false">+Y4-Y20</f>
        <v>0</v>
      </c>
      <c r="AA32" s="367" t="n">
        <f aca="false">+SUM(C32:Z32)</f>
        <v>-30830844.14</v>
      </c>
      <c r="AC32" s="375" t="n">
        <v>0</v>
      </c>
      <c r="AE32" s="375" t="n">
        <v>0</v>
      </c>
      <c r="AG32" s="369" t="n">
        <f aca="false">+AA32+AC32+AE32</f>
        <v>-30830844.14</v>
      </c>
    </row>
    <row r="33" customFormat="false" ht="9.75" hidden="false" customHeight="false" outlineLevel="1" collapsed="false">
      <c r="A33" s="365" t="s">
        <v>90</v>
      </c>
      <c r="C33" s="375" t="n">
        <f aca="false">+C5-C21</f>
        <v>0</v>
      </c>
      <c r="E33" s="375" t="n">
        <f aca="false">+E5-E21</f>
        <v>0</v>
      </c>
      <c r="G33" s="375" t="n">
        <f aca="false">+G5-G21</f>
        <v>0</v>
      </c>
      <c r="I33" s="375" t="n">
        <f aca="false">+I5-I21</f>
        <v>-74427</v>
      </c>
      <c r="K33" s="375" t="n">
        <f aca="false">+K5-K21</f>
        <v>-500</v>
      </c>
      <c r="M33" s="375" t="n">
        <f aca="false">+M5-M21</f>
        <v>0</v>
      </c>
      <c r="O33" s="375" t="n">
        <f aca="false">+O5-O21</f>
        <v>-1226</v>
      </c>
      <c r="Q33" s="375" t="n">
        <f aca="false">+Q5-Q21</f>
        <v>0</v>
      </c>
      <c r="S33" s="375" t="n">
        <f aca="false">+S5-S21</f>
        <v>0</v>
      </c>
      <c r="U33" s="375" t="n">
        <f aca="false">+U5-U21</f>
        <v>0</v>
      </c>
      <c r="V33" s="374"/>
      <c r="W33" s="375" t="n">
        <f aca="false">+W5-W21</f>
        <v>1040.43490000001</v>
      </c>
      <c r="X33" s="374"/>
      <c r="Y33" s="375" t="n">
        <f aca="false">+Y5-Y21</f>
        <v>0</v>
      </c>
      <c r="AA33" s="367" t="n">
        <f aca="false">+SUM(C33:Z33)</f>
        <v>-75112.5651</v>
      </c>
      <c r="AC33" s="375" t="n">
        <v>0</v>
      </c>
      <c r="AE33" s="375" t="n">
        <v>0</v>
      </c>
      <c r="AG33" s="369" t="n">
        <f aca="false">+AA33+AC33+AE33</f>
        <v>-75112.5651</v>
      </c>
    </row>
    <row r="34" customFormat="false" ht="9.75" hidden="false" customHeight="false" outlineLevel="1" collapsed="false">
      <c r="A34" s="365" t="s">
        <v>91</v>
      </c>
      <c r="C34" s="375" t="n">
        <f aca="false">+C6-C22</f>
        <v>0</v>
      </c>
      <c r="E34" s="375" t="n">
        <f aca="false">+E6-E22</f>
        <v>0</v>
      </c>
      <c r="G34" s="375" t="n">
        <f aca="false">+G6-G22</f>
        <v>0</v>
      </c>
      <c r="I34" s="375" t="n">
        <f aca="false">+I6-I22</f>
        <v>0</v>
      </c>
      <c r="K34" s="375" t="n">
        <f aca="false">+K6-K22</f>
        <v>0</v>
      </c>
      <c r="M34" s="375" t="n">
        <f aca="false">+M6-M22</f>
        <v>0</v>
      </c>
      <c r="O34" s="375" t="n">
        <f aca="false">+O6-O22</f>
        <v>0</v>
      </c>
      <c r="Q34" s="375" t="n">
        <f aca="false">+Q6-Q22</f>
        <v>0</v>
      </c>
      <c r="S34" s="375" t="n">
        <f aca="false">+S6-S22</f>
        <v>0</v>
      </c>
      <c r="U34" s="375" t="n">
        <f aca="false">+U6-U22</f>
        <v>0</v>
      </c>
      <c r="V34" s="374"/>
      <c r="W34" s="375" t="n">
        <f aca="false">+W6-W22</f>
        <v>0</v>
      </c>
      <c r="X34" s="374"/>
      <c r="Y34" s="375" t="n">
        <f aca="false">+Y6-Y22</f>
        <v>0</v>
      </c>
      <c r="AA34" s="367" t="n">
        <f aca="false">+SUM(C34:Z34)</f>
        <v>0</v>
      </c>
      <c r="AC34" s="375" t="n">
        <v>0</v>
      </c>
      <c r="AE34" s="375" t="n">
        <v>0</v>
      </c>
      <c r="AG34" s="369" t="n">
        <f aca="false">+AA34+AC34+AE34</f>
        <v>0</v>
      </c>
    </row>
    <row r="35" customFormat="false" ht="9.75" hidden="false" customHeight="false" outlineLevel="1" collapsed="false">
      <c r="A35" s="365" t="s">
        <v>436</v>
      </c>
      <c r="C35" s="375" t="n">
        <f aca="false">+C7-C23</f>
        <v>0</v>
      </c>
      <c r="E35" s="375" t="n">
        <f aca="false">+E7-E23</f>
        <v>0</v>
      </c>
      <c r="G35" s="375" t="n">
        <f aca="false">+G7-G23</f>
        <v>0</v>
      </c>
      <c r="I35" s="375" t="n">
        <f aca="false">+I7-I23</f>
        <v>0</v>
      </c>
      <c r="K35" s="375" t="n">
        <f aca="false">+K7-K23</f>
        <v>0</v>
      </c>
      <c r="M35" s="375" t="n">
        <f aca="false">+M7-M23</f>
        <v>-109633</v>
      </c>
      <c r="O35" s="375" t="n">
        <f aca="false">+O7-O23</f>
        <v>0</v>
      </c>
      <c r="Q35" s="375" t="n">
        <f aca="false">+Q7-Q23</f>
        <v>0</v>
      </c>
      <c r="S35" s="375" t="n">
        <f aca="false">+S7-S23</f>
        <v>-340</v>
      </c>
      <c r="U35" s="375" t="n">
        <f aca="false">+U7-U23</f>
        <v>0</v>
      </c>
      <c r="V35" s="374"/>
      <c r="W35" s="375" t="n">
        <f aca="false">+W7-W23</f>
        <v>0</v>
      </c>
      <c r="X35" s="374"/>
      <c r="Y35" s="375" t="n">
        <f aca="false">+Y7-Y23</f>
        <v>0</v>
      </c>
      <c r="AA35" s="367" t="n">
        <f aca="false">+SUM(C35:Z35)</f>
        <v>-109973</v>
      </c>
      <c r="AC35" s="375" t="n">
        <v>0</v>
      </c>
      <c r="AE35" s="375" t="n">
        <v>0</v>
      </c>
      <c r="AG35" s="369" t="n">
        <f aca="false">+AA35+AC35+AE35</f>
        <v>-109973</v>
      </c>
    </row>
    <row r="36" customFormat="false" ht="9.75" hidden="false" customHeight="false" outlineLevel="1" collapsed="false">
      <c r="A36" s="365" t="s">
        <v>437</v>
      </c>
      <c r="C36" s="375" t="n">
        <f aca="false">+C8-C24</f>
        <v>0</v>
      </c>
      <c r="E36" s="375" t="n">
        <f aca="false">+E8-E24</f>
        <v>0</v>
      </c>
      <c r="G36" s="375" t="n">
        <f aca="false">+G8-G24</f>
        <v>0</v>
      </c>
      <c r="I36" s="375" t="n">
        <f aca="false">+I8-I24</f>
        <v>0</v>
      </c>
      <c r="K36" s="375" t="n">
        <f aca="false">+K8-K24</f>
        <v>0</v>
      </c>
      <c r="M36" s="375" t="n">
        <f aca="false">+M8-M24</f>
        <v>0</v>
      </c>
      <c r="O36" s="375" t="n">
        <f aca="false">+O8-O24</f>
        <v>0</v>
      </c>
      <c r="Q36" s="375" t="n">
        <f aca="false">+Q8-Q24</f>
        <v>0</v>
      </c>
      <c r="S36" s="375" t="n">
        <f aca="false">+S8-S24</f>
        <v>0</v>
      </c>
      <c r="U36" s="375" t="n">
        <f aca="false">+U8-U24</f>
        <v>0</v>
      </c>
      <c r="V36" s="374"/>
      <c r="W36" s="375" t="n">
        <f aca="false">+W8-W24</f>
        <v>150408.58</v>
      </c>
      <c r="X36" s="374"/>
      <c r="Y36" s="375" t="n">
        <f aca="false">+Y8-Y24</f>
        <v>0</v>
      </c>
      <c r="AA36" s="367" t="n">
        <f aca="false">+SUM(C36:Z36)</f>
        <v>150408.58</v>
      </c>
      <c r="AC36" s="375" t="n">
        <v>0</v>
      </c>
      <c r="AE36" s="375" t="n">
        <v>0</v>
      </c>
      <c r="AG36" s="369" t="n">
        <f aca="false">+AA36+AC36+AE36</f>
        <v>150408.58</v>
      </c>
    </row>
    <row r="37" customFormat="false" ht="9.75" hidden="false" customHeight="false" outlineLevel="1" collapsed="false">
      <c r="A37" s="365" t="s">
        <v>438</v>
      </c>
      <c r="C37" s="375"/>
      <c r="E37" s="375"/>
      <c r="G37" s="375"/>
      <c r="I37" s="375"/>
      <c r="K37" s="375"/>
      <c r="M37" s="375"/>
      <c r="O37" s="375"/>
      <c r="Q37" s="375"/>
      <c r="S37" s="375"/>
      <c r="U37" s="375"/>
      <c r="V37" s="374"/>
      <c r="W37" s="375"/>
      <c r="X37" s="374"/>
      <c r="Y37" s="375"/>
      <c r="AA37" s="367"/>
      <c r="AC37" s="375"/>
      <c r="AE37" s="375"/>
      <c r="AG37" s="369"/>
    </row>
    <row r="38" customFormat="false" ht="9.75" hidden="false" customHeight="false" outlineLevel="1" collapsed="false">
      <c r="A38" s="365" t="s">
        <v>442</v>
      </c>
      <c r="C38" s="375" t="n">
        <f aca="false">+C10-C26</f>
        <v>0</v>
      </c>
      <c r="E38" s="375" t="n">
        <f aca="false">+E10-E26</f>
        <v>0</v>
      </c>
      <c r="G38" s="375" t="n">
        <f aca="false">+G10-G26</f>
        <v>0</v>
      </c>
      <c r="I38" s="375" t="n">
        <f aca="false">+I10-I26</f>
        <v>0</v>
      </c>
      <c r="K38" s="375" t="n">
        <f aca="false">+K10-K26</f>
        <v>0</v>
      </c>
      <c r="M38" s="375" t="n">
        <f aca="false">+M10-M26</f>
        <v>0</v>
      </c>
      <c r="O38" s="375" t="n">
        <f aca="false">+O10-O26</f>
        <v>0</v>
      </c>
      <c r="Q38" s="375" t="n">
        <f aca="false">+Q10-Q26</f>
        <v>0</v>
      </c>
      <c r="S38" s="375" t="n">
        <f aca="false">+S10-S26</f>
        <v>0</v>
      </c>
      <c r="U38" s="375" t="n">
        <f aca="false">+U10-U26</f>
        <v>0</v>
      </c>
      <c r="V38" s="374"/>
      <c r="W38" s="375" t="n">
        <f aca="false">+W10-W26</f>
        <v>-0.0100000000020373</v>
      </c>
      <c r="X38" s="374"/>
      <c r="Y38" s="375" t="n">
        <f aca="false">+Y10-Y26</f>
        <v>0</v>
      </c>
      <c r="AA38" s="367" t="n">
        <f aca="false">+SUM(C38:Z38)</f>
        <v>-0.0100000000020373</v>
      </c>
      <c r="AC38" s="375" t="n">
        <v>0</v>
      </c>
      <c r="AE38" s="375" t="n">
        <v>0</v>
      </c>
      <c r="AG38" s="369" t="n">
        <f aca="false">+AA38+AC38+AE38</f>
        <v>-0.0100000000020373</v>
      </c>
    </row>
    <row r="39" customFormat="false" ht="9.75" hidden="false" customHeight="false" outlineLevel="1" collapsed="false">
      <c r="A39" s="365" t="s">
        <v>149</v>
      </c>
      <c r="C39" s="386" t="n">
        <f aca="false">+C11-C27</f>
        <v>0</v>
      </c>
      <c r="E39" s="386" t="n">
        <f aca="false">+E11-E27</f>
        <v>0</v>
      </c>
      <c r="G39" s="386" t="n">
        <f aca="false">+G11-G27</f>
        <v>0</v>
      </c>
      <c r="I39" s="386" t="n">
        <f aca="false">+I11-I27</f>
        <v>0</v>
      </c>
      <c r="K39" s="386" t="n">
        <f aca="false">+K11-K27</f>
        <v>0</v>
      </c>
      <c r="M39" s="386" t="n">
        <f aca="false">+M11-M27</f>
        <v>0</v>
      </c>
      <c r="O39" s="386" t="n">
        <f aca="false">+O11-O27</f>
        <v>0</v>
      </c>
      <c r="Q39" s="386" t="n">
        <f aca="false">+Q11-Q27</f>
        <v>0</v>
      </c>
      <c r="S39" s="386" t="n">
        <f aca="false">+S11-S27</f>
        <v>0</v>
      </c>
      <c r="U39" s="386" t="n">
        <f aca="false">+U11-U27</f>
        <v>0</v>
      </c>
      <c r="V39" s="374"/>
      <c r="W39" s="386" t="n">
        <f aca="false">+W11-W27</f>
        <v>-39732.7382999998</v>
      </c>
      <c r="X39" s="374"/>
      <c r="Y39" s="386" t="n">
        <f aca="false">+Y11-Y27</f>
        <v>0</v>
      </c>
      <c r="AA39" s="385" t="n">
        <f aca="false">+SUM(C39:Z39)</f>
        <v>-39732.7382999998</v>
      </c>
      <c r="AC39" s="386" t="n">
        <v>0</v>
      </c>
      <c r="AE39" s="386" t="n">
        <v>0</v>
      </c>
      <c r="AG39" s="388" t="n">
        <f aca="false">+AA39+AC39+AE39</f>
        <v>-39732.7382999998</v>
      </c>
    </row>
    <row r="40" customFormat="false" ht="9.75" hidden="false" customHeight="false" outlineLevel="1" collapsed="false">
      <c r="C40" s="375" t="n">
        <f aca="false">+SUM(C31:C39)</f>
        <v>0</v>
      </c>
      <c r="E40" s="375" t="n">
        <f aca="false">+SUM(E31:E39)</f>
        <v>-27854948</v>
      </c>
      <c r="G40" s="375" t="n">
        <f aca="false">+SUM(G31:G39)</f>
        <v>-877313</v>
      </c>
      <c r="I40" s="375" t="n">
        <f aca="false">+SUM(I31:I39)</f>
        <v>-74427</v>
      </c>
      <c r="K40" s="375" t="n">
        <f aca="false">+SUM(K31:K39)</f>
        <v>-49515</v>
      </c>
      <c r="M40" s="375" t="n">
        <f aca="false">+SUM(M31:M39)</f>
        <v>-440083</v>
      </c>
      <c r="O40" s="375" t="n">
        <f aca="false">+SUM(O31:O39)</f>
        <v>-1226</v>
      </c>
      <c r="Q40" s="375" t="n">
        <f aca="false">+SUM(Q31:Q39)</f>
        <v>0</v>
      </c>
      <c r="S40" s="375" t="n">
        <f aca="false">+SUM(S31:S39)</f>
        <v>-1140</v>
      </c>
      <c r="U40" s="375" t="n">
        <f aca="false">+SUM(U31:U39)</f>
        <v>-1833418</v>
      </c>
      <c r="V40" s="374"/>
      <c r="W40" s="375" t="n">
        <f aca="false">+SUM(W31:W39)</f>
        <v>262630.1266</v>
      </c>
      <c r="X40" s="374"/>
      <c r="Y40" s="375" t="n">
        <f aca="false">+SUM(Y31:Y39)</f>
        <v>0</v>
      </c>
      <c r="AA40" s="375" t="n">
        <f aca="false">+SUM(AA31:AA39)</f>
        <v>-30869439.8734</v>
      </c>
      <c r="AC40" s="375" t="n">
        <f aca="false">+SUM(AC31:AC39)</f>
        <v>0</v>
      </c>
      <c r="AE40" s="375" t="n">
        <f aca="false">+SUM(AE31:AE39)</f>
        <v>0</v>
      </c>
      <c r="AG40" s="382" t="n">
        <f aca="false">+SUM(AG31:AG39)</f>
        <v>-30869439.8734</v>
      </c>
      <c r="AH40" s="375"/>
    </row>
    <row r="41" customFormat="false" ht="5.1" hidden="false" customHeight="true" outlineLevel="1" collapsed="false">
      <c r="V41" s="374"/>
      <c r="X41" s="374"/>
    </row>
    <row r="42" customFormat="false" ht="9.75" hidden="false" customHeight="false" outlineLevel="1" collapsed="false">
      <c r="A42" s="362" t="s">
        <v>259</v>
      </c>
      <c r="C42" s="375" t="n">
        <f aca="false">+C40+C28</f>
        <v>99969332.2</v>
      </c>
      <c r="E42" s="375" t="n">
        <f aca="false">+E40+E28</f>
        <v>0</v>
      </c>
      <c r="G42" s="375" t="n">
        <f aca="false">+G40+G28</f>
        <v>0</v>
      </c>
      <c r="I42" s="375" t="n">
        <f aca="false">+I40+I28</f>
        <v>0</v>
      </c>
      <c r="K42" s="375" t="n">
        <f aca="false">+K40+K28</f>
        <v>0</v>
      </c>
      <c r="M42" s="375" t="n">
        <f aca="false">+M40+M28</f>
        <v>0</v>
      </c>
      <c r="O42" s="375" t="n">
        <f aca="false">+O40+O28</f>
        <v>0</v>
      </c>
      <c r="Q42" s="375" t="n">
        <f aca="false">+Q40+Q28</f>
        <v>0</v>
      </c>
      <c r="S42" s="375" t="n">
        <f aca="false">+S40+S28</f>
        <v>0</v>
      </c>
      <c r="U42" s="375" t="n">
        <f aca="false">+U40+U28</f>
        <v>0</v>
      </c>
      <c r="V42" s="374"/>
      <c r="W42" s="375" t="n">
        <f aca="false">+W40+W28</f>
        <v>567136.09</v>
      </c>
      <c r="X42" s="374"/>
      <c r="Y42" s="375" t="n">
        <f aca="false">+Y40+Y28</f>
        <v>0</v>
      </c>
      <c r="AA42" s="375" t="n">
        <f aca="false">+AA40+AA28</f>
        <v>100536468.29</v>
      </c>
      <c r="AC42" s="375" t="n">
        <f aca="false">+AC40+AC28</f>
        <v>0</v>
      </c>
      <c r="AE42" s="375" t="n">
        <f aca="false">+AE40+AE28</f>
        <v>0</v>
      </c>
      <c r="AG42" s="375" t="n">
        <f aca="false">+AG40+AG28</f>
        <v>100536468.29</v>
      </c>
    </row>
    <row r="43" s="362" customFormat="true" ht="5.1" hidden="false" customHeight="true" outlineLevel="1" collapsed="false">
      <c r="V43" s="374"/>
      <c r="X43" s="374"/>
    </row>
    <row r="44" s="389" customFormat="true" ht="9.75" hidden="false" customHeight="false" outlineLevel="1" collapsed="false">
      <c r="A44" s="389" t="s">
        <v>444</v>
      </c>
      <c r="C44" s="390" t="n">
        <f aca="false">+SUM(C3:C11)-C42</f>
        <v>0</v>
      </c>
      <c r="E44" s="390" t="n">
        <f aca="false">+SUM(E3:E11)-E42</f>
        <v>0</v>
      </c>
      <c r="G44" s="390" t="n">
        <f aca="false">+SUM(G3:G11)-G42</f>
        <v>0</v>
      </c>
      <c r="I44" s="390" t="n">
        <f aca="false">+SUM(I3:I11)-I42</f>
        <v>0</v>
      </c>
      <c r="K44" s="390" t="n">
        <f aca="false">+SUM(K3:K11)-K42</f>
        <v>0</v>
      </c>
      <c r="M44" s="390" t="n">
        <f aca="false">+SUM(M3:M11)-M42</f>
        <v>0</v>
      </c>
      <c r="O44" s="390" t="n">
        <f aca="false">+SUM(O3:O11)-O42</f>
        <v>0</v>
      </c>
      <c r="Q44" s="390" t="n">
        <f aca="false">+SUM(Q3:Q11)-Q42</f>
        <v>0</v>
      </c>
      <c r="S44" s="390" t="n">
        <f aca="false">+SUM(S3:S11)-S42</f>
        <v>0</v>
      </c>
      <c r="U44" s="390" t="n">
        <f aca="false">+SUM(U3:U11)-U42</f>
        <v>0</v>
      </c>
      <c r="V44" s="391"/>
      <c r="W44" s="390" t="n">
        <f aca="false">+SUM(W3:W11)-W42</f>
        <v>-72642.7400000002</v>
      </c>
      <c r="X44" s="391"/>
      <c r="Y44" s="390" t="n">
        <f aca="false">+SUM(Y3:Y11)-Y42</f>
        <v>0</v>
      </c>
      <c r="AA44" s="390" t="n">
        <f aca="false">+SUM(AA3:AA11)-AA42</f>
        <v>-72642.7400000095</v>
      </c>
      <c r="AC44" s="390" t="n">
        <f aca="false">+SUM(AC3:AC11)-AC42</f>
        <v>0</v>
      </c>
      <c r="AE44" s="390" t="n">
        <f aca="false">+SUM(AE3:AE11)-AE42</f>
        <v>0</v>
      </c>
      <c r="AG44" s="390" t="n">
        <f aca="false">+SUM(AG3:AG11)-AG42</f>
        <v>-274690.00000003</v>
      </c>
    </row>
    <row r="45" customFormat="false" ht="15" hidden="false" customHeight="true" outlineLevel="0" collapsed="false">
      <c r="A45" s="392" t="s">
        <v>390</v>
      </c>
    </row>
    <row r="46" customFormat="false" ht="15" hidden="false" customHeight="true" outlineLevel="0" collapsed="false">
      <c r="A46" s="392" t="s">
        <v>445</v>
      </c>
    </row>
    <row r="47" customFormat="false" ht="15" hidden="false" customHeight="true" outlineLevel="0" collapsed="false">
      <c r="A47" s="393"/>
    </row>
    <row r="48" customFormat="false" ht="42.75" hidden="false" customHeight="false" outlineLevel="0" collapsed="false">
      <c r="A48" s="394" t="s">
        <v>446</v>
      </c>
      <c r="B48" s="395"/>
      <c r="C48" s="396" t="s">
        <v>447</v>
      </c>
      <c r="D48" s="397"/>
      <c r="E48" s="398" t="s">
        <v>448</v>
      </c>
      <c r="F48" s="397"/>
      <c r="G48" s="398" t="s">
        <v>449</v>
      </c>
      <c r="H48" s="397"/>
      <c r="I48" s="399" t="s">
        <v>450</v>
      </c>
    </row>
    <row r="49" customFormat="false" ht="14.25" hidden="false" customHeight="false" outlineLevel="0" collapsed="false">
      <c r="A49" s="400" t="s">
        <v>212</v>
      </c>
      <c r="B49" s="401"/>
      <c r="C49" s="402" t="n">
        <v>1</v>
      </c>
      <c r="D49" s="403"/>
      <c r="E49" s="267" t="n">
        <f aca="false">+PAT19!B$55+PAT19!B35</f>
        <v>30276475.6</v>
      </c>
      <c r="F49" s="403"/>
      <c r="G49" s="267" t="n">
        <f aca="false">+E49*C49</f>
        <v>30276475.6</v>
      </c>
      <c r="H49" s="403"/>
      <c r="I49" s="404" t="n">
        <f aca="false">+E49-G49</f>
        <v>0</v>
      </c>
    </row>
    <row r="50" customFormat="false" ht="14.25" hidden="false" customHeight="false" outlineLevel="0" collapsed="false">
      <c r="A50" s="403" t="s">
        <v>243</v>
      </c>
      <c r="B50" s="405"/>
      <c r="C50" s="402" t="n">
        <v>0.7502</v>
      </c>
      <c r="D50" s="403"/>
      <c r="E50" s="267" t="n">
        <f aca="false">+PAT19!C$55</f>
        <v>-5325487</v>
      </c>
      <c r="F50" s="403"/>
      <c r="G50" s="267" t="n">
        <f aca="false">+E50*C50</f>
        <v>-3995180.3474</v>
      </c>
      <c r="H50" s="403"/>
      <c r="I50" s="404" t="n">
        <f aca="false">+E50-G50</f>
        <v>-1330306.6526</v>
      </c>
    </row>
    <row r="51" customFormat="false" ht="14.25" hidden="false" customHeight="false" outlineLevel="0" collapsed="false">
      <c r="A51" s="403" t="s">
        <v>451</v>
      </c>
      <c r="B51" s="405"/>
      <c r="C51" s="406" t="n">
        <v>0.999955</v>
      </c>
      <c r="D51" s="403"/>
      <c r="E51" s="267" t="n">
        <f aca="false">+PAT19!D$55</f>
        <v>181072</v>
      </c>
      <c r="F51" s="403"/>
      <c r="G51" s="267" t="n">
        <f aca="false">+E51*C51</f>
        <v>181063.85176</v>
      </c>
      <c r="H51" s="403"/>
      <c r="I51" s="404" t="n">
        <f aca="false">+E51-G51</f>
        <v>8.14824000000954</v>
      </c>
    </row>
    <row r="52" customFormat="false" ht="14.25" hidden="false" customHeight="false" outlineLevel="0" collapsed="false">
      <c r="A52" s="403" t="s">
        <v>280</v>
      </c>
      <c r="B52" s="405"/>
      <c r="C52" s="402" t="n">
        <v>0.68</v>
      </c>
      <c r="D52" s="403"/>
      <c r="E52" s="267" t="n">
        <f aca="false">+PAT19!E$55</f>
        <v>0</v>
      </c>
      <c r="F52" s="403"/>
      <c r="G52" s="267" t="n">
        <f aca="false">+E52*C52</f>
        <v>0</v>
      </c>
      <c r="H52" s="403"/>
      <c r="I52" s="404" t="n">
        <f aca="false">+E52-G52</f>
        <v>0</v>
      </c>
    </row>
    <row r="53" customFormat="false" ht="14.25" hidden="false" customHeight="false" outlineLevel="0" collapsed="false">
      <c r="A53" s="403" t="s">
        <v>281</v>
      </c>
      <c r="B53" s="405"/>
      <c r="C53" s="402" t="n">
        <v>0.5</v>
      </c>
      <c r="D53" s="403"/>
      <c r="E53" s="267" t="n">
        <f aca="false">+PAT19!F$55</f>
        <v>0</v>
      </c>
      <c r="F53" s="403"/>
      <c r="G53" s="267" t="n">
        <f aca="false">+E53*C53</f>
        <v>0</v>
      </c>
      <c r="H53" s="403"/>
      <c r="I53" s="404" t="n">
        <f aca="false">+E53-G53</f>
        <v>0</v>
      </c>
    </row>
    <row r="54" customFormat="false" ht="14.25" hidden="false" customHeight="false" outlineLevel="0" collapsed="false">
      <c r="A54" s="403" t="s">
        <v>432</v>
      </c>
      <c r="B54" s="405"/>
      <c r="C54" s="402" t="n">
        <v>0.75</v>
      </c>
      <c r="D54" s="403"/>
      <c r="E54" s="267" t="n">
        <f aca="false">+PAT19!G$55</f>
        <v>-13474</v>
      </c>
      <c r="F54" s="403"/>
      <c r="G54" s="267" t="n">
        <f aca="false">+E54*C54</f>
        <v>-10105.5</v>
      </c>
      <c r="H54" s="403"/>
      <c r="I54" s="404" t="n">
        <f aca="false">+E54-G54</f>
        <v>-3368.5</v>
      </c>
    </row>
    <row r="55" customFormat="false" ht="14.25" hidden="false" customHeight="false" outlineLevel="0" collapsed="false">
      <c r="A55" s="403" t="s">
        <v>282</v>
      </c>
      <c r="B55" s="405"/>
      <c r="C55" s="402" t="n">
        <v>0.928</v>
      </c>
      <c r="D55" s="403"/>
      <c r="E55" s="267" t="n">
        <f aca="false">+PAT19!H$55</f>
        <v>0</v>
      </c>
      <c r="F55" s="403"/>
      <c r="G55" s="267" t="n">
        <f aca="false">+E55*C55</f>
        <v>0</v>
      </c>
      <c r="H55" s="403"/>
      <c r="I55" s="404" t="n">
        <f aca="false">+E55-G55</f>
        <v>0</v>
      </c>
    </row>
    <row r="56" customFormat="false" ht="14.25" hidden="false" customHeight="false" outlineLevel="0" collapsed="false">
      <c r="A56" s="403" t="s">
        <v>433</v>
      </c>
      <c r="B56" s="405"/>
      <c r="C56" s="402" t="n">
        <v>0.6</v>
      </c>
      <c r="D56" s="403"/>
      <c r="E56" s="267" t="n">
        <f aca="false">+PAT19!I$55</f>
        <v>0</v>
      </c>
      <c r="F56" s="403"/>
      <c r="G56" s="267" t="n">
        <f aca="false">+E56*C56</f>
        <v>0</v>
      </c>
      <c r="H56" s="403"/>
      <c r="I56" s="404" t="n">
        <f aca="false">+E56-G56</f>
        <v>0</v>
      </c>
    </row>
    <row r="57" customFormat="false" ht="14.25" hidden="false" customHeight="false" outlineLevel="0" collapsed="false">
      <c r="A57" s="403" t="s">
        <v>452</v>
      </c>
      <c r="B57" s="405"/>
      <c r="C57" s="406" t="n">
        <v>0.99995</v>
      </c>
      <c r="D57" s="403"/>
      <c r="E57" s="267" t="n">
        <f aca="false">+PAT19!J$55</f>
        <v>-40586</v>
      </c>
      <c r="F57" s="403"/>
      <c r="G57" s="267" t="n">
        <f aca="false">+E57*C57</f>
        <v>-40583.9707</v>
      </c>
      <c r="H57" s="403"/>
      <c r="I57" s="404" t="n">
        <f aca="false">+E57-G57</f>
        <v>-2.02929999999469</v>
      </c>
    </row>
    <row r="58" customFormat="false" ht="14.25" hidden="false" customHeight="false" outlineLevel="0" collapsed="false">
      <c r="A58" s="403" t="s">
        <v>245</v>
      </c>
      <c r="B58" s="405"/>
      <c r="C58" s="402" t="n">
        <v>0.925</v>
      </c>
      <c r="D58" s="403"/>
      <c r="E58" s="267" t="n">
        <f aca="false">+PAT19!K$55</f>
        <v>0</v>
      </c>
      <c r="F58" s="403"/>
      <c r="G58" s="267" t="n">
        <f aca="false">+E58*C58</f>
        <v>0</v>
      </c>
      <c r="H58" s="403"/>
      <c r="I58" s="404" t="n">
        <f aca="false">+E58-G58</f>
        <v>0</v>
      </c>
    </row>
    <row r="59" customFormat="false" ht="14.25" hidden="false" customHeight="false" outlineLevel="0" collapsed="false">
      <c r="A59" s="403" t="s">
        <v>247</v>
      </c>
      <c r="B59" s="405"/>
      <c r="C59" s="402" t="n">
        <v>0.99</v>
      </c>
      <c r="D59" s="403"/>
      <c r="E59" s="267" t="n">
        <f aca="false">+PAT19!L$55</f>
        <v>1634914</v>
      </c>
      <c r="F59" s="403"/>
      <c r="G59" s="267" t="n">
        <f aca="false">+E59*C59</f>
        <v>1618564.86</v>
      </c>
      <c r="H59" s="403"/>
      <c r="I59" s="404" t="n">
        <f aca="false">+E59-G59</f>
        <v>16349.1400000001</v>
      </c>
    </row>
    <row r="60" customFormat="false" ht="14.25" hidden="false" customHeight="false" outlineLevel="0" collapsed="false">
      <c r="A60" s="403" t="s">
        <v>453</v>
      </c>
      <c r="B60" s="405"/>
      <c r="C60" s="402" t="n">
        <v>1</v>
      </c>
      <c r="D60" s="403"/>
      <c r="E60" s="267" t="n">
        <f aca="false">+PAT19!M$55</f>
        <v>0</v>
      </c>
      <c r="F60" s="403"/>
      <c r="G60" s="267" t="n">
        <f aca="false">+E60*C60</f>
        <v>0</v>
      </c>
      <c r="H60" s="403"/>
      <c r="I60" s="404" t="n">
        <f aca="false">+E60-G60</f>
        <v>0</v>
      </c>
    </row>
    <row r="61" customFormat="false" ht="14.25" hidden="false" customHeight="false" outlineLevel="0" collapsed="false">
      <c r="A61" s="397" t="s">
        <v>454</v>
      </c>
      <c r="B61" s="395"/>
      <c r="C61" s="397"/>
      <c r="D61" s="397"/>
      <c r="E61" s="407" t="n">
        <f aca="false">SUM(E49:E60)</f>
        <v>26712914.6</v>
      </c>
      <c r="F61" s="397"/>
      <c r="G61" s="407" t="n">
        <f aca="false">SUM(G49:G60)</f>
        <v>28030234.49366</v>
      </c>
      <c r="H61" s="397"/>
      <c r="I61" s="408" t="n">
        <f aca="false">SUM(I49:I60)</f>
        <v>-1317319.89366</v>
      </c>
    </row>
    <row r="62" customFormat="false" ht="14.25" hidden="false" customHeight="false" outlineLevel="0" collapsed="false">
      <c r="A62" s="311"/>
      <c r="B62" s="311"/>
      <c r="C62" s="311"/>
      <c r="D62" s="311"/>
      <c r="E62" s="409"/>
      <c r="F62" s="311"/>
      <c r="G62" s="311"/>
      <c r="H62" s="311"/>
      <c r="I62" s="311"/>
    </row>
    <row r="63" customFormat="false" ht="14.25" hidden="false" customHeight="false" outlineLevel="0" collapsed="false">
      <c r="A63" s="311"/>
      <c r="B63" s="311"/>
      <c r="C63" s="311"/>
      <c r="D63" s="311"/>
      <c r="E63" s="311"/>
      <c r="F63" s="311"/>
      <c r="G63" s="311"/>
      <c r="H63" s="311"/>
      <c r="I63" s="311"/>
    </row>
    <row r="64" customFormat="false" ht="14.25" hidden="false" customHeight="false" outlineLevel="0" collapsed="false">
      <c r="A64" s="311"/>
      <c r="B64" s="311"/>
      <c r="C64" s="311"/>
      <c r="D64" s="311"/>
      <c r="E64" s="311"/>
      <c r="F64" s="311"/>
      <c r="G64" s="311"/>
      <c r="H64" s="311"/>
      <c r="I64" s="311"/>
    </row>
    <row r="65" customFormat="false" ht="14.25" hidden="false" customHeight="false" outlineLevel="0" collapsed="false">
      <c r="A65" s="311"/>
      <c r="B65" s="311"/>
      <c r="C65" s="311"/>
      <c r="D65" s="311"/>
      <c r="E65" s="311"/>
      <c r="F65" s="311"/>
      <c r="G65" s="311"/>
      <c r="H65" s="311"/>
      <c r="I65" s="311"/>
    </row>
    <row r="66" customFormat="false" ht="14.25" hidden="false" customHeight="false" outlineLevel="0" collapsed="false">
      <c r="A66" s="311"/>
      <c r="B66" s="311"/>
      <c r="C66" s="311"/>
      <c r="D66" s="311"/>
      <c r="E66" s="311"/>
      <c r="F66" s="311"/>
      <c r="G66" s="311"/>
      <c r="H66" s="311"/>
      <c r="I66" s="311"/>
    </row>
    <row r="67" customFormat="false" ht="14.25" hidden="false" customHeight="false" outlineLevel="0" collapsed="false">
      <c r="A67" s="311"/>
      <c r="B67" s="311"/>
      <c r="C67" s="311"/>
      <c r="D67" s="311"/>
      <c r="E67" s="311"/>
      <c r="F67" s="311"/>
      <c r="G67" s="311"/>
      <c r="H67" s="311"/>
      <c r="I67" s="311"/>
    </row>
    <row r="68" customFormat="false" ht="14.25" hidden="false" customHeight="false" outlineLevel="0" collapsed="false">
      <c r="A68" s="311"/>
      <c r="B68" s="311"/>
      <c r="C68" s="311"/>
      <c r="D68" s="311"/>
      <c r="E68" s="311"/>
      <c r="F68" s="311"/>
      <c r="G68" s="311"/>
      <c r="H68" s="311"/>
      <c r="I68" s="311"/>
    </row>
    <row r="69" customFormat="false" ht="14.25" hidden="false" customHeight="false" outlineLevel="0" collapsed="false">
      <c r="A69" s="311"/>
      <c r="B69" s="311"/>
      <c r="C69" s="311"/>
      <c r="D69" s="311"/>
      <c r="E69" s="311"/>
      <c r="F69" s="311"/>
      <c r="G69" s="311"/>
      <c r="H69" s="311"/>
      <c r="I69" s="311"/>
    </row>
    <row r="70" customFormat="false" ht="14.25" hidden="false" customHeight="false" outlineLevel="0" collapsed="false">
      <c r="A70" s="311"/>
      <c r="B70" s="311"/>
      <c r="C70" s="311"/>
      <c r="D70" s="311"/>
      <c r="E70" s="311"/>
      <c r="F70" s="311"/>
      <c r="G70" s="311"/>
      <c r="H70" s="311"/>
      <c r="I70" s="311"/>
    </row>
    <row r="71" customFormat="false" ht="14.25" hidden="false" customHeight="false" outlineLevel="0" collapsed="false">
      <c r="A71" s="311"/>
      <c r="B71" s="311"/>
      <c r="C71" s="311"/>
      <c r="D71" s="311"/>
      <c r="E71" s="311"/>
      <c r="F71" s="311"/>
      <c r="G71" s="311"/>
      <c r="H71" s="311"/>
      <c r="I71" s="311"/>
    </row>
    <row r="72" customFormat="false" ht="14.25" hidden="false" customHeight="false" outlineLevel="0" collapsed="false">
      <c r="A72" s="311"/>
      <c r="B72" s="311"/>
      <c r="C72" s="311"/>
      <c r="D72" s="311"/>
      <c r="E72" s="311"/>
      <c r="F72" s="311"/>
      <c r="G72" s="311"/>
      <c r="H72" s="311"/>
      <c r="I72" s="311"/>
    </row>
    <row r="73" customFormat="false" ht="14.25" hidden="false" customHeight="false" outlineLevel="0" collapsed="false">
      <c r="A73" s="311"/>
      <c r="B73" s="311"/>
      <c r="C73" s="311"/>
      <c r="D73" s="311"/>
      <c r="E73" s="311"/>
      <c r="F73" s="311"/>
      <c r="G73" s="311"/>
      <c r="H73" s="311"/>
      <c r="I73" s="311"/>
    </row>
    <row r="74" customFormat="false" ht="14.25" hidden="false" customHeight="false" outlineLevel="0" collapsed="false">
      <c r="A74" s="311"/>
      <c r="B74" s="311"/>
      <c r="C74" s="311"/>
      <c r="D74" s="311"/>
      <c r="E74" s="311"/>
      <c r="F74" s="311"/>
      <c r="G74" s="311"/>
      <c r="H74" s="311"/>
      <c r="I74" s="311"/>
    </row>
    <row r="75" customFormat="false" ht="14.25" hidden="false" customHeight="false" outlineLevel="0" collapsed="false">
      <c r="A75" s="311"/>
      <c r="B75" s="311"/>
      <c r="C75" s="311"/>
      <c r="D75" s="311"/>
      <c r="E75" s="311"/>
      <c r="F75" s="311"/>
      <c r="G75" s="311"/>
      <c r="H75" s="311"/>
      <c r="I75" s="311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42" activeCellId="0" sqref="A42"/>
    </sheetView>
  </sheetViews>
  <sheetFormatPr defaultColWidth="11.46093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46.57"/>
    <col collapsed="false" customWidth="true" hidden="false" outlineLevel="0" max="4" min="3" style="0" width="11.57"/>
    <col collapsed="false" customWidth="true" hidden="false" outlineLevel="0" max="5" min="5" style="0" width="12.71"/>
    <col collapsed="false" customWidth="true" hidden="true" outlineLevel="0" max="7" min="6" style="0" width="12.71"/>
    <col collapsed="false" customWidth="true" hidden="false" outlineLevel="0" max="9" min="9" style="0" width="15"/>
  </cols>
  <sheetData>
    <row r="1" s="411" customFormat="true" ht="15" hidden="false" customHeight="false" outlineLevel="0" collapsed="false">
      <c r="A1" s="410" t="s">
        <v>455</v>
      </c>
    </row>
    <row r="2" s="411" customFormat="true" ht="15" hidden="false" customHeight="false" outlineLevel="0" collapsed="false">
      <c r="A2" s="412" t="s">
        <v>456</v>
      </c>
    </row>
    <row r="3" s="415" customFormat="true" ht="12" hidden="false" customHeight="false" outlineLevel="0" collapsed="false">
      <c r="A3" s="413" t="s">
        <v>457</v>
      </c>
      <c r="B3" s="414"/>
      <c r="D3" s="416"/>
      <c r="E3" s="416"/>
    </row>
    <row r="4" s="415" customFormat="true" ht="12" hidden="false" customHeight="false" outlineLevel="0" collapsed="false">
      <c r="A4" s="413"/>
      <c r="B4" s="414"/>
      <c r="D4" s="416"/>
      <c r="E4" s="416"/>
    </row>
    <row r="5" s="415" customFormat="true" ht="12" hidden="false" customHeight="false" outlineLevel="0" collapsed="false">
      <c r="A5" s="417" t="s">
        <v>458</v>
      </c>
      <c r="B5" s="417" t="s">
        <v>459</v>
      </c>
      <c r="C5" s="418" t="s">
        <v>216</v>
      </c>
      <c r="D5" s="418" t="s">
        <v>460</v>
      </c>
      <c r="I5" s="416"/>
    </row>
    <row r="6" s="415" customFormat="true" ht="12" hidden="false" customHeight="false" outlineLevel="0" collapsed="false">
      <c r="A6" s="419"/>
      <c r="B6" s="420" t="s">
        <v>461</v>
      </c>
      <c r="C6" s="419"/>
      <c r="D6" s="421"/>
      <c r="E6" s="416"/>
      <c r="I6" s="422"/>
      <c r="J6" s="416"/>
    </row>
    <row r="7" s="415" customFormat="true" ht="12" hidden="false" customHeight="false" outlineLevel="0" collapsed="false">
      <c r="A7" s="423" t="s">
        <v>462</v>
      </c>
      <c r="B7" s="419" t="s">
        <v>463</v>
      </c>
      <c r="C7" s="421" t="n">
        <v>412280</v>
      </c>
      <c r="D7" s="421"/>
      <c r="I7" s="422"/>
      <c r="J7" s="416"/>
    </row>
    <row r="8" s="415" customFormat="true" ht="12" hidden="false" customHeight="false" outlineLevel="0" collapsed="false">
      <c r="A8" s="423" t="s">
        <v>462</v>
      </c>
      <c r="B8" s="419" t="s">
        <v>464</v>
      </c>
      <c r="C8" s="421" t="n">
        <v>1660952</v>
      </c>
      <c r="D8" s="419"/>
      <c r="I8" s="422"/>
      <c r="J8" s="416"/>
    </row>
    <row r="9" s="415" customFormat="true" ht="12" hidden="false" customHeight="false" outlineLevel="0" collapsed="false">
      <c r="A9" s="423" t="s">
        <v>208</v>
      </c>
      <c r="B9" s="419" t="s">
        <v>465</v>
      </c>
      <c r="C9" s="421" t="n">
        <f aca="false">+D10-C7-C8</f>
        <v>85224</v>
      </c>
      <c r="D9" s="419"/>
      <c r="I9" s="422"/>
      <c r="J9" s="416"/>
    </row>
    <row r="10" s="415" customFormat="true" ht="12" hidden="false" customHeight="false" outlineLevel="0" collapsed="false">
      <c r="A10" s="423" t="s">
        <v>212</v>
      </c>
      <c r="B10" s="419" t="s">
        <v>466</v>
      </c>
      <c r="C10" s="424"/>
      <c r="D10" s="421" t="n">
        <v>2158456</v>
      </c>
    </row>
    <row r="11" s="415" customFormat="true" ht="12" hidden="true" customHeight="false" outlineLevel="0" collapsed="false">
      <c r="A11" s="423" t="s">
        <v>212</v>
      </c>
      <c r="B11" s="419" t="s">
        <v>467</v>
      </c>
      <c r="C11" s="425"/>
      <c r="D11" s="425" t="n">
        <v>0</v>
      </c>
    </row>
    <row r="12" s="415" customFormat="true" ht="12" hidden="false" customHeight="false" outlineLevel="0" collapsed="false">
      <c r="A12" s="426"/>
      <c r="B12" s="427" t="s">
        <v>468</v>
      </c>
      <c r="C12" s="425" t="n">
        <f aca="false">+SUM(C7:C11)</f>
        <v>2158456</v>
      </c>
      <c r="D12" s="425" t="n">
        <f aca="false">+SUM(D7:D11)</f>
        <v>2158456</v>
      </c>
      <c r="E12" s="428" t="n">
        <f aca="false">+C12-D12</f>
        <v>0</v>
      </c>
      <c r="F12" s="428" t="n">
        <f aca="false">+C12-D12</f>
        <v>0</v>
      </c>
    </row>
    <row r="13" s="415" customFormat="true" ht="12" hidden="false" customHeight="false" outlineLevel="0" collapsed="false">
      <c r="A13" s="429"/>
      <c r="B13" s="430"/>
      <c r="C13" s="431"/>
      <c r="D13" s="431"/>
    </row>
    <row r="14" s="415" customFormat="true" ht="12" hidden="false" customHeight="false" outlineLevel="0" collapsed="false">
      <c r="A14" s="423"/>
      <c r="B14" s="420" t="s">
        <v>469</v>
      </c>
      <c r="C14" s="421"/>
      <c r="D14" s="421"/>
    </row>
    <row r="15" s="415" customFormat="true" ht="12" hidden="false" customHeight="false" outlineLevel="0" collapsed="false">
      <c r="A15" s="423" t="s">
        <v>243</v>
      </c>
      <c r="B15" s="419" t="s">
        <v>464</v>
      </c>
      <c r="C15" s="421" t="n">
        <v>1257161</v>
      </c>
      <c r="D15" s="421"/>
    </row>
    <row r="16" s="415" customFormat="true" ht="12" hidden="false" customHeight="false" outlineLevel="0" collapsed="false">
      <c r="A16" s="423" t="s">
        <v>243</v>
      </c>
      <c r="B16" s="419" t="s">
        <v>464</v>
      </c>
      <c r="C16" s="421" t="n">
        <v>789878</v>
      </c>
      <c r="D16" s="421"/>
    </row>
    <row r="17" s="415" customFormat="true" ht="12" hidden="false" customHeight="false" outlineLevel="0" collapsed="false">
      <c r="A17" s="423" t="s">
        <v>243</v>
      </c>
      <c r="B17" s="419" t="s">
        <v>463</v>
      </c>
      <c r="C17" s="421" t="n">
        <v>579877</v>
      </c>
      <c r="D17" s="419"/>
    </row>
    <row r="18" s="415" customFormat="true" ht="12" hidden="false" customHeight="false" outlineLevel="0" collapsed="false">
      <c r="A18" s="423" t="s">
        <v>243</v>
      </c>
      <c r="B18" s="419" t="s">
        <v>470</v>
      </c>
      <c r="C18" s="421" t="n">
        <v>3608585</v>
      </c>
      <c r="D18" s="419"/>
    </row>
    <row r="19" s="433" customFormat="true" ht="12" hidden="false" customHeight="false" outlineLevel="0" collapsed="false">
      <c r="A19" s="432" t="s">
        <v>212</v>
      </c>
      <c r="B19" s="419" t="s">
        <v>471</v>
      </c>
      <c r="C19" s="421"/>
      <c r="D19" s="421" t="n">
        <v>0</v>
      </c>
      <c r="E19" s="428"/>
      <c r="F19" s="415"/>
      <c r="G19" s="415"/>
      <c r="H19" s="415"/>
      <c r="I19" s="415"/>
      <c r="J19" s="415"/>
      <c r="K19" s="415"/>
      <c r="L19" s="415"/>
      <c r="M19" s="415"/>
    </row>
    <row r="20" s="415" customFormat="true" ht="12" hidden="false" customHeight="false" outlineLevel="0" collapsed="false">
      <c r="A20" s="423" t="s">
        <v>212</v>
      </c>
      <c r="B20" s="419" t="s">
        <v>472</v>
      </c>
      <c r="C20" s="421"/>
      <c r="D20" s="421" t="n">
        <v>4315558</v>
      </c>
      <c r="E20" s="428"/>
    </row>
    <row r="21" s="415" customFormat="true" ht="12" hidden="false" customHeight="false" outlineLevel="0" collapsed="false">
      <c r="A21" s="423" t="s">
        <v>212</v>
      </c>
      <c r="B21" s="419" t="s">
        <v>473</v>
      </c>
      <c r="C21" s="421"/>
      <c r="D21" s="421" t="n">
        <f aca="false">673994+394335</f>
        <v>1068329</v>
      </c>
      <c r="E21" s="428"/>
      <c r="F21" s="428"/>
      <c r="G21" s="428"/>
    </row>
    <row r="22" s="415" customFormat="true" ht="12" hidden="false" customHeight="false" outlineLevel="0" collapsed="false">
      <c r="A22" s="423" t="s">
        <v>208</v>
      </c>
      <c r="B22" s="419" t="s">
        <v>474</v>
      </c>
      <c r="C22" s="425"/>
      <c r="D22" s="425" t="n">
        <f aca="false">6235501-4989552-394335</f>
        <v>851614</v>
      </c>
      <c r="E22" s="428"/>
    </row>
    <row r="23" s="415" customFormat="true" ht="13.5" hidden="false" customHeight="true" outlineLevel="0" collapsed="false">
      <c r="A23" s="426"/>
      <c r="B23" s="434" t="s">
        <v>475</v>
      </c>
      <c r="C23" s="435" t="n">
        <f aca="false">+SUM(C15:C22)</f>
        <v>6235501</v>
      </c>
      <c r="D23" s="435" t="n">
        <f aca="false">+SUM(D15:D22)</f>
        <v>6235501</v>
      </c>
      <c r="E23" s="428"/>
      <c r="F23" s="428"/>
    </row>
    <row r="24" s="415" customFormat="true" ht="12" hidden="false" customHeight="false" outlineLevel="0" collapsed="false">
      <c r="A24" s="423"/>
      <c r="B24" s="419"/>
      <c r="C24" s="421"/>
      <c r="D24" s="421"/>
      <c r="E24" s="428"/>
      <c r="F24" s="428"/>
      <c r="G24" s="428"/>
      <c r="H24" s="436"/>
    </row>
    <row r="25" s="415" customFormat="true" ht="12" hidden="false" customHeight="false" outlineLevel="0" collapsed="false">
      <c r="A25" s="423"/>
      <c r="B25" s="420" t="s">
        <v>476</v>
      </c>
      <c r="C25" s="421"/>
      <c r="D25" s="421"/>
    </row>
    <row r="26" s="415" customFormat="true" ht="12" hidden="false" customHeight="false" outlineLevel="0" collapsed="false">
      <c r="A26" s="423" t="s">
        <v>281</v>
      </c>
      <c r="B26" s="419" t="s">
        <v>149</v>
      </c>
      <c r="C26" s="421" t="n">
        <v>950362</v>
      </c>
      <c r="D26" s="421"/>
    </row>
    <row r="27" s="415" customFormat="true" ht="12" hidden="false" customHeight="false" outlineLevel="0" collapsed="false">
      <c r="A27" s="423" t="s">
        <v>208</v>
      </c>
      <c r="B27" s="419" t="s">
        <v>465</v>
      </c>
      <c r="C27" s="421"/>
      <c r="D27" s="421" t="n">
        <v>23507</v>
      </c>
      <c r="E27" s="428"/>
      <c r="I27" s="422"/>
      <c r="J27" s="416"/>
    </row>
    <row r="28" s="415" customFormat="true" ht="12" hidden="false" customHeight="false" outlineLevel="0" collapsed="false">
      <c r="A28" s="423" t="s">
        <v>212</v>
      </c>
      <c r="B28" s="419" t="s">
        <v>477</v>
      </c>
      <c r="C28" s="425"/>
      <c r="D28" s="425" t="n">
        <v>926855</v>
      </c>
    </row>
    <row r="29" s="415" customFormat="true" ht="12" hidden="false" customHeight="false" outlineLevel="0" collapsed="false">
      <c r="A29" s="426"/>
      <c r="B29" s="434" t="s">
        <v>478</v>
      </c>
      <c r="C29" s="425" t="n">
        <f aca="false">+SUM(C26:C28)</f>
        <v>950362</v>
      </c>
      <c r="D29" s="425" t="n">
        <f aca="false">+SUM(D26:D28)</f>
        <v>950362</v>
      </c>
      <c r="E29" s="428"/>
      <c r="F29" s="428" t="n">
        <f aca="false">+C29-D29</f>
        <v>0</v>
      </c>
    </row>
    <row r="30" s="415" customFormat="true" ht="12" hidden="false" customHeight="false" outlineLevel="0" collapsed="false">
      <c r="A30" s="423"/>
      <c r="B30" s="419"/>
      <c r="C30" s="421"/>
      <c r="D30" s="421"/>
    </row>
    <row r="31" s="415" customFormat="true" ht="12" hidden="false" customHeight="false" outlineLevel="0" collapsed="false">
      <c r="A31" s="423"/>
      <c r="B31" s="420" t="s">
        <v>479</v>
      </c>
      <c r="C31" s="421"/>
      <c r="D31" s="421"/>
    </row>
    <row r="32" s="415" customFormat="true" ht="12" hidden="true" customHeight="false" outlineLevel="0" collapsed="false">
      <c r="A32" s="423" t="s">
        <v>212</v>
      </c>
      <c r="B32" s="419" t="s">
        <v>463</v>
      </c>
      <c r="C32" s="421" t="n">
        <v>0</v>
      </c>
      <c r="D32" s="421"/>
    </row>
    <row r="33" s="415" customFormat="true" ht="12" hidden="false" customHeight="false" outlineLevel="0" collapsed="false">
      <c r="A33" s="423" t="s">
        <v>245</v>
      </c>
      <c r="B33" s="419" t="s">
        <v>464</v>
      </c>
      <c r="C33" s="421" t="n">
        <v>1269327</v>
      </c>
      <c r="D33" s="421"/>
    </row>
    <row r="34" s="415" customFormat="true" ht="12" hidden="false" customHeight="false" outlineLevel="0" collapsed="false">
      <c r="A34" s="423" t="s">
        <v>212</v>
      </c>
      <c r="B34" s="419" t="s">
        <v>480</v>
      </c>
      <c r="C34" s="421" t="n">
        <v>1724063</v>
      </c>
      <c r="D34" s="421"/>
    </row>
    <row r="35" s="415" customFormat="true" ht="12" hidden="false" customHeight="false" outlineLevel="0" collapsed="false">
      <c r="A35" s="423" t="s">
        <v>208</v>
      </c>
      <c r="B35" s="419" t="s">
        <v>465</v>
      </c>
      <c r="C35" s="421" t="n">
        <v>34742</v>
      </c>
      <c r="D35" s="421"/>
      <c r="E35" s="428"/>
    </row>
    <row r="36" s="415" customFormat="true" ht="12" hidden="false" customHeight="false" outlineLevel="0" collapsed="false">
      <c r="A36" s="423" t="s">
        <v>212</v>
      </c>
      <c r="B36" s="419" t="s">
        <v>472</v>
      </c>
      <c r="C36" s="421"/>
      <c r="D36" s="421" t="n">
        <v>1331732</v>
      </c>
    </row>
    <row r="37" s="415" customFormat="true" ht="12" hidden="false" customHeight="false" outlineLevel="0" collapsed="false">
      <c r="A37" s="423" t="s">
        <v>245</v>
      </c>
      <c r="B37" s="419" t="s">
        <v>472</v>
      </c>
      <c r="C37" s="425"/>
      <c r="D37" s="425" t="n">
        <v>1696400</v>
      </c>
    </row>
    <row r="38" s="415" customFormat="true" ht="12" hidden="false" customHeight="false" outlineLevel="0" collapsed="false">
      <c r="A38" s="426"/>
      <c r="B38" s="434" t="s">
        <v>481</v>
      </c>
      <c r="C38" s="425" t="n">
        <f aca="false">+SUM(C32:C37)</f>
        <v>3028132</v>
      </c>
      <c r="D38" s="425" t="n">
        <f aca="false">+SUM(D32:D37)</f>
        <v>3028132</v>
      </c>
      <c r="E38" s="428" t="n">
        <f aca="false">+C38-D38</f>
        <v>0</v>
      </c>
      <c r="F38" s="428" t="n">
        <f aca="false">+C38-D38</f>
        <v>0</v>
      </c>
    </row>
    <row r="39" s="415" customFormat="true" ht="12" hidden="false" customHeight="false" outlineLevel="0" collapsed="false">
      <c r="A39" s="423"/>
      <c r="B39" s="419"/>
      <c r="C39" s="421"/>
      <c r="D39" s="421"/>
    </row>
    <row r="40" s="415" customFormat="true" ht="12" hidden="false" customHeight="false" outlineLevel="0" collapsed="false">
      <c r="A40" s="423"/>
      <c r="B40" s="420" t="s">
        <v>482</v>
      </c>
      <c r="C40" s="421"/>
      <c r="D40" s="421"/>
    </row>
    <row r="41" s="415" customFormat="true" ht="12" hidden="false" customHeight="false" outlineLevel="0" collapsed="false">
      <c r="A41" s="423" t="s">
        <v>247</v>
      </c>
      <c r="B41" s="419" t="s">
        <v>463</v>
      </c>
      <c r="C41" s="421" t="n">
        <v>381101</v>
      </c>
      <c r="D41" s="421"/>
    </row>
    <row r="42" s="415" customFormat="true" ht="12" hidden="false" customHeight="false" outlineLevel="0" collapsed="false">
      <c r="A42" s="423" t="s">
        <v>247</v>
      </c>
      <c r="B42" s="419" t="s">
        <v>464</v>
      </c>
      <c r="C42" s="421" t="n">
        <v>658889</v>
      </c>
      <c r="D42" s="421"/>
    </row>
    <row r="43" s="415" customFormat="true" ht="12" hidden="false" customHeight="false" outlineLevel="0" collapsed="false">
      <c r="A43" s="423" t="s">
        <v>212</v>
      </c>
      <c r="B43" s="419" t="s">
        <v>463</v>
      </c>
      <c r="C43" s="421" t="n">
        <v>1672067</v>
      </c>
      <c r="D43" s="421"/>
    </row>
    <row r="44" s="415" customFormat="true" ht="12" hidden="false" customHeight="false" outlineLevel="0" collapsed="false">
      <c r="A44" s="423" t="s">
        <v>208</v>
      </c>
      <c r="B44" s="419" t="s">
        <v>465</v>
      </c>
      <c r="C44" s="421" t="n">
        <v>421</v>
      </c>
      <c r="D44" s="421"/>
    </row>
    <row r="45" s="415" customFormat="true" ht="12" hidden="false" customHeight="false" outlineLevel="0" collapsed="false">
      <c r="A45" s="423" t="s">
        <v>247</v>
      </c>
      <c r="B45" s="419" t="s">
        <v>483</v>
      </c>
      <c r="C45" s="421"/>
      <c r="D45" s="421" t="n">
        <v>529781</v>
      </c>
    </row>
    <row r="46" s="415" customFormat="true" ht="12" hidden="false" customHeight="false" outlineLevel="0" collapsed="false">
      <c r="A46" s="423" t="s">
        <v>247</v>
      </c>
      <c r="B46" s="419" t="s">
        <v>472</v>
      </c>
      <c r="C46" s="421"/>
      <c r="D46" s="421" t="n">
        <f aca="false">1644355+24485+3227</f>
        <v>1672067</v>
      </c>
    </row>
    <row r="47" s="415" customFormat="true" ht="12" hidden="true" customHeight="false" outlineLevel="0" collapsed="false">
      <c r="A47" s="423" t="s">
        <v>212</v>
      </c>
      <c r="B47" s="419" t="s">
        <v>484</v>
      </c>
      <c r="C47" s="421"/>
      <c r="D47" s="421" t="n">
        <v>0</v>
      </c>
    </row>
    <row r="48" s="415" customFormat="true" ht="12" hidden="false" customHeight="false" outlineLevel="0" collapsed="false">
      <c r="A48" s="423" t="s">
        <v>212</v>
      </c>
      <c r="B48" s="419" t="s">
        <v>472</v>
      </c>
      <c r="C48" s="421"/>
      <c r="D48" s="421" t="n">
        <f aca="false">381520+129110</f>
        <v>510630</v>
      </c>
      <c r="F48" s="428" t="n">
        <f aca="false">+C41+C42+C45-D46-D48</f>
        <v>-1142707</v>
      </c>
    </row>
    <row r="49" s="415" customFormat="true" ht="12" hidden="false" customHeight="false" outlineLevel="0" collapsed="false">
      <c r="A49" s="426"/>
      <c r="B49" s="434" t="s">
        <v>485</v>
      </c>
      <c r="C49" s="437" t="n">
        <f aca="false">+SUM(C41:C48)</f>
        <v>2712478</v>
      </c>
      <c r="D49" s="437" t="n">
        <f aca="false">+SUM(D41:D48)</f>
        <v>2712478</v>
      </c>
      <c r="E49" s="428" t="n">
        <f aca="false">+C49-D49</f>
        <v>0</v>
      </c>
      <c r="F49" s="428" t="n">
        <f aca="false">+D49-C49</f>
        <v>0</v>
      </c>
    </row>
    <row r="50" s="415" customFormat="true" ht="12" hidden="false" customHeight="false" outlineLevel="0" collapsed="false">
      <c r="A50" s="423"/>
      <c r="B50" s="419"/>
      <c r="C50" s="421"/>
      <c r="D50" s="421"/>
    </row>
    <row r="51" s="415" customFormat="true" ht="12" hidden="false" customHeight="false" outlineLevel="0" collapsed="false">
      <c r="A51" s="423"/>
      <c r="B51" s="420" t="s">
        <v>486</v>
      </c>
      <c r="C51" s="421"/>
      <c r="D51" s="421"/>
    </row>
    <row r="52" s="415" customFormat="true" ht="12" hidden="false" customHeight="false" outlineLevel="0" collapsed="false">
      <c r="A52" s="423" t="s">
        <v>32</v>
      </c>
      <c r="B52" s="419" t="s">
        <v>87</v>
      </c>
      <c r="C52" s="421" t="n">
        <v>10000</v>
      </c>
      <c r="D52" s="421"/>
    </row>
    <row r="53" s="415" customFormat="true" ht="12" hidden="false" customHeight="false" outlineLevel="0" collapsed="false">
      <c r="A53" s="423" t="s">
        <v>32</v>
      </c>
      <c r="B53" s="419" t="s">
        <v>463</v>
      </c>
      <c r="C53" s="421" t="n">
        <f aca="false">27651+4144</f>
        <v>31795</v>
      </c>
      <c r="D53" s="421"/>
    </row>
    <row r="54" s="415" customFormat="true" ht="12" hidden="true" customHeight="false" outlineLevel="0" collapsed="false">
      <c r="A54" s="423" t="s">
        <v>32</v>
      </c>
      <c r="B54" s="419" t="s">
        <v>464</v>
      </c>
      <c r="C54" s="438" t="n">
        <v>0</v>
      </c>
      <c r="D54" s="421"/>
    </row>
    <row r="55" s="415" customFormat="true" ht="12" hidden="false" customHeight="false" outlineLevel="0" collapsed="false">
      <c r="A55" s="423" t="s">
        <v>32</v>
      </c>
      <c r="B55" s="419" t="s">
        <v>464</v>
      </c>
      <c r="C55" s="421" t="n">
        <v>746170</v>
      </c>
      <c r="D55" s="421"/>
    </row>
    <row r="56" s="433" customFormat="true" ht="12" hidden="false" customHeight="false" outlineLevel="0" collapsed="false">
      <c r="A56" s="432" t="s">
        <v>208</v>
      </c>
      <c r="B56" s="419" t="s">
        <v>487</v>
      </c>
      <c r="C56" s="421" t="n">
        <v>695306</v>
      </c>
      <c r="D56" s="421"/>
    </row>
    <row r="57" s="415" customFormat="true" ht="12" hidden="false" customHeight="false" outlineLevel="0" collapsed="false">
      <c r="A57" s="423" t="s">
        <v>212</v>
      </c>
      <c r="B57" s="419" t="s">
        <v>488</v>
      </c>
      <c r="C57" s="421"/>
      <c r="D57" s="421" t="n">
        <v>1193125</v>
      </c>
    </row>
    <row r="58" s="415" customFormat="true" ht="12" hidden="false" customHeight="false" outlineLevel="0" collapsed="false">
      <c r="A58" s="423" t="s">
        <v>212</v>
      </c>
      <c r="B58" s="419" t="s">
        <v>472</v>
      </c>
      <c r="C58" s="425"/>
      <c r="D58" s="425" t="n">
        <v>290146</v>
      </c>
      <c r="F58" s="428" t="n">
        <f aca="false">+C53+C56+C54-D58</f>
        <v>436955</v>
      </c>
    </row>
    <row r="59" s="415" customFormat="true" ht="24" hidden="false" customHeight="false" outlineLevel="0" collapsed="false">
      <c r="A59" s="426"/>
      <c r="B59" s="434" t="s">
        <v>489</v>
      </c>
      <c r="C59" s="425" t="n">
        <f aca="false">+SUM(C52:C58)</f>
        <v>1483271</v>
      </c>
      <c r="D59" s="425" t="n">
        <f aca="false">+SUM(D52:D58)</f>
        <v>1483271</v>
      </c>
      <c r="E59" s="428" t="n">
        <f aca="false">+C59-D59</f>
        <v>0</v>
      </c>
      <c r="F59" s="428" t="n">
        <f aca="false">+D59-C59</f>
        <v>0</v>
      </c>
    </row>
    <row r="60" s="415" customFormat="true" ht="12" hidden="false" customHeight="false" outlineLevel="0" collapsed="false">
      <c r="A60" s="423"/>
      <c r="B60" s="419"/>
      <c r="C60" s="421"/>
      <c r="D60" s="421"/>
    </row>
    <row r="61" s="415" customFormat="true" ht="12" hidden="false" customHeight="false" outlineLevel="0" collapsed="false">
      <c r="A61" s="423"/>
      <c r="B61" s="420" t="s">
        <v>490</v>
      </c>
      <c r="C61" s="421"/>
      <c r="D61" s="421"/>
    </row>
    <row r="62" s="415" customFormat="true" ht="12" hidden="false" customHeight="false" outlineLevel="0" collapsed="false">
      <c r="A62" s="423" t="s">
        <v>243</v>
      </c>
      <c r="B62" s="419" t="s">
        <v>463</v>
      </c>
      <c r="C62" s="421" t="n">
        <v>4733</v>
      </c>
      <c r="D62" s="421"/>
    </row>
    <row r="63" s="415" customFormat="true" ht="12" hidden="false" customHeight="false" outlineLevel="0" collapsed="false">
      <c r="A63" s="423" t="s">
        <v>462</v>
      </c>
      <c r="B63" s="419" t="s">
        <v>477</v>
      </c>
      <c r="C63" s="425"/>
      <c r="D63" s="425" t="n">
        <v>4733</v>
      </c>
    </row>
    <row r="64" s="415" customFormat="true" ht="24" hidden="false" customHeight="false" outlineLevel="0" collapsed="false">
      <c r="A64" s="426"/>
      <c r="B64" s="434" t="s">
        <v>491</v>
      </c>
      <c r="C64" s="425" t="n">
        <f aca="false">+C62+C63</f>
        <v>4733</v>
      </c>
      <c r="D64" s="425" t="n">
        <f aca="false">+D62+D63</f>
        <v>4733</v>
      </c>
    </row>
    <row r="65" s="411" customFormat="true" ht="15" hidden="false" customHeight="false" outlineLevel="0" collapsed="false"/>
    <row r="66" s="411" customFormat="true" ht="15" hidden="false" customHeight="false" outlineLevel="0" collapsed="false">
      <c r="A66" s="439"/>
      <c r="B66" s="440" t="s">
        <v>259</v>
      </c>
      <c r="C66" s="441" t="n">
        <f aca="false">+C64+C59+C49+C38+C29+C23+C12</f>
        <v>16572933</v>
      </c>
      <c r="D66" s="441" t="n">
        <f aca="false">+D64+D59+D49+D38+D29+D23+D12</f>
        <v>16572933</v>
      </c>
      <c r="E66" s="442" t="n">
        <f aca="false">+C66-D66</f>
        <v>0</v>
      </c>
      <c r="F66" s="443"/>
      <c r="G66" s="443"/>
      <c r="H66" s="442"/>
    </row>
    <row r="67" s="411" customFormat="true" ht="15" hidden="false" customHeight="false" outlineLevel="0" collapsed="false">
      <c r="A67" s="439"/>
      <c r="B67" s="439"/>
      <c r="C67" s="444"/>
      <c r="D67" s="444"/>
      <c r="E67" s="443"/>
      <c r="F67" s="445" t="e">
        <f aca="false">SUM(#REF!)</f>
        <v>#REF!</v>
      </c>
      <c r="G67" s="445" t="e">
        <f aca="false">SUM(#REF!)</f>
        <v>#REF!</v>
      </c>
      <c r="H67" s="442"/>
      <c r="I67" s="442"/>
    </row>
    <row r="68" s="411" customFormat="true" ht="24.75" hidden="false" customHeight="false" outlineLevel="0" collapsed="false">
      <c r="B68" s="446" t="s">
        <v>492</v>
      </c>
      <c r="C68" s="430"/>
      <c r="D68" s="430"/>
      <c r="F68" s="447"/>
      <c r="G68" s="447"/>
    </row>
    <row r="69" s="411" customFormat="true" ht="15" hidden="false" customHeight="false" outlineLevel="0" collapsed="false">
      <c r="B69" s="448" t="s">
        <v>493</v>
      </c>
      <c r="C69" s="449" t="n">
        <f aca="false">+C7+C17+C26+C34+C41+C43+C53+C55+C62</f>
        <v>6502448</v>
      </c>
      <c r="D69" s="419"/>
      <c r="F69" s="450" t="e">
        <f aca="false">+#REF!+#REF!+#REF!+32707</f>
        <v>#REF!</v>
      </c>
      <c r="G69" s="451"/>
    </row>
    <row r="70" s="411" customFormat="true" ht="15" hidden="false" customHeight="false" outlineLevel="0" collapsed="false">
      <c r="B70" s="448" t="s">
        <v>80</v>
      </c>
      <c r="C70" s="449" t="n">
        <f aca="false">+C8+C16+C33+C42+C15</f>
        <v>5636207</v>
      </c>
      <c r="D70" s="419"/>
      <c r="F70" s="450" t="e">
        <f aca="false">#REF!+#REF!</f>
        <v>#REF!</v>
      </c>
      <c r="G70" s="451"/>
    </row>
    <row r="71" s="411" customFormat="true" ht="15" hidden="false" customHeight="false" outlineLevel="0" collapsed="false">
      <c r="B71" s="448" t="s">
        <v>494</v>
      </c>
      <c r="C71" s="449"/>
      <c r="D71" s="419"/>
      <c r="F71" s="450" t="e">
        <f aca="false">+#REF!+#REF!+#REF!+#REF!</f>
        <v>#REF!</v>
      </c>
      <c r="G71" s="451"/>
    </row>
    <row r="72" s="411" customFormat="true" ht="15" hidden="false" customHeight="false" outlineLevel="0" collapsed="false">
      <c r="B72" s="448" t="s">
        <v>470</v>
      </c>
      <c r="C72" s="449" t="e">
        <f aca="false">+'saldos interco.'!#ref!</f>
        <v>#VALUE!</v>
      </c>
      <c r="D72" s="419"/>
      <c r="F72" s="450" t="e">
        <f aca="false">+#REF!</f>
        <v>#REF!</v>
      </c>
      <c r="G72" s="451"/>
    </row>
    <row r="73" s="411" customFormat="true" ht="15" hidden="false" customHeight="false" outlineLevel="0" collapsed="false">
      <c r="B73" s="448" t="s">
        <v>172</v>
      </c>
      <c r="C73" s="449" t="e">
        <f aca="false">+'saldos interco.'!#ref!</f>
        <v>#VALUE!</v>
      </c>
      <c r="D73" s="419"/>
      <c r="F73" s="450"/>
      <c r="G73" s="451"/>
    </row>
    <row r="74" s="411" customFormat="true" ht="15" hidden="false" customHeight="false" outlineLevel="0" collapsed="false">
      <c r="B74" s="448" t="s">
        <v>465</v>
      </c>
      <c r="C74" s="449" t="e">
        <f aca="false">+'saldos interco.'!#ref!+'saldos interco.'!#ref!+'saldos interco.'!#ref!-'saldos interco.'!#ref!-'saldos interco.'!#ref!</f>
        <v>#VALUE!</v>
      </c>
      <c r="D74" s="419"/>
      <c r="F74" s="450"/>
      <c r="G74" s="451"/>
    </row>
    <row r="75" s="411" customFormat="true" ht="15" hidden="false" customHeight="false" outlineLevel="0" collapsed="false">
      <c r="B75" s="448" t="s">
        <v>495</v>
      </c>
      <c r="C75" s="419"/>
      <c r="D75" s="449" t="n">
        <f aca="false">+D10+D20+D28+D36+D37+D46+D48+D58+D63</f>
        <v>12906577</v>
      </c>
      <c r="F75" s="451"/>
      <c r="G75" s="450" t="e">
        <f aca="false">+#REF!+#REF!+#REF!+#REF!+#REF!+#REF!+#REF!+#REF!+#REF!+#REF!+#REF!</f>
        <v>#REF!</v>
      </c>
    </row>
    <row r="76" s="411" customFormat="true" ht="15" hidden="false" customHeight="false" outlineLevel="0" collapsed="false">
      <c r="B76" s="448" t="s">
        <v>496</v>
      </c>
      <c r="C76" s="419"/>
      <c r="D76" s="449" t="e">
        <f aca="false">+'saldos interco.'!#ref!</f>
        <v>#VALUE!</v>
      </c>
      <c r="F76" s="451"/>
      <c r="G76" s="450" t="n">
        <v>0</v>
      </c>
    </row>
    <row r="77" s="411" customFormat="true" ht="15" hidden="false" customHeight="false" outlineLevel="0" collapsed="false">
      <c r="B77" s="448" t="s">
        <v>497</v>
      </c>
      <c r="C77" s="419"/>
      <c r="D77" s="449" t="e">
        <f aca="false">+'saldos interco.'!#ref!-'saldos interco.'!#ref!</f>
        <v>#VALUE!</v>
      </c>
      <c r="F77" s="451"/>
      <c r="G77" s="450"/>
    </row>
    <row r="78" s="411" customFormat="true" ht="15" hidden="false" customHeight="false" outlineLevel="0" collapsed="false">
      <c r="B78" s="448" t="s">
        <v>498</v>
      </c>
      <c r="C78" s="419"/>
      <c r="D78" s="449" t="e">
        <f aca="false">+'saldos interco.'!#ref!</f>
        <v>#VALUE!</v>
      </c>
      <c r="F78" s="451"/>
      <c r="G78" s="450" t="e">
        <f aca="false">+#REF!</f>
        <v>#REF!</v>
      </c>
    </row>
    <row r="79" s="411" customFormat="true" ht="15" hidden="false" customHeight="false" outlineLevel="0" collapsed="false">
      <c r="B79" s="448" t="s">
        <v>499</v>
      </c>
      <c r="C79" s="419"/>
      <c r="D79" s="449" t="e">
        <f aca="false">+'saldos interco.'!#ref!</f>
        <v>#VALUE!</v>
      </c>
      <c r="F79" s="451"/>
      <c r="G79" s="450" t="e">
        <f aca="false">+#REF!</f>
        <v>#REF!</v>
      </c>
    </row>
    <row r="80" s="411" customFormat="true" ht="15" hidden="false" customHeight="false" outlineLevel="0" collapsed="false">
      <c r="B80" s="448" t="s">
        <v>500</v>
      </c>
      <c r="C80" s="419"/>
      <c r="D80" s="421" t="e">
        <f aca="false">+'saldos interco.'!#ref!</f>
        <v>#VALUE!</v>
      </c>
      <c r="F80" s="451"/>
      <c r="G80" s="452"/>
    </row>
    <row r="81" s="411" customFormat="true" ht="15" hidden="false" customHeight="false" outlineLevel="0" collapsed="false">
      <c r="B81" s="453" t="s">
        <v>501</v>
      </c>
      <c r="C81" s="454" t="e">
        <f aca="false">SUM(C69:C80)</f>
        <v>#VALUE!</v>
      </c>
      <c r="D81" s="454" t="e">
        <f aca="false">SUM(D69:D80)</f>
        <v>#VALUE!</v>
      </c>
      <c r="E81" s="455"/>
      <c r="F81" s="456" t="e">
        <f aca="false">SUM(F69:F80)</f>
        <v>#REF!</v>
      </c>
      <c r="G81" s="456" t="e">
        <f aca="false">SUM(G69:G80)</f>
        <v>#REF!</v>
      </c>
      <c r="H81" s="455"/>
      <c r="I81" s="457"/>
    </row>
    <row r="82" s="411" customFormat="true" ht="15" hidden="false" customHeight="false" outlineLevel="0" collapsed="false">
      <c r="C82" s="442" t="n">
        <f aca="false">+C66-'AD ESF'!D207</f>
        <v>718813</v>
      </c>
      <c r="D82" s="442" t="n">
        <f aca="false">+D66-'AD ESF'!E207</f>
        <v>718813</v>
      </c>
      <c r="E82" s="457"/>
      <c r="F82" s="458" t="e">
        <f aca="false">F67-F81</f>
        <v>#REF!</v>
      </c>
      <c r="G82" s="458" t="e">
        <f aca="false">G67-G81</f>
        <v>#REF!</v>
      </c>
      <c r="H82" s="455"/>
      <c r="I82" s="457"/>
    </row>
    <row r="83" s="411" customFormat="true" ht="15" hidden="false" customHeight="false" outlineLevel="0" collapsed="false">
      <c r="E83" s="457"/>
      <c r="F83" s="457"/>
      <c r="G83" s="457"/>
      <c r="H83" s="455"/>
      <c r="I83" s="457"/>
    </row>
    <row r="84" s="411" customFormat="true" ht="15" hidden="false" customHeight="false" outlineLevel="0" collapsed="false">
      <c r="E84" s="457"/>
      <c r="F84" s="457"/>
      <c r="G84" s="457"/>
      <c r="H84" s="455"/>
      <c r="I84" s="457"/>
    </row>
    <row r="85" s="411" customFormat="true" ht="15" hidden="false" customHeight="false" outlineLevel="0" collapsed="false">
      <c r="E85" s="457"/>
      <c r="F85" s="457"/>
      <c r="G85" s="457"/>
      <c r="H85" s="455"/>
      <c r="I85" s="457"/>
    </row>
    <row r="86" s="411" customFormat="true" ht="15" hidden="false" customHeight="false" outlineLevel="0" collapsed="false"/>
    <row r="87" s="411" customFormat="true" ht="15" hidden="false" customHeight="false" outlineLevel="0" collapsed="false"/>
    <row r="88" s="411" customFormat="true" ht="15" hidden="false" customHeight="false" outlineLevel="0" collapsed="false"/>
    <row r="89" s="411" customFormat="true" ht="15" hidden="false" customHeight="false" outlineLevel="0" collapsed="false"/>
    <row r="90" s="411" customFormat="true" ht="15" hidden="false" customHeight="false" outlineLevel="0" collapsed="false"/>
    <row r="91" s="411" customFormat="true" ht="15" hidden="false" customHeight="false" outlineLevel="0" collapsed="false"/>
    <row r="92" s="411" customFormat="true" ht="15" hidden="false" customHeight="false" outlineLevel="0" collapsed="false"/>
    <row r="93" s="411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U8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63" activePane="bottomRight" state="frozen"/>
      <selection pane="topLeft" activeCell="A1" activeCellId="0" sqref="A1"/>
      <selection pane="topRight" activeCell="B1" activeCellId="0" sqref="B1"/>
      <selection pane="bottomLeft" activeCell="A63" activeCellId="0" sqref="A63"/>
      <selection pane="bottomRight" activeCell="A1" activeCellId="0" sqref="A1"/>
    </sheetView>
  </sheetViews>
  <sheetFormatPr defaultColWidth="11.43359375" defaultRowHeight="12" zeroHeight="false" outlineLevelRow="0" outlineLevelCol="1"/>
  <cols>
    <col collapsed="false" customWidth="true" hidden="false" outlineLevel="0" max="1" min="1" style="415" width="47.7"/>
    <col collapsed="false" customWidth="true" hidden="false" outlineLevel="1" max="2" min="2" style="415" width="15.88"/>
    <col collapsed="false" customWidth="true" hidden="false" outlineLevel="1" max="3" min="3" style="415" width="14.57"/>
    <col collapsed="false" customWidth="true" hidden="false" outlineLevel="1" max="4" min="4" style="415" width="15.71"/>
    <col collapsed="false" customWidth="true" hidden="false" outlineLevel="1" max="5" min="5" style="415" width="11.99"/>
    <col collapsed="false" customWidth="true" hidden="false" outlineLevel="1" max="6" min="6" style="415" width="12.86"/>
    <col collapsed="false" customWidth="true" hidden="false" outlineLevel="1" max="7" min="7" style="415" width="11.99"/>
    <col collapsed="false" customWidth="true" hidden="false" outlineLevel="1" max="8" min="8" style="415" width="15.15"/>
    <col collapsed="false" customWidth="true" hidden="false" outlineLevel="1" max="9" min="9" style="415" width="13.14"/>
    <col collapsed="false" customWidth="true" hidden="false" outlineLevel="1" max="10" min="10" style="415" width="14.28"/>
    <col collapsed="false" customWidth="true" hidden="false" outlineLevel="1" max="11" min="11" style="415" width="13.14"/>
    <col collapsed="false" customWidth="true" hidden="false" outlineLevel="1" max="12" min="12" style="415" width="12.86"/>
    <col collapsed="false" customWidth="true" hidden="false" outlineLevel="1" max="13" min="13" style="415" width="13.29"/>
    <col collapsed="false" customWidth="true" hidden="false" outlineLevel="0" max="14" min="14" style="415" width="15.57"/>
    <col collapsed="false" customWidth="true" hidden="false" outlineLevel="0" max="15" min="15" style="415" width="14.57"/>
    <col collapsed="false" customWidth="true" hidden="false" outlineLevel="0" max="16" min="16" style="415" width="14.15"/>
    <col collapsed="false" customWidth="true" hidden="false" outlineLevel="0" max="17" min="17" style="415" width="15.57"/>
    <col collapsed="false" customWidth="true" hidden="false" outlineLevel="0" max="18" min="18" style="459" width="10.41"/>
    <col collapsed="false" customWidth="true" hidden="false" outlineLevel="0" max="19" min="19" style="415" width="14.43"/>
    <col collapsed="false" customWidth="true" hidden="false" outlineLevel="0" max="20" min="20" style="415" width="11.99"/>
    <col collapsed="false" customWidth="true" hidden="false" outlineLevel="0" max="21" min="21" style="415" width="14.01"/>
    <col collapsed="false" customWidth="true" hidden="false" outlineLevel="0" max="22" min="22" style="415" width="13.29"/>
    <col collapsed="false" customWidth="false" hidden="false" outlineLevel="0" max="1024" min="23" style="415" width="11.42"/>
  </cols>
  <sheetData>
    <row r="1" customFormat="false" ht="12" hidden="false" customHeight="false" outlineLevel="0" collapsed="false">
      <c r="A1" s="460" t="s">
        <v>0</v>
      </c>
      <c r="C1" s="461"/>
    </row>
    <row r="2" customFormat="false" ht="12" hidden="false" customHeight="false" outlineLevel="0" collapsed="false">
      <c r="A2" s="462" t="s">
        <v>1</v>
      </c>
      <c r="C2" s="416"/>
    </row>
    <row r="3" customFormat="false" ht="12" hidden="false" customHeight="true" outlineLevel="0" collapsed="false">
      <c r="A3" s="463" t="s">
        <v>392</v>
      </c>
      <c r="B3" s="464"/>
      <c r="C3" s="464"/>
      <c r="D3" s="464"/>
      <c r="E3" s="465"/>
      <c r="F3" s="464"/>
      <c r="G3" s="464"/>
      <c r="H3" s="464"/>
      <c r="I3" s="464"/>
      <c r="J3" s="464"/>
      <c r="K3" s="464"/>
      <c r="L3" s="464"/>
      <c r="M3" s="464"/>
      <c r="O3" s="466" t="s">
        <v>2</v>
      </c>
      <c r="P3" s="466"/>
    </row>
    <row r="4" s="470" customFormat="true" ht="36" hidden="false" customHeight="false" outlineLevel="0" collapsed="false">
      <c r="A4" s="467" t="s">
        <v>502</v>
      </c>
      <c r="B4" s="468" t="s">
        <v>503</v>
      </c>
      <c r="C4" s="468" t="s">
        <v>504</v>
      </c>
      <c r="D4" s="468" t="s">
        <v>505</v>
      </c>
      <c r="E4" s="468" t="s">
        <v>506</v>
      </c>
      <c r="F4" s="468" t="s">
        <v>507</v>
      </c>
      <c r="G4" s="468" t="s">
        <v>508</v>
      </c>
      <c r="H4" s="468" t="s">
        <v>509</v>
      </c>
      <c r="I4" s="468" t="s">
        <v>510</v>
      </c>
      <c r="J4" s="468" t="s">
        <v>511</v>
      </c>
      <c r="K4" s="468" t="s">
        <v>512</v>
      </c>
      <c r="L4" s="468" t="s">
        <v>513</v>
      </c>
      <c r="M4" s="468" t="s">
        <v>514</v>
      </c>
      <c r="N4" s="468" t="s">
        <v>259</v>
      </c>
      <c r="O4" s="468" t="s">
        <v>18</v>
      </c>
      <c r="P4" s="468" t="s">
        <v>19</v>
      </c>
      <c r="Q4" s="468" t="s">
        <v>515</v>
      </c>
      <c r="R4" s="469"/>
    </row>
    <row r="5" s="416" customFormat="true" ht="12.8" hidden="false" customHeight="false" outlineLevel="0" collapsed="false">
      <c r="A5" s="471" t="s">
        <v>35</v>
      </c>
      <c r="B5" s="472" t="n">
        <v>19454167</v>
      </c>
      <c r="C5" s="472"/>
      <c r="D5" s="472"/>
      <c r="E5" s="472"/>
      <c r="F5" s="472"/>
      <c r="G5" s="473"/>
      <c r="H5" s="472"/>
      <c r="I5" s="472"/>
      <c r="J5" s="472"/>
      <c r="K5" s="472"/>
      <c r="L5" s="472" t="n">
        <v>131514.24</v>
      </c>
      <c r="M5" s="472"/>
      <c r="N5" s="473" t="n">
        <f aca="false">SUM(B5:M5)</f>
        <v>19585681.24</v>
      </c>
      <c r="O5" s="472"/>
      <c r="P5" s="472"/>
      <c r="Q5" s="472" t="n">
        <f aca="false">N5+O5-P5</f>
        <v>19585681.24</v>
      </c>
      <c r="R5" s="474"/>
    </row>
    <row r="6" s="416" customFormat="true" ht="12.8" hidden="false" customHeight="false" outlineLevel="0" collapsed="false">
      <c r="A6" s="471" t="s">
        <v>36</v>
      </c>
      <c r="B6" s="472" t="n">
        <v>0</v>
      </c>
      <c r="C6" s="472"/>
      <c r="D6" s="472"/>
      <c r="E6" s="472"/>
      <c r="F6" s="472"/>
      <c r="G6" s="472"/>
      <c r="H6" s="472"/>
      <c r="I6" s="472"/>
      <c r="J6" s="472"/>
      <c r="K6" s="473"/>
      <c r="L6" s="473" t="n">
        <v>8650</v>
      </c>
      <c r="M6" s="473"/>
      <c r="N6" s="473" t="n">
        <f aca="false">SUM(B6:M6)</f>
        <v>8650</v>
      </c>
      <c r="O6" s="472"/>
      <c r="P6" s="472"/>
      <c r="Q6" s="472" t="n">
        <f aca="false">N6+O6-P6</f>
        <v>8650</v>
      </c>
      <c r="R6" s="474"/>
    </row>
    <row r="7" s="416" customFormat="true" ht="12.8" hidden="false" customHeight="false" outlineLevel="0" collapsed="false">
      <c r="A7" s="471" t="s">
        <v>37</v>
      </c>
      <c r="B7" s="472" t="n">
        <v>3119910.64</v>
      </c>
      <c r="C7" s="473"/>
      <c r="D7" s="473"/>
      <c r="E7" s="473"/>
      <c r="F7" s="473"/>
      <c r="G7" s="472"/>
      <c r="H7" s="472"/>
      <c r="I7" s="472"/>
      <c r="J7" s="472"/>
      <c r="K7" s="473"/>
      <c r="L7" s="473" t="n">
        <v>0</v>
      </c>
      <c r="M7" s="473"/>
      <c r="N7" s="473" t="n">
        <f aca="false">SUM(B7:M7)</f>
        <v>3119910.64</v>
      </c>
      <c r="O7" s="472"/>
      <c r="P7" s="472"/>
      <c r="Q7" s="472" t="n">
        <f aca="false">N7+O7-P7</f>
        <v>3119910.64</v>
      </c>
      <c r="R7" s="474"/>
    </row>
    <row r="8" s="416" customFormat="true" ht="12.8" hidden="false" customHeight="false" outlineLevel="0" collapsed="false">
      <c r="A8" s="471" t="s">
        <v>516</v>
      </c>
      <c r="B8" s="472" t="n">
        <v>14149502.39</v>
      </c>
      <c r="C8" s="472"/>
      <c r="D8" s="472"/>
      <c r="E8" s="473"/>
      <c r="F8" s="472"/>
      <c r="G8" s="472"/>
      <c r="H8" s="472"/>
      <c r="I8" s="472"/>
      <c r="J8" s="472"/>
      <c r="K8" s="472"/>
      <c r="L8" s="472" t="n">
        <f aca="false">140832.07</f>
        <v>140832.07</v>
      </c>
      <c r="M8" s="473"/>
      <c r="N8" s="473" t="n">
        <f aca="false">SUM(B8:M8)</f>
        <v>14290334.46</v>
      </c>
      <c r="O8" s="472"/>
      <c r="P8" s="472"/>
      <c r="Q8" s="472" t="n">
        <f aca="false">N8+O8-P8</f>
        <v>14290334.46</v>
      </c>
      <c r="R8" s="474"/>
    </row>
    <row r="9" s="416" customFormat="true" ht="12.8" hidden="false" customHeight="false" outlineLevel="0" collapsed="false">
      <c r="A9" s="471" t="s">
        <v>40</v>
      </c>
      <c r="B9" s="472" t="n">
        <v>37922671.16</v>
      </c>
      <c r="C9" s="473"/>
      <c r="D9" s="472"/>
      <c r="E9" s="472"/>
      <c r="F9" s="473"/>
      <c r="G9" s="472"/>
      <c r="H9" s="472"/>
      <c r="I9" s="472"/>
      <c r="J9" s="472"/>
      <c r="K9" s="473"/>
      <c r="L9" s="473" t="n">
        <v>834344.55</v>
      </c>
      <c r="M9" s="473"/>
      <c r="N9" s="473" t="n">
        <f aca="false">SUM(B9:M9)</f>
        <v>38757015.71</v>
      </c>
      <c r="O9" s="472"/>
      <c r="P9" s="472"/>
      <c r="Q9" s="472" t="n">
        <f aca="false">N9+O9-P9</f>
        <v>38757015.71</v>
      </c>
      <c r="R9" s="474"/>
    </row>
    <row r="10" s="416" customFormat="true" ht="12.8" hidden="false" customHeight="false" outlineLevel="0" collapsed="false">
      <c r="A10" s="471" t="s">
        <v>42</v>
      </c>
      <c r="B10" s="472" t="n">
        <f aca="false">200293.51+12006322.71</f>
        <v>12206616.22</v>
      </c>
      <c r="C10" s="472"/>
      <c r="D10" s="473"/>
      <c r="E10" s="473"/>
      <c r="F10" s="473"/>
      <c r="G10" s="472"/>
      <c r="H10" s="472"/>
      <c r="I10" s="472"/>
      <c r="J10" s="472"/>
      <c r="K10" s="472"/>
      <c r="L10" s="472" t="n">
        <v>39280.28</v>
      </c>
      <c r="M10" s="473"/>
      <c r="N10" s="473" t="n">
        <f aca="false">SUM(B10:M10)</f>
        <v>12245896.5</v>
      </c>
      <c r="O10" s="472"/>
      <c r="P10" s="472"/>
      <c r="Q10" s="472" t="n">
        <f aca="false">N10+O10-P10</f>
        <v>12245896.5</v>
      </c>
      <c r="R10" s="474"/>
    </row>
    <row r="11" s="416" customFormat="true" ht="12.8" hidden="false" customHeight="false" outlineLevel="0" collapsed="false">
      <c r="A11" s="471" t="s">
        <v>43</v>
      </c>
      <c r="B11" s="472" t="n">
        <v>5359703.67</v>
      </c>
      <c r="C11" s="472"/>
      <c r="D11" s="472"/>
      <c r="E11" s="472"/>
      <c r="F11" s="472"/>
      <c r="G11" s="472"/>
      <c r="H11" s="472"/>
      <c r="I11" s="472"/>
      <c r="J11" s="472"/>
      <c r="K11" s="472"/>
      <c r="L11" s="472" t="n">
        <v>66870.71</v>
      </c>
      <c r="M11" s="473"/>
      <c r="N11" s="473" t="n">
        <f aca="false">SUM(B11:M11)</f>
        <v>5426574.38</v>
      </c>
      <c r="O11" s="472"/>
      <c r="P11" s="472"/>
      <c r="Q11" s="472" t="n">
        <f aca="false">N11+O11-P11</f>
        <v>5426574.38</v>
      </c>
      <c r="R11" s="474"/>
    </row>
    <row r="12" s="416" customFormat="true" ht="12.8" hidden="false" customHeight="false" outlineLevel="0" collapsed="false">
      <c r="A12" s="471" t="s">
        <v>45</v>
      </c>
      <c r="B12" s="472" t="n">
        <v>1768202.74</v>
      </c>
      <c r="C12" s="473"/>
      <c r="D12" s="473"/>
      <c r="E12" s="473"/>
      <c r="F12" s="473"/>
      <c r="G12" s="472"/>
      <c r="H12" s="472"/>
      <c r="I12" s="472"/>
      <c r="J12" s="472"/>
      <c r="K12" s="472"/>
      <c r="L12" s="473" t="n">
        <v>-99777.93</v>
      </c>
      <c r="M12" s="473"/>
      <c r="N12" s="473" t="n">
        <f aca="false">SUM(B12:M12)</f>
        <v>1668424.81</v>
      </c>
      <c r="O12" s="472"/>
      <c r="P12" s="472"/>
      <c r="Q12" s="472" t="n">
        <f aca="false">N12+O12-P12</f>
        <v>1668424.81</v>
      </c>
      <c r="R12" s="474"/>
    </row>
    <row r="13" s="416" customFormat="true" ht="12.8" hidden="false" customHeight="false" outlineLevel="0" collapsed="false">
      <c r="A13" s="471" t="s">
        <v>46</v>
      </c>
      <c r="B13" s="472" t="n">
        <v>28373523.87</v>
      </c>
      <c r="C13" s="472"/>
      <c r="D13" s="473"/>
      <c r="E13" s="473"/>
      <c r="F13" s="473"/>
      <c r="G13" s="472"/>
      <c r="H13" s="472"/>
      <c r="I13" s="472"/>
      <c r="J13" s="472"/>
      <c r="K13" s="472"/>
      <c r="L13" s="473"/>
      <c r="M13" s="473"/>
      <c r="N13" s="473" t="n">
        <f aca="false">SUM(B13:M13)</f>
        <v>28373523.87</v>
      </c>
      <c r="O13" s="472"/>
      <c r="P13" s="472"/>
      <c r="Q13" s="472" t="n">
        <f aca="false">N13+O13-P13</f>
        <v>28373523.87</v>
      </c>
      <c r="R13" s="474"/>
    </row>
    <row r="14" s="416" customFormat="true" ht="12.8" hidden="false" customHeight="false" outlineLevel="0" collapsed="false">
      <c r="A14" s="471" t="s">
        <v>48</v>
      </c>
      <c r="B14" s="472" t="n">
        <v>4372325.96</v>
      </c>
      <c r="C14" s="472"/>
      <c r="D14" s="473"/>
      <c r="E14" s="473"/>
      <c r="F14" s="473"/>
      <c r="G14" s="472"/>
      <c r="H14" s="472"/>
      <c r="I14" s="472"/>
      <c r="J14" s="472"/>
      <c r="K14" s="473"/>
      <c r="L14" s="473"/>
      <c r="M14" s="473"/>
      <c r="N14" s="473" t="n">
        <f aca="false">SUM(B14:M14)</f>
        <v>4372325.96</v>
      </c>
      <c r="O14" s="472"/>
      <c r="P14" s="472"/>
      <c r="Q14" s="472" t="n">
        <f aca="false">N14+O14-P14</f>
        <v>4372325.96</v>
      </c>
      <c r="R14" s="474"/>
    </row>
    <row r="15" s="416" customFormat="true" ht="12.8" hidden="false" customHeight="false" outlineLevel="0" collapsed="false">
      <c r="A15" s="471" t="s">
        <v>49</v>
      </c>
      <c r="B15" s="472" t="n">
        <f aca="false">1983054.69+2416446.46+273347.49</f>
        <v>4672848.64</v>
      </c>
      <c r="C15" s="472"/>
      <c r="D15" s="473"/>
      <c r="E15" s="473"/>
      <c r="F15" s="473"/>
      <c r="G15" s="472"/>
      <c r="H15" s="472"/>
      <c r="I15" s="472"/>
      <c r="J15" s="472"/>
      <c r="K15" s="473"/>
      <c r="L15" s="472"/>
      <c r="M15" s="473"/>
      <c r="N15" s="473" t="n">
        <f aca="false">SUM(B15:M15)</f>
        <v>4672848.64</v>
      </c>
      <c r="O15" s="472"/>
      <c r="P15" s="472"/>
      <c r="Q15" s="472" t="n">
        <f aca="false">N15+O15-P15</f>
        <v>4672848.64</v>
      </c>
      <c r="R15" s="474"/>
    </row>
    <row r="16" s="416" customFormat="true" ht="12.8" hidden="false" customHeight="false" outlineLevel="0" collapsed="false">
      <c r="A16" s="471" t="s">
        <v>50</v>
      </c>
      <c r="B16" s="472" t="n">
        <v>181312838</v>
      </c>
      <c r="C16" s="472"/>
      <c r="D16" s="472"/>
      <c r="E16" s="473"/>
      <c r="F16" s="472"/>
      <c r="G16" s="472"/>
      <c r="H16" s="472"/>
      <c r="I16" s="472"/>
      <c r="J16" s="472"/>
      <c r="K16" s="472"/>
      <c r="L16" s="472" t="n">
        <v>401464.23</v>
      </c>
      <c r="M16" s="472"/>
      <c r="N16" s="473" t="n">
        <f aca="false">SUM(B16:M16)</f>
        <v>181714302.23</v>
      </c>
      <c r="O16" s="472"/>
      <c r="P16" s="472"/>
      <c r="Q16" s="472" t="n">
        <f aca="false">N16+O16-P16</f>
        <v>181714302.23</v>
      </c>
      <c r="R16" s="474"/>
    </row>
    <row r="17" s="416" customFormat="true" ht="12.8" hidden="false" customHeight="false" outlineLevel="0" collapsed="false">
      <c r="A17" s="471" t="s">
        <v>517</v>
      </c>
      <c r="B17" s="472" t="n">
        <v>-146560088.13</v>
      </c>
      <c r="C17" s="472"/>
      <c r="D17" s="472"/>
      <c r="E17" s="473"/>
      <c r="F17" s="472"/>
      <c r="G17" s="472"/>
      <c r="H17" s="472"/>
      <c r="I17" s="472"/>
      <c r="J17" s="472"/>
      <c r="K17" s="472"/>
      <c r="L17" s="475" t="n">
        <v>-213424.53</v>
      </c>
      <c r="M17" s="472"/>
      <c r="N17" s="473" t="n">
        <f aca="false">SUM(B17:M17)</f>
        <v>-146773512.66</v>
      </c>
      <c r="O17" s="472"/>
      <c r="P17" s="472"/>
      <c r="Q17" s="472" t="n">
        <f aca="false">N17+O17-P17</f>
        <v>-146773512.66</v>
      </c>
      <c r="R17" s="474"/>
    </row>
    <row r="18" s="416" customFormat="true" ht="12.8" hidden="false" customHeight="false" outlineLevel="0" collapsed="false">
      <c r="A18" s="471" t="s">
        <v>53</v>
      </c>
      <c r="B18" s="472" t="n">
        <v>953392.32</v>
      </c>
      <c r="C18" s="472"/>
      <c r="D18" s="473"/>
      <c r="E18" s="473"/>
      <c r="F18" s="473"/>
      <c r="G18" s="472"/>
      <c r="H18" s="472"/>
      <c r="I18" s="472"/>
      <c r="J18" s="473"/>
      <c r="K18" s="473"/>
      <c r="L18" s="473"/>
      <c r="M18" s="473"/>
      <c r="N18" s="473" t="n">
        <f aca="false">SUM(B18:M18)</f>
        <v>953392.32</v>
      </c>
      <c r="O18" s="472"/>
      <c r="P18" s="472"/>
      <c r="Q18" s="472" t="n">
        <f aca="false">N18+O18-P18</f>
        <v>953392.32</v>
      </c>
      <c r="R18" s="474"/>
    </row>
    <row r="19" s="416" customFormat="true" ht="12.8" hidden="false" customHeight="false" outlineLevel="0" collapsed="false">
      <c r="A19" s="471" t="s">
        <v>54</v>
      </c>
      <c r="B19" s="472" t="n">
        <v>6420022.09</v>
      </c>
      <c r="C19" s="472"/>
      <c r="D19" s="473"/>
      <c r="E19" s="473"/>
      <c r="F19" s="473"/>
      <c r="G19" s="472"/>
      <c r="H19" s="472"/>
      <c r="I19" s="472"/>
      <c r="J19" s="473"/>
      <c r="K19" s="473"/>
      <c r="L19" s="472"/>
      <c r="M19" s="473"/>
      <c r="N19" s="473" t="n">
        <f aca="false">SUM(B19:M19)</f>
        <v>6420022.09</v>
      </c>
      <c r="O19" s="472"/>
      <c r="P19" s="472"/>
      <c r="Q19" s="472" t="n">
        <f aca="false">N19+O19-P19</f>
        <v>6420022.09</v>
      </c>
      <c r="R19" s="474"/>
    </row>
    <row r="20" s="416" customFormat="true" ht="12.8" hidden="false" customHeight="false" outlineLevel="0" collapsed="false">
      <c r="A20" s="471" t="s">
        <v>56</v>
      </c>
      <c r="B20" s="472" t="n">
        <v>3079397.05</v>
      </c>
      <c r="C20" s="472"/>
      <c r="D20" s="473"/>
      <c r="E20" s="473"/>
      <c r="F20" s="473"/>
      <c r="G20" s="472"/>
      <c r="H20" s="472"/>
      <c r="I20" s="472"/>
      <c r="J20" s="473"/>
      <c r="K20" s="473"/>
      <c r="L20" s="473"/>
      <c r="M20" s="473"/>
      <c r="N20" s="473" t="n">
        <f aca="false">SUM(B20:M20)</f>
        <v>3079397.05</v>
      </c>
      <c r="O20" s="472"/>
      <c r="P20" s="472"/>
      <c r="Q20" s="472" t="n">
        <f aca="false">N20+O20-P20</f>
        <v>3079397.05</v>
      </c>
      <c r="R20" s="474"/>
    </row>
    <row r="21" s="416" customFormat="true" ht="12.8" hidden="false" customHeight="false" outlineLevel="0" collapsed="false">
      <c r="A21" s="471" t="s">
        <v>518</v>
      </c>
      <c r="B21" s="472" t="n">
        <v>42623206.11</v>
      </c>
      <c r="C21" s="473"/>
      <c r="D21" s="473"/>
      <c r="E21" s="473"/>
      <c r="F21" s="473"/>
      <c r="G21" s="472"/>
      <c r="H21" s="472"/>
      <c r="I21" s="472"/>
      <c r="J21" s="473"/>
      <c r="K21" s="473"/>
      <c r="L21" s="473"/>
      <c r="M21" s="473"/>
      <c r="N21" s="473" t="n">
        <f aca="false">SUM(B21:M21)</f>
        <v>42623206.11</v>
      </c>
      <c r="O21" s="472"/>
      <c r="P21" s="472"/>
      <c r="Q21" s="472" t="n">
        <f aca="false">N21+O21-P21</f>
        <v>42623206.11</v>
      </c>
      <c r="R21" s="474"/>
    </row>
    <row r="22" s="416" customFormat="true" ht="12.8" hidden="false" customHeight="false" outlineLevel="0" collapsed="false">
      <c r="A22" s="471" t="s">
        <v>519</v>
      </c>
      <c r="B22" s="472" t="n">
        <v>0</v>
      </c>
      <c r="C22" s="473"/>
      <c r="D22" s="473"/>
      <c r="E22" s="473"/>
      <c r="F22" s="473"/>
      <c r="G22" s="473"/>
      <c r="H22" s="473"/>
      <c r="I22" s="473"/>
      <c r="J22" s="473"/>
      <c r="K22" s="473"/>
      <c r="L22" s="473" t="n">
        <v>2112.98</v>
      </c>
      <c r="M22" s="473"/>
      <c r="N22" s="473" t="n">
        <f aca="false">SUM(B22:M22)</f>
        <v>2112.98</v>
      </c>
      <c r="O22" s="472"/>
      <c r="P22" s="472"/>
      <c r="Q22" s="472" t="n">
        <f aca="false">N22+O22-P22</f>
        <v>2112.98</v>
      </c>
      <c r="R22" s="474"/>
    </row>
    <row r="23" s="416" customFormat="true" ht="12.8" hidden="false" customHeight="false" outlineLevel="0" collapsed="false">
      <c r="A23" s="476" t="s">
        <v>520</v>
      </c>
      <c r="B23" s="477" t="n">
        <v>22545069.52</v>
      </c>
      <c r="C23" s="478"/>
      <c r="D23" s="478"/>
      <c r="E23" s="478"/>
      <c r="F23" s="478"/>
      <c r="G23" s="478"/>
      <c r="H23" s="478"/>
      <c r="I23" s="478"/>
      <c r="J23" s="478"/>
      <c r="K23" s="478"/>
      <c r="L23" s="478"/>
      <c r="M23" s="478"/>
      <c r="N23" s="473" t="n">
        <f aca="false">SUM(B23:M23)</f>
        <v>22545069.52</v>
      </c>
      <c r="O23" s="477"/>
      <c r="P23" s="477"/>
      <c r="Q23" s="472" t="n">
        <f aca="false">N23+O23-P23</f>
        <v>22545069.52</v>
      </c>
      <c r="R23" s="474"/>
    </row>
    <row r="24" s="416" customFormat="true" ht="12.8" hidden="false" customHeight="false" outlineLevel="0" collapsed="false">
      <c r="A24" s="476" t="s">
        <v>61</v>
      </c>
      <c r="B24" s="477" t="n">
        <v>-16213806.56</v>
      </c>
      <c r="C24" s="478"/>
      <c r="D24" s="478"/>
      <c r="E24" s="478"/>
      <c r="F24" s="478"/>
      <c r="G24" s="478"/>
      <c r="H24" s="478"/>
      <c r="I24" s="478"/>
      <c r="J24" s="478"/>
      <c r="K24" s="477"/>
      <c r="L24" s="478" t="n">
        <v>32440.74</v>
      </c>
      <c r="M24" s="478"/>
      <c r="N24" s="478" t="n">
        <f aca="false">SUM(B24:M24)</f>
        <v>-16181365.82</v>
      </c>
      <c r="O24" s="477"/>
      <c r="P24" s="477"/>
      <c r="Q24" s="477" t="n">
        <f aca="false">N24+O24-P24</f>
        <v>-16181365.82</v>
      </c>
      <c r="R24" s="474"/>
    </row>
    <row r="25" s="483" customFormat="true" ht="12.75" hidden="false" customHeight="false" outlineLevel="0" collapsed="false">
      <c r="A25" s="479" t="s">
        <v>63</v>
      </c>
      <c r="B25" s="480" t="n">
        <f aca="false">SUM(B5:B24)</f>
        <v>225559502.69</v>
      </c>
      <c r="C25" s="480" t="n">
        <f aca="false">SUM(C5:C24)</f>
        <v>0</v>
      </c>
      <c r="D25" s="480" t="n">
        <f aca="false">SUM(D5:D24)</f>
        <v>0</v>
      </c>
      <c r="E25" s="480" t="n">
        <f aca="false">SUM(E5:E24)</f>
        <v>0</v>
      </c>
      <c r="F25" s="480" t="n">
        <f aca="false">SUM(F5:F24)</f>
        <v>0</v>
      </c>
      <c r="G25" s="480" t="n">
        <f aca="false">SUM(G5:G24)</f>
        <v>0</v>
      </c>
      <c r="H25" s="480" t="n">
        <f aca="false">SUM(H5:H24)</f>
        <v>0</v>
      </c>
      <c r="I25" s="480" t="n">
        <f aca="false">SUM(I5:I24)</f>
        <v>0</v>
      </c>
      <c r="J25" s="480" t="n">
        <f aca="false">SUM(J5:J24)</f>
        <v>0</v>
      </c>
      <c r="K25" s="480" t="n">
        <f aca="false">SUM(K5:K24)</f>
        <v>0</v>
      </c>
      <c r="L25" s="480" t="n">
        <f aca="false">SUM(L5:L24)</f>
        <v>1344307.34</v>
      </c>
      <c r="M25" s="480" t="n">
        <f aca="false">SUM(M5:M24)</f>
        <v>0</v>
      </c>
      <c r="N25" s="480" t="n">
        <f aca="false">SUM(B25:M25)</f>
        <v>226903810.03</v>
      </c>
      <c r="O25" s="480" t="n">
        <f aca="false">+SUM(O5:O24)</f>
        <v>0</v>
      </c>
      <c r="P25" s="480" t="n">
        <f aca="false">+SUM(P5:P24)</f>
        <v>0</v>
      </c>
      <c r="Q25" s="481" t="n">
        <f aca="false">SUM(Q5:Q24)</f>
        <v>226903810.03</v>
      </c>
      <c r="R25" s="482"/>
    </row>
    <row r="26" s="416" customFormat="true" ht="12.8" hidden="false" customHeight="false" outlineLevel="0" collapsed="false">
      <c r="A26" s="484" t="s">
        <v>64</v>
      </c>
      <c r="B26" s="485" t="n">
        <v>0</v>
      </c>
      <c r="C26" s="486"/>
      <c r="D26" s="486"/>
      <c r="E26" s="486"/>
      <c r="F26" s="486"/>
      <c r="G26" s="486"/>
      <c r="H26" s="486"/>
      <c r="I26" s="486"/>
      <c r="J26" s="486"/>
      <c r="K26" s="485"/>
      <c r="L26" s="486"/>
      <c r="M26" s="486"/>
      <c r="N26" s="486" t="n">
        <f aca="false">SUM(B26:M26)</f>
        <v>0</v>
      </c>
      <c r="O26" s="485"/>
      <c r="P26" s="485"/>
      <c r="Q26" s="485" t="n">
        <f aca="false">N26-O26+P26</f>
        <v>0</v>
      </c>
      <c r="R26" s="487"/>
    </row>
    <row r="27" s="416" customFormat="true" ht="12.8" hidden="false" customHeight="false" outlineLevel="0" collapsed="false">
      <c r="A27" s="471" t="s">
        <v>65</v>
      </c>
      <c r="B27" s="472" t="n">
        <v>9876153</v>
      </c>
      <c r="C27" s="473"/>
      <c r="D27" s="473"/>
      <c r="E27" s="473"/>
      <c r="F27" s="473"/>
      <c r="G27" s="473"/>
      <c r="H27" s="473"/>
      <c r="I27" s="473"/>
      <c r="J27" s="473"/>
      <c r="K27" s="473"/>
      <c r="L27" s="473"/>
      <c r="M27" s="473"/>
      <c r="N27" s="473" t="n">
        <f aca="false">SUM(B27:M27)</f>
        <v>9876153</v>
      </c>
      <c r="O27" s="472"/>
      <c r="P27" s="472"/>
      <c r="Q27" s="472" t="n">
        <f aca="false">N27-O27+P27</f>
        <v>9876153</v>
      </c>
      <c r="R27" s="487"/>
    </row>
    <row r="28" s="416" customFormat="true" ht="12.8" hidden="false" customHeight="false" outlineLevel="0" collapsed="false">
      <c r="A28" s="471" t="s">
        <v>66</v>
      </c>
      <c r="B28" s="472" t="n">
        <v>3782673.72</v>
      </c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473"/>
      <c r="N28" s="473" t="n">
        <f aca="false">SUM(B28:M28)</f>
        <v>3782673.72</v>
      </c>
      <c r="O28" s="472"/>
      <c r="P28" s="472"/>
      <c r="Q28" s="472" t="n">
        <f aca="false">N28-O28+P28</f>
        <v>3782673.72</v>
      </c>
      <c r="R28" s="487"/>
    </row>
    <row r="29" s="416" customFormat="true" ht="12.8" hidden="false" customHeight="false" outlineLevel="0" collapsed="false">
      <c r="A29" s="471" t="s">
        <v>67</v>
      </c>
      <c r="B29" s="472" t="n">
        <f aca="false">26267063.41+1143928.53+1497827.89</f>
        <v>28908819.83</v>
      </c>
      <c r="C29" s="472"/>
      <c r="D29" s="472"/>
      <c r="E29" s="473"/>
      <c r="F29" s="473"/>
      <c r="G29" s="473"/>
      <c r="H29" s="473"/>
      <c r="I29" s="473"/>
      <c r="J29" s="473"/>
      <c r="K29" s="472"/>
      <c r="L29" s="472" t="n">
        <v>38046.5</v>
      </c>
      <c r="M29" s="472"/>
      <c r="N29" s="473" t="n">
        <f aca="false">SUM(B29:M29)</f>
        <v>28946866.33</v>
      </c>
      <c r="O29" s="472"/>
      <c r="P29" s="472"/>
      <c r="Q29" s="472" t="n">
        <f aca="false">N29-O29+P29</f>
        <v>28946866.33</v>
      </c>
      <c r="R29" s="487"/>
    </row>
    <row r="30" s="416" customFormat="true" ht="12.8" hidden="false" customHeight="false" outlineLevel="0" collapsed="false">
      <c r="A30" s="471" t="s">
        <v>68</v>
      </c>
      <c r="B30" s="472" t="n">
        <v>673963.26</v>
      </c>
      <c r="C30" s="472"/>
      <c r="D30" s="472"/>
      <c r="E30" s="473"/>
      <c r="F30" s="472"/>
      <c r="G30" s="473"/>
      <c r="H30" s="473"/>
      <c r="I30" s="473"/>
      <c r="J30" s="473"/>
      <c r="K30" s="472"/>
      <c r="L30" s="472" t="n">
        <v>658889.4</v>
      </c>
      <c r="M30" s="472"/>
      <c r="N30" s="473" t="n">
        <f aca="false">SUM(B30:M30)</f>
        <v>1332852.66</v>
      </c>
      <c r="O30" s="472"/>
      <c r="P30" s="472"/>
      <c r="Q30" s="472" t="n">
        <f aca="false">N30-O30+P30</f>
        <v>1332852.66</v>
      </c>
      <c r="R30" s="487"/>
    </row>
    <row r="31" s="416" customFormat="true" ht="12.8" hidden="false" customHeight="false" outlineLevel="0" collapsed="false">
      <c r="A31" s="471" t="s">
        <v>71</v>
      </c>
      <c r="B31" s="472" t="n">
        <f aca="false">608295.83+162449.66</f>
        <v>770745.49</v>
      </c>
      <c r="C31" s="473"/>
      <c r="D31" s="472"/>
      <c r="E31" s="473"/>
      <c r="F31" s="473"/>
      <c r="G31" s="473"/>
      <c r="H31" s="473"/>
      <c r="I31" s="473"/>
      <c r="J31" s="473"/>
      <c r="K31" s="472"/>
      <c r="L31" s="472" t="n">
        <v>56425.47</v>
      </c>
      <c r="M31" s="472"/>
      <c r="N31" s="473" t="n">
        <f aca="false">SUM(B31:M31)</f>
        <v>827170.96</v>
      </c>
      <c r="O31" s="472"/>
      <c r="P31" s="472"/>
      <c r="Q31" s="472" t="n">
        <f aca="false">N31-O31+P31</f>
        <v>827170.96</v>
      </c>
      <c r="R31" s="487"/>
    </row>
    <row r="32" s="416" customFormat="true" ht="12.8" hidden="false" customHeight="false" outlineLevel="0" collapsed="false">
      <c r="A32" s="471" t="s">
        <v>72</v>
      </c>
      <c r="B32" s="472" t="n">
        <v>6730775.36</v>
      </c>
      <c r="C32" s="472"/>
      <c r="D32" s="472"/>
      <c r="E32" s="472"/>
      <c r="F32" s="472"/>
      <c r="G32" s="473"/>
      <c r="H32" s="473"/>
      <c r="I32" s="473"/>
      <c r="J32" s="473"/>
      <c r="K32" s="473"/>
      <c r="L32" s="472" t="n">
        <v>3240.04</v>
      </c>
      <c r="M32" s="472"/>
      <c r="N32" s="473" t="n">
        <f aca="false">SUM(B32:M32)</f>
        <v>6734015.4</v>
      </c>
      <c r="O32" s="472"/>
      <c r="P32" s="472"/>
      <c r="Q32" s="472" t="n">
        <f aca="false">N32-O32+P32</f>
        <v>6734015.4</v>
      </c>
      <c r="R32" s="487"/>
    </row>
    <row r="33" s="416" customFormat="true" ht="12.8" hidden="false" customHeight="false" outlineLevel="0" collapsed="false">
      <c r="A33" s="471" t="s">
        <v>521</v>
      </c>
      <c r="B33" s="472" t="n">
        <v>200697.25</v>
      </c>
      <c r="C33" s="473"/>
      <c r="D33" s="473"/>
      <c r="E33" s="473"/>
      <c r="F33" s="473"/>
      <c r="G33" s="473"/>
      <c r="H33" s="473"/>
      <c r="I33" s="473"/>
      <c r="J33" s="473"/>
      <c r="K33" s="472"/>
      <c r="L33" s="473" t="n">
        <v>2235.05</v>
      </c>
      <c r="M33" s="473"/>
      <c r="N33" s="473" t="n">
        <f aca="false">SUM(B33:M33)</f>
        <v>202932.3</v>
      </c>
      <c r="O33" s="472"/>
      <c r="P33" s="472"/>
      <c r="Q33" s="472" t="n">
        <f aca="false">N33-O33+P33</f>
        <v>202932.3</v>
      </c>
      <c r="R33" s="487"/>
    </row>
    <row r="34" s="416" customFormat="true" ht="12.8" hidden="false" customHeight="false" outlineLevel="0" collapsed="false">
      <c r="A34" s="471" t="s">
        <v>75</v>
      </c>
      <c r="B34" s="472" t="n">
        <v>6204089.58</v>
      </c>
      <c r="C34" s="473"/>
      <c r="D34" s="472"/>
      <c r="E34" s="473"/>
      <c r="F34" s="473"/>
      <c r="G34" s="473"/>
      <c r="H34" s="473"/>
      <c r="I34" s="473"/>
      <c r="J34" s="473"/>
      <c r="K34" s="472"/>
      <c r="L34" s="472" t="n">
        <v>90977.53</v>
      </c>
      <c r="M34" s="472"/>
      <c r="N34" s="473" t="n">
        <f aca="false">SUM(B34:M34)</f>
        <v>6295067.11</v>
      </c>
      <c r="O34" s="472"/>
      <c r="P34" s="472"/>
      <c r="Q34" s="472" t="n">
        <f aca="false">N34-O34+P34</f>
        <v>6295067.11</v>
      </c>
      <c r="R34" s="487"/>
    </row>
    <row r="35" s="416" customFormat="true" ht="12.8" hidden="false" customHeight="false" outlineLevel="0" collapsed="false">
      <c r="A35" s="471" t="s">
        <v>522</v>
      </c>
      <c r="B35" s="472" t="n">
        <v>1574194.54</v>
      </c>
      <c r="C35" s="473"/>
      <c r="D35" s="472"/>
      <c r="E35" s="473"/>
      <c r="F35" s="473"/>
      <c r="G35" s="473"/>
      <c r="H35" s="473"/>
      <c r="I35" s="473"/>
      <c r="J35" s="473"/>
      <c r="K35" s="472"/>
      <c r="L35" s="472"/>
      <c r="M35" s="472"/>
      <c r="N35" s="473" t="n">
        <f aca="false">SUM(B35:M35)</f>
        <v>1574194.54</v>
      </c>
      <c r="O35" s="472"/>
      <c r="P35" s="472"/>
      <c r="Q35" s="472" t="n">
        <f aca="false">N35-O35+P35</f>
        <v>1574194.54</v>
      </c>
      <c r="R35" s="487"/>
    </row>
    <row r="36" s="416" customFormat="true" ht="12.8" hidden="false" customHeight="false" outlineLevel="0" collapsed="false">
      <c r="A36" s="471" t="s">
        <v>523</v>
      </c>
      <c r="B36" s="472" t="n">
        <v>0</v>
      </c>
      <c r="C36" s="473"/>
      <c r="D36" s="472"/>
      <c r="E36" s="473"/>
      <c r="F36" s="473"/>
      <c r="G36" s="473"/>
      <c r="H36" s="473"/>
      <c r="I36" s="473"/>
      <c r="J36" s="473"/>
      <c r="K36" s="472"/>
      <c r="L36" s="472"/>
      <c r="M36" s="472"/>
      <c r="N36" s="473" t="n">
        <f aca="false">SUM(B36:M36)</f>
        <v>0</v>
      </c>
      <c r="O36" s="472"/>
      <c r="P36" s="472"/>
      <c r="Q36" s="472" t="n">
        <f aca="false">N36-O36+P36</f>
        <v>0</v>
      </c>
      <c r="R36" s="459"/>
    </row>
    <row r="37" s="416" customFormat="true" ht="12.8" hidden="false" customHeight="false" outlineLevel="0" collapsed="false">
      <c r="A37" s="471" t="s">
        <v>524</v>
      </c>
      <c r="B37" s="472" t="n">
        <v>8303509.86</v>
      </c>
      <c r="C37" s="473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 t="n">
        <f aca="false">SUM(B37:M37)</f>
        <v>8303509.86</v>
      </c>
      <c r="O37" s="472"/>
      <c r="P37" s="472"/>
      <c r="Q37" s="472" t="n">
        <f aca="false">N37-O37+P37</f>
        <v>8303509.86</v>
      </c>
      <c r="R37" s="487"/>
    </row>
    <row r="38" s="416" customFormat="true" ht="12.8" hidden="false" customHeight="false" outlineLevel="0" collapsed="false">
      <c r="A38" s="471" t="s">
        <v>525</v>
      </c>
      <c r="B38" s="472" t="n">
        <v>0</v>
      </c>
      <c r="C38" s="473"/>
      <c r="D38" s="473"/>
      <c r="E38" s="473"/>
      <c r="F38" s="473"/>
      <c r="G38" s="473"/>
      <c r="H38" s="473"/>
      <c r="I38" s="473"/>
      <c r="J38" s="473"/>
      <c r="K38" s="473"/>
      <c r="L38" s="473"/>
      <c r="M38" s="473"/>
      <c r="N38" s="473" t="n">
        <f aca="false">SUM(B38:M38)</f>
        <v>0</v>
      </c>
      <c r="O38" s="472"/>
      <c r="P38" s="472"/>
      <c r="Q38" s="472" t="n">
        <f aca="false">N38-O38+P38</f>
        <v>0</v>
      </c>
      <c r="R38" s="487"/>
    </row>
    <row r="39" s="416" customFormat="true" ht="12.8" hidden="false" customHeight="false" outlineLevel="0" collapsed="false">
      <c r="A39" s="471" t="s">
        <v>79</v>
      </c>
      <c r="B39" s="472" t="n">
        <v>2535062.43</v>
      </c>
      <c r="C39" s="473"/>
      <c r="D39" s="473"/>
      <c r="E39" s="473"/>
      <c r="F39" s="473"/>
      <c r="G39" s="473"/>
      <c r="H39" s="473"/>
      <c r="I39" s="473"/>
      <c r="J39" s="473"/>
      <c r="K39" s="473"/>
      <c r="L39" s="473"/>
      <c r="M39" s="473"/>
      <c r="N39" s="473" t="n">
        <f aca="false">SUM(B39:M39)</f>
        <v>2535062.43</v>
      </c>
      <c r="O39" s="472"/>
      <c r="P39" s="472"/>
      <c r="Q39" s="472" t="n">
        <f aca="false">N39-O39+P39</f>
        <v>2535062.43</v>
      </c>
      <c r="R39" s="487"/>
    </row>
    <row r="40" s="416" customFormat="true" ht="12.8" hidden="false" customHeight="false" outlineLevel="0" collapsed="false">
      <c r="A40" s="471" t="s">
        <v>80</v>
      </c>
      <c r="B40" s="472" t="n">
        <v>26543204.61</v>
      </c>
      <c r="C40" s="472"/>
      <c r="D40" s="472"/>
      <c r="E40" s="473"/>
      <c r="F40" s="473"/>
      <c r="G40" s="473"/>
      <c r="H40" s="473"/>
      <c r="I40" s="473"/>
      <c r="J40" s="473"/>
      <c r="K40" s="472"/>
      <c r="L40" s="472"/>
      <c r="M40" s="472"/>
      <c r="N40" s="473" t="n">
        <f aca="false">SUM(B40:M40)</f>
        <v>26543204.61</v>
      </c>
      <c r="O40" s="472"/>
      <c r="P40" s="472"/>
      <c r="Q40" s="472" t="n">
        <f aca="false">N40-O40+P40</f>
        <v>26543204.61</v>
      </c>
      <c r="R40" s="487"/>
    </row>
    <row r="41" s="416" customFormat="true" ht="12.8" hidden="false" customHeight="false" outlineLevel="0" collapsed="false">
      <c r="A41" s="471" t="s">
        <v>81</v>
      </c>
      <c r="B41" s="472" t="n">
        <v>3666071.47</v>
      </c>
      <c r="C41" s="473"/>
      <c r="D41" s="473"/>
      <c r="E41" s="473"/>
      <c r="F41" s="473"/>
      <c r="G41" s="473"/>
      <c r="H41" s="473"/>
      <c r="I41" s="473"/>
      <c r="J41" s="473"/>
      <c r="K41" s="473"/>
      <c r="L41" s="473"/>
      <c r="M41" s="473"/>
      <c r="N41" s="473" t="n">
        <f aca="false">SUM(B41:M41)</f>
        <v>3666071.47</v>
      </c>
      <c r="O41" s="472"/>
      <c r="P41" s="472"/>
      <c r="Q41" s="472" t="n">
        <f aca="false">N41-O41+P41</f>
        <v>3666071.47</v>
      </c>
      <c r="R41" s="487"/>
    </row>
    <row r="42" s="416" customFormat="true" ht="12.8" hidden="false" customHeight="false" outlineLevel="0" collapsed="false">
      <c r="A42" s="471" t="s">
        <v>526</v>
      </c>
      <c r="B42" s="472" t="n">
        <v>7193981.22</v>
      </c>
      <c r="C42" s="473"/>
      <c r="D42" s="473"/>
      <c r="E42" s="473"/>
      <c r="F42" s="473"/>
      <c r="G42" s="473"/>
      <c r="H42" s="473"/>
      <c r="I42" s="473"/>
      <c r="J42" s="473"/>
      <c r="K42" s="473"/>
      <c r="L42" s="472"/>
      <c r="M42" s="473"/>
      <c r="N42" s="473" t="n">
        <f aca="false">SUM(B42:M42)</f>
        <v>7193981.22</v>
      </c>
      <c r="O42" s="472"/>
      <c r="P42" s="472"/>
      <c r="Q42" s="472" t="n">
        <f aca="false">N42-O42+P42</f>
        <v>7193981.22</v>
      </c>
      <c r="R42" s="487"/>
    </row>
    <row r="43" s="416" customFormat="true" ht="12.8" hidden="false" customHeight="false" outlineLevel="0" collapsed="false">
      <c r="A43" s="471" t="s">
        <v>527</v>
      </c>
      <c r="B43" s="472" t="n">
        <v>2542450.66</v>
      </c>
      <c r="C43" s="473"/>
      <c r="D43" s="473"/>
      <c r="E43" s="473"/>
      <c r="F43" s="473"/>
      <c r="G43" s="473"/>
      <c r="H43" s="473"/>
      <c r="I43" s="473"/>
      <c r="J43" s="473"/>
      <c r="K43" s="473"/>
      <c r="L43" s="472"/>
      <c r="M43" s="473"/>
      <c r="N43" s="473" t="n">
        <f aca="false">SUM(B43:M43)</f>
        <v>2542450.66</v>
      </c>
      <c r="O43" s="472"/>
      <c r="P43" s="472"/>
      <c r="Q43" s="472" t="n">
        <f aca="false">N43-O43+P43</f>
        <v>2542450.66</v>
      </c>
      <c r="R43" s="487"/>
    </row>
    <row r="44" s="416" customFormat="true" ht="12.8" hidden="false" customHeight="false" outlineLevel="0" collapsed="false">
      <c r="A44" s="471" t="s">
        <v>521</v>
      </c>
      <c r="B44" s="472" t="n">
        <v>16083778.21</v>
      </c>
      <c r="C44" s="473"/>
      <c r="D44" s="473"/>
      <c r="E44" s="473"/>
      <c r="F44" s="473"/>
      <c r="G44" s="473"/>
      <c r="H44" s="473"/>
      <c r="I44" s="473"/>
      <c r="J44" s="473"/>
      <c r="K44" s="473"/>
      <c r="L44" s="473"/>
      <c r="M44" s="473"/>
      <c r="N44" s="473" t="n">
        <f aca="false">SUM(B44:M44)</f>
        <v>16083778.21</v>
      </c>
      <c r="O44" s="472"/>
      <c r="P44" s="472"/>
      <c r="Q44" s="472" t="n">
        <f aca="false">N44-O44+P44</f>
        <v>16083778.21</v>
      </c>
      <c r="R44" s="487"/>
    </row>
    <row r="45" s="416" customFormat="true" ht="12.8" hidden="false" customHeight="false" outlineLevel="0" collapsed="false">
      <c r="A45" s="476" t="s">
        <v>523</v>
      </c>
      <c r="B45" s="477" t="n">
        <v>0</v>
      </c>
      <c r="C45" s="478"/>
      <c r="D45" s="478"/>
      <c r="E45" s="478"/>
      <c r="F45" s="478"/>
      <c r="G45" s="478"/>
      <c r="H45" s="478"/>
      <c r="I45" s="478"/>
      <c r="J45" s="478"/>
      <c r="K45" s="478"/>
      <c r="L45" s="478"/>
      <c r="M45" s="478"/>
      <c r="N45" s="478" t="n">
        <f aca="false">SUM(B45:M45)</f>
        <v>0</v>
      </c>
      <c r="O45" s="477"/>
      <c r="P45" s="477"/>
      <c r="Q45" s="477" t="n">
        <f aca="false">N45-O45+P45</f>
        <v>0</v>
      </c>
      <c r="R45" s="487"/>
    </row>
    <row r="46" s="488" customFormat="true" ht="12.8" hidden="false" customHeight="false" outlineLevel="0" collapsed="false">
      <c r="A46" s="479" t="s">
        <v>86</v>
      </c>
      <c r="B46" s="480" t="n">
        <f aca="false">SUM(B26:B45)</f>
        <v>125590170.49</v>
      </c>
      <c r="C46" s="480" t="n">
        <f aca="false">SUM(C26:C45)</f>
        <v>0</v>
      </c>
      <c r="D46" s="480" t="n">
        <f aca="false">SUM(D26:D45)</f>
        <v>0</v>
      </c>
      <c r="E46" s="480" t="n">
        <f aca="false">SUM(E26:E45)</f>
        <v>0</v>
      </c>
      <c r="F46" s="480" t="n">
        <f aca="false">SUM(F26:F45)</f>
        <v>0</v>
      </c>
      <c r="G46" s="480" t="n">
        <f aca="false">SUM(G26:G45)</f>
        <v>0</v>
      </c>
      <c r="H46" s="480" t="n">
        <f aca="false">SUM(H26:H45)</f>
        <v>0</v>
      </c>
      <c r="I46" s="480" t="n">
        <f aca="false">SUM(I26:I45)</f>
        <v>0</v>
      </c>
      <c r="J46" s="480" t="n">
        <f aca="false">SUM(J26:J45)</f>
        <v>0</v>
      </c>
      <c r="K46" s="480" t="n">
        <f aca="false">SUM(K26:K45)</f>
        <v>0</v>
      </c>
      <c r="L46" s="480" t="n">
        <f aca="false">SUM(L26:L45)</f>
        <v>849813.99</v>
      </c>
      <c r="M46" s="480" t="n">
        <f aca="false">SUM(M26:M45)</f>
        <v>0</v>
      </c>
      <c r="N46" s="480" t="n">
        <f aca="false">SUM(N26:N45)</f>
        <v>126439984.48</v>
      </c>
      <c r="O46" s="480" t="n">
        <f aca="false">SUM(O26:O45)</f>
        <v>0</v>
      </c>
      <c r="P46" s="480" t="n">
        <f aca="false">SUM(P26:P45)</f>
        <v>0</v>
      </c>
      <c r="Q46" s="481" t="n">
        <f aca="false">SUM(Q26:Q45)</f>
        <v>126439984.48</v>
      </c>
      <c r="R46" s="469"/>
    </row>
    <row r="47" s="416" customFormat="true" ht="12.8" hidden="false" customHeight="false" outlineLevel="0" collapsed="false">
      <c r="A47" s="484" t="s">
        <v>87</v>
      </c>
      <c r="B47" s="485" t="n">
        <v>21629181.18</v>
      </c>
      <c r="C47" s="489"/>
      <c r="D47" s="489"/>
      <c r="E47" s="489"/>
      <c r="F47" s="485"/>
      <c r="G47" s="485"/>
      <c r="H47" s="485"/>
      <c r="I47" s="485"/>
      <c r="J47" s="485"/>
      <c r="K47" s="486"/>
      <c r="L47" s="485" t="n">
        <v>3661400</v>
      </c>
      <c r="M47" s="485"/>
      <c r="N47" s="486" t="n">
        <f aca="false">SUM(B47:M47)</f>
        <v>25290581.18</v>
      </c>
      <c r="O47" s="485"/>
      <c r="P47" s="485"/>
      <c r="Q47" s="485" t="n">
        <f aca="false">N47-O47+P47</f>
        <v>25290581.18</v>
      </c>
      <c r="R47" s="459"/>
    </row>
    <row r="48" s="416" customFormat="true" ht="12.8" hidden="false" customHeight="false" outlineLevel="0" collapsed="false">
      <c r="A48" s="471" t="s">
        <v>88</v>
      </c>
      <c r="B48" s="472" t="n">
        <v>920.74</v>
      </c>
      <c r="C48" s="490"/>
      <c r="D48" s="490"/>
      <c r="E48" s="472"/>
      <c r="F48" s="472"/>
      <c r="G48" s="472"/>
      <c r="H48" s="472"/>
      <c r="I48" s="472"/>
      <c r="J48" s="472"/>
      <c r="K48" s="472"/>
      <c r="L48" s="472" t="n">
        <v>406799.86</v>
      </c>
      <c r="M48" s="473"/>
      <c r="N48" s="473" t="n">
        <f aca="false">SUM(B48:M48)</f>
        <v>407720.6</v>
      </c>
      <c r="O48" s="472"/>
      <c r="P48" s="472"/>
      <c r="Q48" s="472" t="n">
        <f aca="false">N48-O48+P48</f>
        <v>407720.6</v>
      </c>
      <c r="R48" s="459"/>
    </row>
    <row r="49" s="416" customFormat="true" ht="12.8" hidden="false" customHeight="false" outlineLevel="0" collapsed="false">
      <c r="A49" s="471" t="s">
        <v>90</v>
      </c>
      <c r="B49" s="473" t="n">
        <v>6397230.37</v>
      </c>
      <c r="C49" s="472"/>
      <c r="D49" s="472"/>
      <c r="E49" s="490"/>
      <c r="F49" s="472"/>
      <c r="G49" s="472"/>
      <c r="H49" s="472"/>
      <c r="I49" s="472"/>
      <c r="J49" s="472"/>
      <c r="K49" s="472"/>
      <c r="L49" s="472" t="n">
        <v>104043.49</v>
      </c>
      <c r="M49" s="473"/>
      <c r="N49" s="473" t="n">
        <f aca="false">SUM(B49:M49)</f>
        <v>6501273.86</v>
      </c>
      <c r="O49" s="472"/>
      <c r="P49" s="472"/>
      <c r="Q49" s="472" t="n">
        <f aca="false">N49-O49+P49</f>
        <v>6501273.86</v>
      </c>
      <c r="R49" s="459"/>
    </row>
    <row r="50" s="416" customFormat="true" ht="12.8" hidden="false" customHeight="false" outlineLevel="0" collapsed="false">
      <c r="A50" s="471" t="s">
        <v>91</v>
      </c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3"/>
      <c r="N50" s="473" t="n">
        <f aca="false">SUM(B50:M50)</f>
        <v>0</v>
      </c>
      <c r="O50" s="472"/>
      <c r="P50" s="472"/>
      <c r="Q50" s="472" t="n">
        <f aca="false">N50-O50+P50</f>
        <v>0</v>
      </c>
      <c r="R50" s="459"/>
    </row>
    <row r="51" s="416" customFormat="true" ht="12.8" hidden="false" customHeight="false" outlineLevel="0" collapsed="false">
      <c r="A51" s="471" t="s">
        <v>92</v>
      </c>
      <c r="B51" s="472"/>
      <c r="C51" s="472"/>
      <c r="D51" s="472"/>
      <c r="E51" s="472"/>
      <c r="F51" s="472"/>
      <c r="G51" s="472"/>
      <c r="H51" s="472"/>
      <c r="I51" s="472"/>
      <c r="J51" s="472"/>
      <c r="K51" s="472"/>
      <c r="L51" s="472"/>
      <c r="M51" s="473"/>
      <c r="N51" s="473" t="n">
        <f aca="false">SUM(B51:M51)</f>
        <v>0</v>
      </c>
      <c r="O51" s="472"/>
      <c r="P51" s="472"/>
      <c r="Q51" s="472" t="n">
        <f aca="false">N51-O51+P51</f>
        <v>0</v>
      </c>
      <c r="R51" s="459"/>
    </row>
    <row r="52" s="416" customFormat="true" ht="12.8" hidden="false" customHeight="false" outlineLevel="0" collapsed="false">
      <c r="A52" s="471" t="s">
        <v>94</v>
      </c>
      <c r="B52" s="472" t="n">
        <v>43768255.31</v>
      </c>
      <c r="C52" s="473"/>
      <c r="D52" s="472"/>
      <c r="E52" s="472"/>
      <c r="F52" s="472"/>
      <c r="G52" s="472"/>
      <c r="H52" s="472"/>
      <c r="I52" s="472"/>
      <c r="J52" s="472"/>
      <c r="K52" s="472"/>
      <c r="L52" s="472" t="n">
        <v>150408.58</v>
      </c>
      <c r="M52" s="473"/>
      <c r="N52" s="473" t="n">
        <f aca="false">SUM(B52:M52)</f>
        <v>43918663.89</v>
      </c>
      <c r="O52" s="472"/>
      <c r="P52" s="472"/>
      <c r="Q52" s="472" t="n">
        <f aca="false">N52-O52+P52</f>
        <v>43918663.89</v>
      </c>
      <c r="R52" s="459"/>
    </row>
    <row r="53" s="416" customFormat="true" ht="12.8" hidden="false" customHeight="false" outlineLevel="0" collapsed="false">
      <c r="A53" s="471" t="s">
        <v>528</v>
      </c>
      <c r="B53" s="472"/>
      <c r="C53" s="473"/>
      <c r="D53" s="472"/>
      <c r="E53" s="472"/>
      <c r="F53" s="472"/>
      <c r="G53" s="472"/>
      <c r="H53" s="472"/>
      <c r="I53" s="472"/>
      <c r="J53" s="472"/>
      <c r="K53" s="472"/>
      <c r="L53" s="472" t="n">
        <v>202047.26</v>
      </c>
      <c r="M53" s="473"/>
      <c r="N53" s="473" t="n">
        <f aca="false">SUM(B53:M53)</f>
        <v>202047.26</v>
      </c>
      <c r="O53" s="472"/>
      <c r="P53" s="472"/>
      <c r="Q53" s="472" t="n">
        <f aca="false">N53-O53+P53</f>
        <v>202047.26</v>
      </c>
      <c r="R53" s="459"/>
    </row>
    <row r="54" s="416" customFormat="true" ht="12.8" hidden="false" customHeight="false" outlineLevel="0" collapsed="false">
      <c r="A54" s="471" t="s">
        <v>93</v>
      </c>
      <c r="B54" s="473" t="n">
        <v>-3202431</v>
      </c>
      <c r="C54" s="472"/>
      <c r="D54" s="472"/>
      <c r="E54" s="472"/>
      <c r="F54" s="472"/>
      <c r="G54" s="472"/>
      <c r="H54" s="472"/>
      <c r="I54" s="472"/>
      <c r="J54" s="472"/>
      <c r="K54" s="472"/>
      <c r="L54" s="472" t="n">
        <v>-56932.01</v>
      </c>
      <c r="M54" s="473"/>
      <c r="N54" s="473" t="n">
        <f aca="false">SUM(B54:M54)</f>
        <v>-3259363.01</v>
      </c>
      <c r="O54" s="472"/>
      <c r="P54" s="472"/>
      <c r="Q54" s="472" t="n">
        <f aca="false">N54-O54+P54</f>
        <v>-3259363.01</v>
      </c>
      <c r="R54" s="459"/>
    </row>
    <row r="55" s="416" customFormat="true" ht="12.8" hidden="false" customHeight="false" outlineLevel="0" collapsed="false">
      <c r="A55" s="471" t="s">
        <v>95</v>
      </c>
      <c r="B55" s="472" t="n">
        <f aca="false">B73</f>
        <v>31376175.6</v>
      </c>
      <c r="C55" s="490"/>
      <c r="D55" s="490"/>
      <c r="E55" s="490"/>
      <c r="F55" s="472"/>
      <c r="G55" s="472"/>
      <c r="H55" s="472"/>
      <c r="I55" s="472"/>
      <c r="J55" s="472"/>
      <c r="K55" s="473"/>
      <c r="L55" s="472" t="n">
        <v>-3973273.83</v>
      </c>
      <c r="M55" s="472"/>
      <c r="N55" s="473" t="n">
        <f aca="false">SUM(B55:M55)</f>
        <v>27402901.77</v>
      </c>
      <c r="O55" s="472"/>
      <c r="P55" s="472"/>
      <c r="Q55" s="472" t="n">
        <f aca="false">N55-O55+P55</f>
        <v>27402901.77</v>
      </c>
      <c r="R55" s="459"/>
    </row>
    <row r="56" s="416" customFormat="true" ht="12.8" hidden="false" customHeight="false" outlineLevel="0" collapsed="false">
      <c r="A56" s="476" t="s">
        <v>529</v>
      </c>
      <c r="B56" s="477"/>
      <c r="C56" s="491"/>
      <c r="D56" s="491"/>
      <c r="E56" s="491"/>
      <c r="F56" s="477"/>
      <c r="G56" s="477"/>
      <c r="H56" s="477"/>
      <c r="I56" s="477"/>
      <c r="J56" s="477"/>
      <c r="K56" s="478"/>
      <c r="L56" s="477"/>
      <c r="M56" s="477"/>
      <c r="N56" s="478" t="n">
        <v>0</v>
      </c>
      <c r="O56" s="477"/>
      <c r="P56" s="477"/>
      <c r="Q56" s="477" t="n">
        <f aca="false">N56-O56+P56</f>
        <v>0</v>
      </c>
      <c r="R56" s="459"/>
    </row>
    <row r="57" s="488" customFormat="true" ht="12.8" hidden="false" customHeight="false" outlineLevel="0" collapsed="false">
      <c r="A57" s="479" t="s">
        <v>100</v>
      </c>
      <c r="B57" s="480" t="n">
        <f aca="false">SUM(B47:B56)</f>
        <v>99969332.2</v>
      </c>
      <c r="C57" s="480" t="n">
        <f aca="false">SUM(C47:C55)</f>
        <v>0</v>
      </c>
      <c r="D57" s="480" t="n">
        <f aca="false">SUM(D47:D56)</f>
        <v>0</v>
      </c>
      <c r="E57" s="480" t="n">
        <f aca="false">SUM(E47:E56)</f>
        <v>0</v>
      </c>
      <c r="F57" s="480" t="n">
        <f aca="false">SUM(F47:F56)</f>
        <v>0</v>
      </c>
      <c r="G57" s="480" t="n">
        <f aca="false">SUM(G47:G56)</f>
        <v>0</v>
      </c>
      <c r="H57" s="480" t="n">
        <f aca="false">SUM(H47:H56)</f>
        <v>0</v>
      </c>
      <c r="I57" s="480" t="n">
        <f aca="false">SUM(I47:I56)</f>
        <v>0</v>
      </c>
      <c r="J57" s="480" t="n">
        <f aca="false">SUM(J47:J56)</f>
        <v>0</v>
      </c>
      <c r="K57" s="480" t="n">
        <f aca="false">SUM(K47:K56)</f>
        <v>0</v>
      </c>
      <c r="L57" s="480" t="n">
        <f aca="false">SUM(L47:L56)</f>
        <v>494493.35</v>
      </c>
      <c r="M57" s="480" t="n">
        <f aca="false">SUM(M47:M56)</f>
        <v>0</v>
      </c>
      <c r="N57" s="480" t="n">
        <f aca="false">SUM(N47:N56)</f>
        <v>100463825.55</v>
      </c>
      <c r="O57" s="480" t="n">
        <f aca="false">SUM(O47:O56)</f>
        <v>0</v>
      </c>
      <c r="P57" s="480" t="n">
        <f aca="false">SUM(P47:P56)</f>
        <v>0</v>
      </c>
      <c r="Q57" s="481" t="n">
        <f aca="false">SUM(Q47:Q56)</f>
        <v>100463825.55</v>
      </c>
      <c r="R57" s="469"/>
    </row>
    <row r="58" s="422" customFormat="true" ht="12.8" hidden="false" customHeight="false" outlineLevel="0" collapsed="false">
      <c r="A58" s="492"/>
      <c r="B58" s="493" t="n">
        <f aca="false">+B25-B46-B57</f>
        <v>0</v>
      </c>
      <c r="C58" s="493" t="n">
        <f aca="false">+C25-C46-C57</f>
        <v>0</v>
      </c>
      <c r="D58" s="493" t="n">
        <f aca="false">+D25-D46-D57</f>
        <v>0</v>
      </c>
      <c r="E58" s="493" t="n">
        <f aca="false">+E25-E46-E57</f>
        <v>0</v>
      </c>
      <c r="F58" s="493" t="n">
        <f aca="false">+F25-F46-F57</f>
        <v>0</v>
      </c>
      <c r="G58" s="493" t="n">
        <f aca="false">+G25-G46-G57</f>
        <v>0</v>
      </c>
      <c r="H58" s="493" t="n">
        <f aca="false">+H25-H46-H57</f>
        <v>0</v>
      </c>
      <c r="I58" s="493" t="n">
        <f aca="false">+I25-I46-I57</f>
        <v>0</v>
      </c>
      <c r="J58" s="493" t="n">
        <f aca="false">+J25-J46-J57</f>
        <v>0</v>
      </c>
      <c r="K58" s="493" t="n">
        <f aca="false">+K25-K46-K57</f>
        <v>0</v>
      </c>
      <c r="L58" s="494" t="n">
        <f aca="false">+L25-L46-L57</f>
        <v>0</v>
      </c>
      <c r="M58" s="493" t="n">
        <f aca="false">+M25-M46-M57</f>
        <v>0</v>
      </c>
      <c r="N58" s="493"/>
      <c r="O58" s="495"/>
      <c r="P58" s="495"/>
      <c r="Q58" s="496"/>
      <c r="R58" s="459"/>
      <c r="S58" s="497"/>
    </row>
    <row r="59" s="422" customFormat="true" ht="12.8" hidden="false" customHeight="false" outlineLevel="0" collapsed="false">
      <c r="A59" s="492"/>
      <c r="B59" s="498"/>
      <c r="C59" s="498"/>
      <c r="D59" s="498"/>
      <c r="E59" s="498"/>
      <c r="F59" s="498"/>
      <c r="G59" s="498"/>
      <c r="H59" s="498"/>
      <c r="I59" s="498"/>
      <c r="J59" s="498"/>
      <c r="K59" s="498"/>
      <c r="L59" s="498"/>
      <c r="M59" s="498"/>
      <c r="N59" s="498"/>
      <c r="O59" s="499"/>
      <c r="P59" s="500"/>
      <c r="Q59" s="501"/>
      <c r="R59" s="459"/>
      <c r="S59" s="497"/>
    </row>
    <row r="60" s="470" customFormat="true" ht="32.8" hidden="false" customHeight="false" outlineLevel="0" collapsed="false">
      <c r="A60" s="467" t="s">
        <v>530</v>
      </c>
      <c r="B60" s="468" t="s">
        <v>503</v>
      </c>
      <c r="C60" s="468" t="s">
        <v>504</v>
      </c>
      <c r="D60" s="468" t="s">
        <v>505</v>
      </c>
      <c r="E60" s="468" t="s">
        <v>506</v>
      </c>
      <c r="F60" s="468" t="s">
        <v>507</v>
      </c>
      <c r="G60" s="468" t="s">
        <v>508</v>
      </c>
      <c r="H60" s="468" t="s">
        <v>509</v>
      </c>
      <c r="I60" s="468" t="s">
        <v>510</v>
      </c>
      <c r="J60" s="468" t="s">
        <v>511</v>
      </c>
      <c r="K60" s="468" t="s">
        <v>512</v>
      </c>
      <c r="L60" s="468" t="s">
        <v>513</v>
      </c>
      <c r="M60" s="468" t="s">
        <v>514</v>
      </c>
      <c r="N60" s="468" t="s">
        <v>259</v>
      </c>
      <c r="O60" s="502" t="s">
        <v>18</v>
      </c>
      <c r="P60" s="502" t="s">
        <v>19</v>
      </c>
      <c r="Q60" s="502" t="s">
        <v>515</v>
      </c>
      <c r="R60" s="469"/>
    </row>
    <row r="61" customFormat="false" ht="12.8" hidden="false" customHeight="false" outlineLevel="0" collapsed="false">
      <c r="A61" s="476" t="s">
        <v>101</v>
      </c>
      <c r="B61" s="503" t="n">
        <v>205835335.5</v>
      </c>
      <c r="C61" s="503"/>
      <c r="D61" s="503"/>
      <c r="E61" s="503"/>
      <c r="F61" s="503"/>
      <c r="G61" s="503"/>
      <c r="H61" s="503"/>
      <c r="I61" s="503"/>
      <c r="J61" s="503"/>
      <c r="K61" s="503"/>
      <c r="L61" s="503" t="n">
        <v>780607.18</v>
      </c>
      <c r="M61" s="503"/>
      <c r="N61" s="504" t="n">
        <f aca="false">SUM(B61:M61)</f>
        <v>206615942.68</v>
      </c>
      <c r="O61" s="505"/>
      <c r="P61" s="506"/>
      <c r="Q61" s="507" t="n">
        <f aca="false">N61-O61+P61</f>
        <v>206615942.68</v>
      </c>
    </row>
    <row r="62" customFormat="false" ht="12.8" hidden="false" customHeight="false" outlineLevel="0" collapsed="false">
      <c r="A62" s="484" t="s">
        <v>102</v>
      </c>
      <c r="B62" s="508" t="n">
        <v>-93427191.09</v>
      </c>
      <c r="C62" s="508"/>
      <c r="D62" s="508"/>
      <c r="E62" s="508"/>
      <c r="F62" s="508"/>
      <c r="G62" s="508"/>
      <c r="H62" s="508"/>
      <c r="I62" s="508"/>
      <c r="J62" s="508"/>
      <c r="K62" s="508"/>
      <c r="L62" s="508" t="n">
        <v>-265414.81</v>
      </c>
      <c r="M62" s="508"/>
      <c r="N62" s="509" t="n">
        <f aca="false">SUM(B62:M62)</f>
        <v>-93692605.9</v>
      </c>
      <c r="O62" s="510"/>
      <c r="P62" s="511"/>
      <c r="Q62" s="512" t="n">
        <f aca="false">N62-O62+P62</f>
        <v>-93692605.9</v>
      </c>
    </row>
    <row r="63" s="413" customFormat="true" ht="12.8" hidden="false" customHeight="false" outlineLevel="0" collapsed="false">
      <c r="A63" s="513" t="s">
        <v>103</v>
      </c>
      <c r="B63" s="514" t="n">
        <f aca="false">SUM(B61:B62)</f>
        <v>112408144.41</v>
      </c>
      <c r="C63" s="514" t="n">
        <f aca="false">SUM(C61:C62)</f>
        <v>0</v>
      </c>
      <c r="D63" s="514" t="n">
        <f aca="false">SUM(D61:D62)</f>
        <v>0</v>
      </c>
      <c r="E63" s="514" t="n">
        <f aca="false">SUM(E61:E62)</f>
        <v>0</v>
      </c>
      <c r="F63" s="514" t="n">
        <f aca="false">SUM(F61:F62)</f>
        <v>0</v>
      </c>
      <c r="G63" s="514" t="n">
        <f aca="false">SUM(G61:G62)</f>
        <v>0</v>
      </c>
      <c r="H63" s="514" t="n">
        <f aca="false">SUM(H61:H62)</f>
        <v>0</v>
      </c>
      <c r="I63" s="514" t="n">
        <f aca="false">SUM(I61:I62)</f>
        <v>0</v>
      </c>
      <c r="J63" s="514" t="n">
        <f aca="false">SUM(J61:J62)</f>
        <v>0</v>
      </c>
      <c r="K63" s="514" t="n">
        <f aca="false">SUM(K61:K62)</f>
        <v>0</v>
      </c>
      <c r="L63" s="514" t="n">
        <f aca="false">SUM(L61:L62)</f>
        <v>515192.37</v>
      </c>
      <c r="M63" s="514" t="n">
        <f aca="false">SUM(M61:M62)</f>
        <v>0</v>
      </c>
      <c r="N63" s="514" t="n">
        <f aca="false">SUM(N61:N62)</f>
        <v>112923336.78</v>
      </c>
      <c r="O63" s="515"/>
      <c r="P63" s="515"/>
      <c r="Q63" s="515" t="n">
        <f aca="false">SUM(Q61:Q62)</f>
        <v>112923336.78</v>
      </c>
      <c r="R63" s="516"/>
    </row>
    <row r="64" customFormat="false" ht="12.8" hidden="false" customHeight="false" outlineLevel="0" collapsed="false">
      <c r="A64" s="517" t="s">
        <v>104</v>
      </c>
      <c r="B64" s="518" t="n">
        <v>-80365115.6</v>
      </c>
      <c r="C64" s="518"/>
      <c r="D64" s="518"/>
      <c r="E64" s="518"/>
      <c r="F64" s="518"/>
      <c r="G64" s="518"/>
      <c r="H64" s="518"/>
      <c r="I64" s="518"/>
      <c r="J64" s="518"/>
      <c r="K64" s="518"/>
      <c r="L64" s="518" t="n">
        <v>-282837.74</v>
      </c>
      <c r="M64" s="518"/>
      <c r="N64" s="519" t="n">
        <f aca="false">SUM(B64:M64)</f>
        <v>-80647953.34</v>
      </c>
      <c r="O64" s="506"/>
      <c r="P64" s="505"/>
      <c r="Q64" s="507" t="n">
        <f aca="false">N64-O64+P64</f>
        <v>-80647953.34</v>
      </c>
    </row>
    <row r="65" customFormat="false" ht="12.8" hidden="false" customHeight="false" outlineLevel="0" collapsed="false">
      <c r="A65" s="484" t="s">
        <v>105</v>
      </c>
      <c r="B65" s="508" t="n">
        <f aca="false">-563417.67+61274.44</f>
        <v>-502143.23</v>
      </c>
      <c r="C65" s="508"/>
      <c r="D65" s="508"/>
      <c r="E65" s="508"/>
      <c r="F65" s="508"/>
      <c r="G65" s="508"/>
      <c r="H65" s="508"/>
      <c r="I65" s="508"/>
      <c r="J65" s="508"/>
      <c r="K65" s="508"/>
      <c r="L65" s="508" t="n">
        <v>456.33</v>
      </c>
      <c r="M65" s="508"/>
      <c r="N65" s="509" t="n">
        <f aca="false">SUM(B65:M65)</f>
        <v>-501686.9</v>
      </c>
      <c r="O65" s="510"/>
      <c r="P65" s="511"/>
      <c r="Q65" s="512" t="n">
        <f aca="false">N65-O65+P65</f>
        <v>-501686.9</v>
      </c>
    </row>
    <row r="66" s="413" customFormat="true" ht="12.8" hidden="false" customHeight="false" outlineLevel="0" collapsed="false">
      <c r="A66" s="513" t="s">
        <v>107</v>
      </c>
      <c r="B66" s="514" t="n">
        <f aca="false">SUM(B63:B65)</f>
        <v>31540885.58</v>
      </c>
      <c r="C66" s="514" t="n">
        <f aca="false">SUM(C63:C65)</f>
        <v>0</v>
      </c>
      <c r="D66" s="514" t="n">
        <f aca="false">SUM(D63:D65)</f>
        <v>0</v>
      </c>
      <c r="E66" s="514" t="n">
        <f aca="false">SUM(E63:E65)</f>
        <v>0</v>
      </c>
      <c r="F66" s="514" t="n">
        <f aca="false">SUM(F63:F65)</f>
        <v>0</v>
      </c>
      <c r="G66" s="514" t="n">
        <f aca="false">SUM(G63:G65)</f>
        <v>0</v>
      </c>
      <c r="H66" s="514" t="n">
        <f aca="false">SUM(H63:H65)</f>
        <v>0</v>
      </c>
      <c r="I66" s="514" t="n">
        <f aca="false">SUM(I63:I65)</f>
        <v>0</v>
      </c>
      <c r="J66" s="514" t="n">
        <f aca="false">SUM(J63:J65)</f>
        <v>0</v>
      </c>
      <c r="K66" s="514" t="n">
        <f aca="false">SUM(K63:K65)</f>
        <v>0</v>
      </c>
      <c r="L66" s="514" t="n">
        <f aca="false">SUM(L63:L65)</f>
        <v>232810.96</v>
      </c>
      <c r="M66" s="514" t="n">
        <f aca="false">SUM(M63:M65)</f>
        <v>0</v>
      </c>
      <c r="N66" s="514" t="n">
        <f aca="false">SUM(N63:N65)</f>
        <v>31773696.54</v>
      </c>
      <c r="O66" s="515"/>
      <c r="P66" s="515"/>
      <c r="Q66" s="515" t="n">
        <f aca="false">SUM(Q63:Q65)</f>
        <v>31773696.54</v>
      </c>
      <c r="R66" s="516"/>
    </row>
    <row r="67" customFormat="false" ht="12.8" hidden="false" customHeight="false" outlineLevel="0" collapsed="false">
      <c r="A67" s="484" t="s">
        <v>108</v>
      </c>
      <c r="B67" s="508" t="n">
        <v>-164709.98</v>
      </c>
      <c r="C67" s="508"/>
      <c r="D67" s="508"/>
      <c r="E67" s="508"/>
      <c r="F67" s="508"/>
      <c r="G67" s="508"/>
      <c r="H67" s="508"/>
      <c r="I67" s="508"/>
      <c r="J67" s="508"/>
      <c r="K67" s="508"/>
      <c r="L67" s="508" t="n">
        <v>-7838.15</v>
      </c>
      <c r="M67" s="508"/>
      <c r="N67" s="509" t="n">
        <f aca="false">SUM(B67:M67)</f>
        <v>-172548.13</v>
      </c>
      <c r="O67" s="510"/>
      <c r="P67" s="510"/>
      <c r="Q67" s="512" t="n">
        <f aca="false">N67-O67+P67</f>
        <v>-172548.13</v>
      </c>
    </row>
    <row r="68" s="413" customFormat="true" ht="12.8" hidden="false" customHeight="false" outlineLevel="0" collapsed="false">
      <c r="A68" s="513" t="s">
        <v>109</v>
      </c>
      <c r="B68" s="514" t="n">
        <f aca="false">+B66+B67</f>
        <v>31376175.6</v>
      </c>
      <c r="C68" s="514" t="n">
        <f aca="false">+C66+C67</f>
        <v>0</v>
      </c>
      <c r="D68" s="514" t="n">
        <f aca="false">+D66+D67</f>
        <v>0</v>
      </c>
      <c r="E68" s="514" t="n">
        <f aca="false">+E66+E67</f>
        <v>0</v>
      </c>
      <c r="F68" s="514" t="n">
        <f aca="false">+F66+F67</f>
        <v>0</v>
      </c>
      <c r="G68" s="514" t="n">
        <f aca="false">+G66+G67</f>
        <v>0</v>
      </c>
      <c r="H68" s="514" t="n">
        <f aca="false">+H66+H67</f>
        <v>0</v>
      </c>
      <c r="I68" s="514" t="n">
        <f aca="false">+I66+I67</f>
        <v>0</v>
      </c>
      <c r="J68" s="514" t="n">
        <f aca="false">+J66+J67</f>
        <v>0</v>
      </c>
      <c r="K68" s="514" t="n">
        <f aca="false">+K66+K67</f>
        <v>0</v>
      </c>
      <c r="L68" s="514" t="n">
        <f aca="false">+L66+L67</f>
        <v>224972.81</v>
      </c>
      <c r="M68" s="514" t="n">
        <f aca="false">+M66+M67</f>
        <v>0</v>
      </c>
      <c r="N68" s="514" t="n">
        <f aca="false">+N66+N67</f>
        <v>31601148.41</v>
      </c>
      <c r="O68" s="520"/>
      <c r="P68" s="520"/>
      <c r="Q68" s="515" t="n">
        <f aca="false">+Q66+Q67</f>
        <v>31601148.41</v>
      </c>
      <c r="R68" s="516"/>
    </row>
    <row r="69" customFormat="false" ht="12.8" hidden="false" customHeight="false" outlineLevel="0" collapsed="false">
      <c r="A69" s="517" t="s">
        <v>110</v>
      </c>
      <c r="B69" s="518"/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9" t="n">
        <f aca="false">SUM(B69:M69)</f>
        <v>0</v>
      </c>
      <c r="O69" s="506"/>
      <c r="P69" s="506"/>
      <c r="Q69" s="507" t="n">
        <f aca="false">N69-O69+P69</f>
        <v>0</v>
      </c>
    </row>
    <row r="70" customFormat="false" ht="12.8" hidden="false" customHeight="false" outlineLevel="0" collapsed="false">
      <c r="A70" s="484" t="s">
        <v>111</v>
      </c>
      <c r="B70" s="508"/>
      <c r="C70" s="508"/>
      <c r="D70" s="508"/>
      <c r="E70" s="508"/>
      <c r="F70" s="508"/>
      <c r="G70" s="508"/>
      <c r="H70" s="508"/>
      <c r="I70" s="508"/>
      <c r="J70" s="508"/>
      <c r="K70" s="508"/>
      <c r="L70" s="508"/>
      <c r="M70" s="508"/>
      <c r="N70" s="509" t="n">
        <f aca="false">SUM(B70:M70)</f>
        <v>0</v>
      </c>
      <c r="O70" s="512"/>
      <c r="P70" s="510"/>
      <c r="Q70" s="512" t="n">
        <f aca="false">N70-O70+P70</f>
        <v>0</v>
      </c>
    </row>
    <row r="71" s="413" customFormat="true" ht="12.8" hidden="false" customHeight="false" outlineLevel="0" collapsed="false">
      <c r="A71" s="513" t="s">
        <v>112</v>
      </c>
      <c r="B71" s="514" t="n">
        <f aca="false">+B68+B69+B70</f>
        <v>31376175.6</v>
      </c>
      <c r="C71" s="514" t="n">
        <f aca="false">+C68+C69+C70</f>
        <v>0</v>
      </c>
      <c r="D71" s="514" t="n">
        <f aca="false">+D68+D69+D70</f>
        <v>0</v>
      </c>
      <c r="E71" s="514" t="n">
        <f aca="false">+E68+E69+E70</f>
        <v>0</v>
      </c>
      <c r="F71" s="514" t="n">
        <f aca="false">+F68+F69+F70</f>
        <v>0</v>
      </c>
      <c r="G71" s="514" t="n">
        <f aca="false">+G68+G69+G70</f>
        <v>0</v>
      </c>
      <c r="H71" s="514" t="n">
        <f aca="false">+H68+H70</f>
        <v>0</v>
      </c>
      <c r="I71" s="514" t="n">
        <f aca="false">+I68+I70</f>
        <v>0</v>
      </c>
      <c r="J71" s="514" t="n">
        <f aca="false">+J68+J70</f>
        <v>0</v>
      </c>
      <c r="K71" s="514" t="n">
        <f aca="false">+K68+K69+K70</f>
        <v>0</v>
      </c>
      <c r="L71" s="514" t="n">
        <f aca="false">+L68+L69+L70</f>
        <v>224972.81</v>
      </c>
      <c r="M71" s="514" t="n">
        <f aca="false">+M68+M69+M70</f>
        <v>0</v>
      </c>
      <c r="N71" s="514" t="n">
        <f aca="false">+N68+N69+N70</f>
        <v>31601148.41</v>
      </c>
      <c r="O71" s="521"/>
      <c r="P71" s="521"/>
      <c r="Q71" s="521" t="n">
        <f aca="false">+Q68+Q69+Q70</f>
        <v>31601148.41</v>
      </c>
      <c r="R71" s="516"/>
    </row>
    <row r="72" customFormat="false" ht="12.8" hidden="false" customHeight="false" outlineLevel="0" collapsed="false">
      <c r="A72" s="522" t="s">
        <v>113</v>
      </c>
      <c r="B72" s="523"/>
      <c r="C72" s="523"/>
      <c r="D72" s="523"/>
      <c r="E72" s="523"/>
      <c r="F72" s="523"/>
      <c r="G72" s="523"/>
      <c r="H72" s="523"/>
      <c r="I72" s="523"/>
      <c r="J72" s="523"/>
      <c r="K72" s="523"/>
      <c r="L72" s="523"/>
      <c r="M72" s="523"/>
      <c r="N72" s="524" t="n">
        <f aca="false">SUM(B72:M72)</f>
        <v>0</v>
      </c>
      <c r="O72" s="525"/>
      <c r="P72" s="525"/>
      <c r="Q72" s="525" t="n">
        <f aca="false">N72-O72+P72</f>
        <v>0</v>
      </c>
    </row>
    <row r="73" s="470" customFormat="true" ht="12.8" hidden="false" customHeight="false" outlineLevel="0" collapsed="false">
      <c r="A73" s="526" t="s">
        <v>98</v>
      </c>
      <c r="B73" s="527" t="n">
        <f aca="false">B71+B72</f>
        <v>31376175.6</v>
      </c>
      <c r="C73" s="527" t="n">
        <f aca="false">C71+C72</f>
        <v>0</v>
      </c>
      <c r="D73" s="527" t="n">
        <f aca="false">D71+D72</f>
        <v>0</v>
      </c>
      <c r="E73" s="527" t="n">
        <f aca="false">E71+E72</f>
        <v>0</v>
      </c>
      <c r="F73" s="527" t="n">
        <f aca="false">F71+F72</f>
        <v>0</v>
      </c>
      <c r="G73" s="527" t="n">
        <f aca="false">G71+G72</f>
        <v>0</v>
      </c>
      <c r="H73" s="527" t="n">
        <f aca="false">H71+H72</f>
        <v>0</v>
      </c>
      <c r="I73" s="527" t="n">
        <f aca="false">I71+I72</f>
        <v>0</v>
      </c>
      <c r="J73" s="527" t="n">
        <f aca="false">J71+J72</f>
        <v>0</v>
      </c>
      <c r="K73" s="527" t="n">
        <f aca="false">K71+K72</f>
        <v>0</v>
      </c>
      <c r="L73" s="527" t="n">
        <f aca="false">L71+L72</f>
        <v>224972.81</v>
      </c>
      <c r="M73" s="527" t="n">
        <f aca="false">M71+M72</f>
        <v>0</v>
      </c>
      <c r="N73" s="527" t="n">
        <f aca="false">N71+N72</f>
        <v>31601148.41</v>
      </c>
      <c r="O73" s="527" t="n">
        <f aca="false">SUM(O61:O72)</f>
        <v>0</v>
      </c>
      <c r="P73" s="527" t="n">
        <f aca="false">SUM(P61:P72)</f>
        <v>0</v>
      </c>
      <c r="Q73" s="528" t="n">
        <f aca="false">Q71+Q72</f>
        <v>31601148.41</v>
      </c>
      <c r="R73" s="469"/>
    </row>
    <row r="74" customFormat="false" ht="12" hidden="false" customHeight="false" outlineLevel="0" collapsed="false">
      <c r="A74" s="492"/>
      <c r="B74" s="529"/>
      <c r="C74" s="529"/>
      <c r="D74" s="529"/>
      <c r="E74" s="530"/>
      <c r="F74" s="529"/>
      <c r="G74" s="529"/>
      <c r="H74" s="529"/>
      <c r="I74" s="529"/>
      <c r="J74" s="529"/>
      <c r="K74" s="529"/>
      <c r="L74" s="529"/>
      <c r="M74" s="529"/>
      <c r="N74" s="529"/>
      <c r="O74" s="529"/>
      <c r="P74" s="529" t="n">
        <f aca="false">+O73-P73</f>
        <v>0</v>
      </c>
      <c r="Q74" s="529"/>
    </row>
    <row r="75" customFormat="false" ht="12" hidden="false" customHeight="false" outlineLevel="0" collapsed="false">
      <c r="A75" s="531"/>
      <c r="B75" s="436"/>
      <c r="C75" s="436"/>
      <c r="D75" s="436"/>
      <c r="E75" s="436"/>
      <c r="F75" s="436"/>
      <c r="G75" s="436"/>
      <c r="H75" s="436"/>
      <c r="I75" s="436"/>
      <c r="J75" s="436"/>
      <c r="K75" s="436"/>
      <c r="L75" s="436"/>
      <c r="M75" s="436"/>
      <c r="N75" s="436"/>
      <c r="O75" s="436"/>
      <c r="P75" s="436"/>
      <c r="Q75" s="436"/>
    </row>
    <row r="76" customFormat="false" ht="12" hidden="false" customHeight="false" outlineLevel="0" collapsed="false">
      <c r="A76" s="532"/>
      <c r="B76" s="533" t="n">
        <f aca="false">+B57+B46-B25</f>
        <v>0</v>
      </c>
      <c r="C76" s="533" t="n">
        <f aca="false">+C57+C46-C25</f>
        <v>0</v>
      </c>
      <c r="D76" s="533" t="n">
        <f aca="false">+D57+D46-D25</f>
        <v>0</v>
      </c>
      <c r="E76" s="533" t="n">
        <f aca="false">+E57+E46-E25</f>
        <v>0</v>
      </c>
      <c r="F76" s="533" t="n">
        <f aca="false">+F57+F46-F25</f>
        <v>0</v>
      </c>
      <c r="G76" s="533" t="n">
        <f aca="false">+G57+G46-G25</f>
        <v>0</v>
      </c>
      <c r="H76" s="533" t="n">
        <f aca="false">+H57+H46-H25</f>
        <v>0</v>
      </c>
      <c r="I76" s="533" t="n">
        <f aca="false">+I57+I46-I25</f>
        <v>0</v>
      </c>
      <c r="J76" s="533" t="n">
        <f aca="false">+J57+J46-J25</f>
        <v>0</v>
      </c>
      <c r="K76" s="533" t="n">
        <f aca="false">+K57+K46-K25</f>
        <v>0</v>
      </c>
      <c r="L76" s="533" t="n">
        <f aca="false">+L57+L46-L25</f>
        <v>0</v>
      </c>
      <c r="M76" s="533" t="n">
        <f aca="false">+M57+M46-M25</f>
        <v>0</v>
      </c>
      <c r="N76" s="533" t="n">
        <f aca="false">+N57+N46-N25</f>
        <v>0</v>
      </c>
      <c r="O76" s="533"/>
      <c r="P76" s="533"/>
      <c r="Q76" s="533" t="n">
        <f aca="false">+Q57+Q46-Q25</f>
        <v>0</v>
      </c>
    </row>
    <row r="77" customFormat="false" ht="12" hidden="false" customHeight="false" outlineLevel="0" collapsed="false">
      <c r="B77" s="436"/>
      <c r="C77" s="436"/>
      <c r="D77" s="436"/>
      <c r="E77" s="436"/>
      <c r="F77" s="436"/>
      <c r="G77" s="436"/>
      <c r="H77" s="436"/>
      <c r="I77" s="436"/>
      <c r="J77" s="436"/>
      <c r="K77" s="436"/>
      <c r="L77" s="436"/>
      <c r="M77" s="436"/>
      <c r="N77" s="436"/>
      <c r="O77" s="436"/>
      <c r="P77" s="436"/>
      <c r="Q77" s="436"/>
      <c r="S77" s="461"/>
    </row>
    <row r="78" customFormat="false" ht="12" hidden="false" customHeight="false" outlineLevel="0" collapsed="false">
      <c r="A78" s="534" t="s">
        <v>115</v>
      </c>
      <c r="B78" s="535" t="n">
        <f aca="false">+B73*100%</f>
        <v>31376175.6</v>
      </c>
      <c r="C78" s="535" t="n">
        <f aca="false">+C73*Participaciones!E16</f>
        <v>0</v>
      </c>
      <c r="D78" s="535" t="n">
        <f aca="false">+D73*Participaciones!G16</f>
        <v>0</v>
      </c>
      <c r="E78" s="536" t="n">
        <f aca="false">+E73*Participaciones!I16</f>
        <v>0</v>
      </c>
      <c r="F78" s="536" t="n">
        <f aca="false">+F73*Participaciones!K16</f>
        <v>0</v>
      </c>
      <c r="G78" s="536" t="n">
        <f aca="false">+G73*Participaciones!M16</f>
        <v>0</v>
      </c>
      <c r="H78" s="536" t="n">
        <f aca="false">+H73*Participaciones!O16</f>
        <v>0</v>
      </c>
      <c r="I78" s="536" t="n">
        <f aca="false">+I73*Participaciones!Q16</f>
        <v>0</v>
      </c>
      <c r="J78" s="536" t="n">
        <f aca="false">+J73*Participaciones!S16</f>
        <v>0</v>
      </c>
      <c r="K78" s="535" t="n">
        <f aca="false">+K73*Participaciones!U16</f>
        <v>0</v>
      </c>
      <c r="L78" s="535" t="n">
        <f aca="false">+L73*Participaciones!W16</f>
        <v>222723.0819</v>
      </c>
      <c r="M78" s="535" t="n">
        <f aca="false">+M73*Participaciones!Y16</f>
        <v>0</v>
      </c>
      <c r="N78" s="536" t="n">
        <f aca="false">SUM(B78:M78)</f>
        <v>31598898.6819</v>
      </c>
      <c r="O78" s="536" t="n">
        <f aca="false">+O65+O61</f>
        <v>0</v>
      </c>
      <c r="P78" s="536" t="n">
        <f aca="false">P62+P65+P64</f>
        <v>0</v>
      </c>
      <c r="Q78" s="536" t="n">
        <f aca="false">+N78-O78+P78</f>
        <v>31598898.6819</v>
      </c>
    </row>
    <row r="79" customFormat="false" ht="12.8" hidden="false" customHeight="false" outlineLevel="0" collapsed="false">
      <c r="A79" s="537" t="s">
        <v>117</v>
      </c>
      <c r="B79" s="538" t="n">
        <f aca="false">+B73-B78</f>
        <v>0</v>
      </c>
      <c r="C79" s="538" t="n">
        <f aca="false">+C73-C78</f>
        <v>0</v>
      </c>
      <c r="D79" s="538" t="n">
        <f aca="false">+D73-D78</f>
        <v>0</v>
      </c>
      <c r="E79" s="538" t="n">
        <f aca="false">+E73-E78</f>
        <v>0</v>
      </c>
      <c r="F79" s="538" t="n">
        <f aca="false">+F73-F78</f>
        <v>0</v>
      </c>
      <c r="G79" s="538" t="n">
        <f aca="false">+G73-G78</f>
        <v>0</v>
      </c>
      <c r="H79" s="538" t="n">
        <f aca="false">+H73-H78</f>
        <v>0</v>
      </c>
      <c r="I79" s="538" t="n">
        <f aca="false">+I73-I78</f>
        <v>0</v>
      </c>
      <c r="J79" s="538" t="n">
        <f aca="false">+J73-J78</f>
        <v>0</v>
      </c>
      <c r="K79" s="538" t="n">
        <f aca="false">+K73-K78</f>
        <v>0</v>
      </c>
      <c r="L79" s="538" t="n">
        <f aca="false">+L73-L78</f>
        <v>2249.72810000001</v>
      </c>
      <c r="M79" s="538" t="n">
        <f aca="false">+M73-M78</f>
        <v>0</v>
      </c>
      <c r="N79" s="539" t="n">
        <f aca="false">SUM(B79:M79)</f>
        <v>2249.72810000001</v>
      </c>
      <c r="O79" s="539"/>
      <c r="P79" s="539"/>
      <c r="Q79" s="539" t="n">
        <f aca="false">+N79-O79+P79</f>
        <v>2249.72810000001</v>
      </c>
      <c r="T79" s="416"/>
      <c r="U79" s="428"/>
    </row>
    <row r="80" customFormat="false" ht="12" hidden="false" customHeight="false" outlineLevel="0" collapsed="false">
      <c r="A80" s="540"/>
      <c r="B80" s="541" t="n">
        <f aca="false">+B78+B79</f>
        <v>31376175.6</v>
      </c>
      <c r="C80" s="541" t="n">
        <f aca="false">+C78+C79</f>
        <v>0</v>
      </c>
      <c r="D80" s="541" t="n">
        <f aca="false">+D78+D79</f>
        <v>0</v>
      </c>
      <c r="E80" s="541" t="n">
        <f aca="false">+E78+E79</f>
        <v>0</v>
      </c>
      <c r="F80" s="541" t="n">
        <f aca="false">+F78+F79</f>
        <v>0</v>
      </c>
      <c r="G80" s="541" t="n">
        <f aca="false">+G78+G79</f>
        <v>0</v>
      </c>
      <c r="H80" s="541" t="n">
        <f aca="false">+H78+H79</f>
        <v>0</v>
      </c>
      <c r="I80" s="541" t="n">
        <f aca="false">+I78+I79</f>
        <v>0</v>
      </c>
      <c r="J80" s="541" t="n">
        <f aca="false">+J78+J79</f>
        <v>0</v>
      </c>
      <c r="K80" s="541" t="n">
        <f aca="false">+K78+K79</f>
        <v>0</v>
      </c>
      <c r="L80" s="541" t="n">
        <f aca="false">+L78+L79</f>
        <v>224972.81</v>
      </c>
      <c r="M80" s="541" t="n">
        <f aca="false">+M78+M79</f>
        <v>0</v>
      </c>
      <c r="N80" s="541" t="n">
        <f aca="false">+N78+N79</f>
        <v>31601148.41</v>
      </c>
      <c r="O80" s="541" t="n">
        <f aca="false">+O78+O79</f>
        <v>0</v>
      </c>
      <c r="P80" s="541" t="n">
        <f aca="false">+P78+P79</f>
        <v>0</v>
      </c>
      <c r="Q80" s="541" t="n">
        <f aca="false">+Q78+Q79</f>
        <v>31601148.41</v>
      </c>
    </row>
    <row r="81" customFormat="false" ht="12" hidden="false" customHeight="false" outlineLevel="0" collapsed="false">
      <c r="B81" s="436"/>
      <c r="C81" s="436"/>
      <c r="D81" s="436"/>
      <c r="E81" s="436"/>
      <c r="F81" s="436"/>
      <c r="G81" s="436"/>
      <c r="H81" s="436"/>
      <c r="I81" s="436"/>
      <c r="J81" s="436"/>
      <c r="K81" s="436"/>
      <c r="L81" s="436"/>
      <c r="M81" s="436"/>
      <c r="N81" s="436"/>
      <c r="O81" s="436"/>
      <c r="P81" s="436"/>
      <c r="Q81" s="436"/>
    </row>
    <row r="82" customFormat="false" ht="12" hidden="false" customHeight="false" outlineLevel="0" collapsed="false">
      <c r="B82" s="436"/>
      <c r="C82" s="436"/>
      <c r="D82" s="436"/>
      <c r="E82" s="436"/>
      <c r="F82" s="436"/>
      <c r="G82" s="436"/>
      <c r="H82" s="436"/>
      <c r="I82" s="436"/>
      <c r="J82" s="436"/>
      <c r="K82" s="436"/>
      <c r="L82" s="436"/>
      <c r="M82" s="436"/>
      <c r="N82" s="436"/>
      <c r="O82" s="436"/>
      <c r="P82" s="542"/>
      <c r="Q82" s="436"/>
    </row>
    <row r="83" customFormat="false" ht="12" hidden="false" customHeight="false" outlineLevel="0" collapsed="false">
      <c r="C83" s="428" t="n">
        <f aca="false">+C55-C73</f>
        <v>0</v>
      </c>
    </row>
  </sheetData>
  <mergeCells count="1">
    <mergeCell ref="O3:P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4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3" activeCellId="0" sqref="D153"/>
    </sheetView>
  </sheetViews>
  <sheetFormatPr defaultColWidth="11.43359375" defaultRowHeight="12" zeroHeight="false" outlineLevelRow="1" outlineLevelCol="0"/>
  <cols>
    <col collapsed="false" customWidth="true" hidden="false" outlineLevel="0" max="1" min="1" style="433" width="2"/>
    <col collapsed="false" customWidth="true" hidden="false" outlineLevel="0" max="2" min="2" style="543" width="19.14"/>
    <col collapsed="false" customWidth="true" hidden="false" outlineLevel="0" max="3" min="3" style="433" width="56.86"/>
    <col collapsed="false" customWidth="true" hidden="false" outlineLevel="0" max="5" min="4" style="544" width="12.71"/>
    <col collapsed="false" customWidth="true" hidden="false" outlineLevel="0" max="6" min="6" style="433" width="11.57"/>
    <col collapsed="false" customWidth="false" hidden="false" outlineLevel="0" max="9" min="7" style="433" width="11.42"/>
    <col collapsed="false" customWidth="true" hidden="false" outlineLevel="0" max="10" min="10" style="433" width="11.57"/>
    <col collapsed="false" customWidth="false" hidden="false" outlineLevel="0" max="1024" min="11" style="433" width="11.42"/>
  </cols>
  <sheetData>
    <row r="1" customFormat="false" ht="12" hidden="true" customHeight="false" outlineLevel="1" collapsed="false"/>
    <row r="2" customFormat="false" ht="12" hidden="true" customHeight="false" outlineLevel="1" collapsed="false">
      <c r="B2" s="545" t="s">
        <v>199</v>
      </c>
      <c r="C2" s="546" t="s">
        <v>531</v>
      </c>
      <c r="D2" s="547" t="s">
        <v>200</v>
      </c>
      <c r="E2" s="547" t="s">
        <v>201</v>
      </c>
      <c r="I2" s="544"/>
    </row>
    <row r="3" customFormat="false" ht="12" hidden="true" customHeight="false" outlineLevel="1" collapsed="false">
      <c r="C3" s="548" t="s">
        <v>532</v>
      </c>
      <c r="I3" s="433" t="s">
        <v>245</v>
      </c>
      <c r="J3" s="544" t="n">
        <v>366832</v>
      </c>
    </row>
    <row r="4" customFormat="false" ht="12" hidden="true" customHeight="false" outlineLevel="1" collapsed="false">
      <c r="B4" s="543" t="s">
        <v>462</v>
      </c>
      <c r="C4" s="433" t="s">
        <v>87</v>
      </c>
      <c r="D4" s="544" t="n">
        <v>1104950</v>
      </c>
      <c r="I4" s="433" t="s">
        <v>280</v>
      </c>
      <c r="J4" s="544" t="n">
        <v>943459</v>
      </c>
    </row>
    <row r="5" customFormat="false" ht="12" hidden="true" customHeight="false" outlineLevel="1" collapsed="false">
      <c r="B5" s="543" t="s">
        <v>462</v>
      </c>
      <c r="C5" s="433" t="s">
        <v>147</v>
      </c>
      <c r="D5" s="544" t="n">
        <v>877313</v>
      </c>
      <c r="I5" s="433" t="s">
        <v>281</v>
      </c>
      <c r="J5" s="544" t="n">
        <v>147840</v>
      </c>
    </row>
    <row r="6" customFormat="false" ht="12" hidden="true" customHeight="false" outlineLevel="1" collapsed="false">
      <c r="B6" s="549" t="s">
        <v>462</v>
      </c>
      <c r="C6" s="550" t="s">
        <v>463</v>
      </c>
      <c r="D6" s="551" t="n">
        <v>673934</v>
      </c>
      <c r="E6" s="551"/>
      <c r="I6" s="433" t="s">
        <v>282</v>
      </c>
      <c r="J6" s="544" t="n">
        <v>140052</v>
      </c>
    </row>
    <row r="7" customFormat="false" ht="12" hidden="true" customHeight="false" outlineLevel="1" collapsed="false">
      <c r="B7" s="549" t="s">
        <v>462</v>
      </c>
      <c r="C7" s="550" t="s">
        <v>464</v>
      </c>
      <c r="D7" s="551" t="n">
        <v>1660952</v>
      </c>
      <c r="E7" s="550"/>
      <c r="I7" s="433" t="s">
        <v>533</v>
      </c>
      <c r="J7" s="552" t="n">
        <v>8000</v>
      </c>
    </row>
    <row r="8" customFormat="false" ht="12" hidden="true" customHeight="false" outlineLevel="1" collapsed="false">
      <c r="B8" s="549" t="s">
        <v>462</v>
      </c>
      <c r="C8" s="550" t="s">
        <v>487</v>
      </c>
      <c r="D8" s="551" t="n">
        <v>21</v>
      </c>
      <c r="E8" s="550"/>
      <c r="J8" s="544" t="n">
        <f aca="false">+SUM(J3:J7)</f>
        <v>1606183</v>
      </c>
    </row>
    <row r="9" customFormat="false" ht="12" hidden="true" customHeight="false" outlineLevel="1" collapsed="false">
      <c r="B9" s="549" t="s">
        <v>212</v>
      </c>
      <c r="C9" s="550" t="s">
        <v>463</v>
      </c>
      <c r="D9" s="551" t="n">
        <v>27806</v>
      </c>
      <c r="E9" s="550"/>
    </row>
    <row r="10" customFormat="false" ht="12" hidden="true" customHeight="false" outlineLevel="1" collapsed="false">
      <c r="B10" s="549" t="s">
        <v>462</v>
      </c>
      <c r="C10" s="550" t="s">
        <v>534</v>
      </c>
      <c r="D10" s="553"/>
      <c r="E10" s="551" t="n">
        <v>27806</v>
      </c>
    </row>
    <row r="11" customFormat="false" ht="12" hidden="true" customHeight="false" outlineLevel="1" collapsed="false">
      <c r="B11" s="543" t="s">
        <v>212</v>
      </c>
      <c r="C11" s="433" t="s">
        <v>488</v>
      </c>
      <c r="E11" s="544" t="n">
        <v>1982263</v>
      </c>
    </row>
    <row r="12" customFormat="false" ht="12" hidden="true" customHeight="false" outlineLevel="1" collapsed="false">
      <c r="B12" s="549" t="s">
        <v>212</v>
      </c>
      <c r="C12" s="550" t="s">
        <v>477</v>
      </c>
      <c r="D12" s="554"/>
      <c r="E12" s="554" t="n">
        <v>2334907</v>
      </c>
    </row>
    <row r="13" customFormat="false" ht="12" hidden="true" customHeight="false" outlineLevel="1" collapsed="false">
      <c r="C13" s="433" t="s">
        <v>535</v>
      </c>
      <c r="D13" s="544" t="n">
        <f aca="false">+SUM(D4:D12)</f>
        <v>4344976</v>
      </c>
      <c r="E13" s="544" t="n">
        <f aca="false">+SUM(E4:E12)</f>
        <v>4344976</v>
      </c>
      <c r="F13" s="555" t="n">
        <f aca="false">+D13-E13</f>
        <v>0</v>
      </c>
    </row>
    <row r="14" customFormat="false" ht="12" hidden="true" customHeight="false" outlineLevel="1" collapsed="false"/>
    <row r="15" customFormat="false" ht="12" hidden="true" customHeight="false" outlineLevel="1" collapsed="false">
      <c r="C15" s="548" t="s">
        <v>536</v>
      </c>
    </row>
    <row r="16" customFormat="false" ht="12" hidden="true" customHeight="false" outlineLevel="1" collapsed="false">
      <c r="B16" s="543" t="s">
        <v>537</v>
      </c>
      <c r="C16" s="433" t="s">
        <v>87</v>
      </c>
      <c r="D16" s="544" t="n">
        <v>800</v>
      </c>
      <c r="I16" s="544"/>
    </row>
    <row r="17" customFormat="false" ht="12" hidden="true" customHeight="false" outlineLevel="1" collapsed="false">
      <c r="B17" s="543" t="s">
        <v>537</v>
      </c>
      <c r="C17" s="433" t="s">
        <v>436</v>
      </c>
      <c r="D17" s="544" t="n">
        <v>340</v>
      </c>
    </row>
    <row r="18" customFormat="false" ht="12" hidden="true" customHeight="false" outlineLevel="1" collapsed="false">
      <c r="B18" s="543" t="s">
        <v>212</v>
      </c>
      <c r="C18" s="550" t="s">
        <v>538</v>
      </c>
      <c r="D18" s="551" t="n">
        <f aca="false">+E19-D17-D16</f>
        <v>1113036</v>
      </c>
      <c r="E18" s="551"/>
    </row>
    <row r="19" customFormat="false" ht="12" hidden="true" customHeight="false" outlineLevel="1" collapsed="false">
      <c r="B19" s="543" t="s">
        <v>212</v>
      </c>
      <c r="C19" s="550" t="s">
        <v>488</v>
      </c>
      <c r="D19" s="554"/>
      <c r="E19" s="554" t="n">
        <v>1114176</v>
      </c>
      <c r="F19" s="555" t="n">
        <f aca="false">+E19-D18</f>
        <v>1140</v>
      </c>
    </row>
    <row r="20" customFormat="false" ht="12" hidden="true" customHeight="false" outlineLevel="1" collapsed="false">
      <c r="C20" s="433" t="s">
        <v>539</v>
      </c>
      <c r="D20" s="544" t="n">
        <f aca="false">+SUM(D16:D19)</f>
        <v>1114176</v>
      </c>
      <c r="E20" s="544" t="n">
        <f aca="false">+SUM(E16:E19)</f>
        <v>1114176</v>
      </c>
      <c r="F20" s="555" t="n">
        <f aca="false">+D20-E20</f>
        <v>0</v>
      </c>
    </row>
    <row r="21" customFormat="false" ht="12" hidden="true" customHeight="false" outlineLevel="1" collapsed="false"/>
    <row r="22" customFormat="false" ht="12" hidden="true" customHeight="false" outlineLevel="1" collapsed="false">
      <c r="C22" s="548" t="s">
        <v>540</v>
      </c>
    </row>
    <row r="23" customFormat="false" ht="12" hidden="true" customHeight="false" outlineLevel="1" collapsed="false">
      <c r="B23" s="543" t="s">
        <v>280</v>
      </c>
      <c r="C23" s="433" t="s">
        <v>87</v>
      </c>
      <c r="D23" s="544" t="n">
        <v>6800</v>
      </c>
    </row>
    <row r="24" customFormat="false" ht="12" hidden="true" customHeight="false" outlineLevel="1" collapsed="false">
      <c r="B24" s="543" t="s">
        <v>280</v>
      </c>
      <c r="C24" s="433" t="s">
        <v>541</v>
      </c>
      <c r="D24" s="544" t="n">
        <v>74427</v>
      </c>
    </row>
    <row r="25" customFormat="false" ht="12" hidden="true" customHeight="false" outlineLevel="1" collapsed="false">
      <c r="B25" s="543" t="s">
        <v>280</v>
      </c>
      <c r="C25" s="433" t="s">
        <v>149</v>
      </c>
      <c r="D25" s="544" t="n">
        <f aca="false">+E28-D23-D24</f>
        <v>862232</v>
      </c>
    </row>
    <row r="26" customFormat="false" ht="12" hidden="true" customHeight="false" outlineLevel="1" collapsed="false">
      <c r="B26" s="543" t="s">
        <v>212</v>
      </c>
      <c r="C26" s="433" t="s">
        <v>542</v>
      </c>
      <c r="D26" s="544" t="n">
        <f aca="false">+E28</f>
        <v>943459</v>
      </c>
    </row>
    <row r="27" s="433" customFormat="true" ht="12" hidden="true" customHeight="false" outlineLevel="1" collapsed="false">
      <c r="B27" s="543" t="s">
        <v>208</v>
      </c>
      <c r="C27" s="433" t="s">
        <v>543</v>
      </c>
      <c r="E27" s="544" t="n">
        <f aca="false">+D26</f>
        <v>943459</v>
      </c>
      <c r="F27" s="555" t="n">
        <f aca="false">+E27-D25</f>
        <v>81227</v>
      </c>
    </row>
    <row r="28" customFormat="false" ht="12" hidden="true" customHeight="false" outlineLevel="1" collapsed="false">
      <c r="B28" s="543" t="s">
        <v>212</v>
      </c>
      <c r="C28" s="433" t="s">
        <v>488</v>
      </c>
      <c r="D28" s="552"/>
      <c r="E28" s="552" t="n">
        <v>943459</v>
      </c>
    </row>
    <row r="29" customFormat="false" ht="12" hidden="true" customHeight="false" outlineLevel="1" collapsed="false">
      <c r="C29" s="433" t="s">
        <v>544</v>
      </c>
      <c r="D29" s="544" t="n">
        <f aca="false">+SUM(D23:D28)</f>
        <v>1886918</v>
      </c>
      <c r="E29" s="544" t="n">
        <f aca="false">+SUM(E23:E28)</f>
        <v>1886918</v>
      </c>
      <c r="F29" s="555" t="n">
        <f aca="false">+D29-E29</f>
        <v>0</v>
      </c>
    </row>
    <row r="30" customFormat="false" ht="12" hidden="true" customHeight="false" outlineLevel="1" collapsed="false"/>
    <row r="31" customFormat="false" ht="12" hidden="true" customHeight="false" outlineLevel="1" collapsed="false">
      <c r="C31" s="548" t="s">
        <v>545</v>
      </c>
    </row>
    <row r="32" customFormat="false" ht="12" hidden="true" customHeight="false" outlineLevel="1" collapsed="false">
      <c r="B32" s="543" t="s">
        <v>432</v>
      </c>
      <c r="C32" s="433" t="s">
        <v>87</v>
      </c>
      <c r="D32" s="544" t="n">
        <v>750</v>
      </c>
    </row>
    <row r="33" customFormat="false" ht="12" hidden="true" customHeight="false" outlineLevel="1" collapsed="false">
      <c r="B33" s="543" t="s">
        <v>432</v>
      </c>
      <c r="C33" s="433" t="s">
        <v>436</v>
      </c>
      <c r="D33" s="544" t="n">
        <v>109633</v>
      </c>
    </row>
    <row r="34" customFormat="false" ht="12" hidden="true" customHeight="false" outlineLevel="1" collapsed="false">
      <c r="B34" s="543" t="s">
        <v>432</v>
      </c>
      <c r="C34" s="433" t="s">
        <v>147</v>
      </c>
      <c r="D34" s="544" t="n">
        <v>330450</v>
      </c>
    </row>
    <row r="35" customFormat="false" ht="12" hidden="true" customHeight="false" outlineLevel="1" collapsed="false">
      <c r="B35" s="543" t="s">
        <v>432</v>
      </c>
      <c r="C35" s="433" t="s">
        <v>149</v>
      </c>
      <c r="D35" s="544" t="n">
        <f aca="false">+E36-D32-D33-D34</f>
        <v>21667</v>
      </c>
    </row>
    <row r="36" customFormat="false" ht="12" hidden="true" customHeight="false" outlineLevel="1" collapsed="false">
      <c r="B36" s="543" t="s">
        <v>212</v>
      </c>
      <c r="C36" s="433" t="s">
        <v>488</v>
      </c>
      <c r="D36" s="552"/>
      <c r="E36" s="552" t="n">
        <v>462500</v>
      </c>
    </row>
    <row r="37" customFormat="false" ht="12" hidden="true" customHeight="false" outlineLevel="1" collapsed="false">
      <c r="C37" s="433" t="s">
        <v>546</v>
      </c>
      <c r="D37" s="544" t="n">
        <f aca="false">+SUM(D32:D36)</f>
        <v>462500</v>
      </c>
      <c r="E37" s="544" t="n">
        <f aca="false">+SUM(E32:E36)</f>
        <v>462500</v>
      </c>
      <c r="F37" s="555" t="n">
        <f aca="false">+D37-E37</f>
        <v>0</v>
      </c>
    </row>
    <row r="38" customFormat="false" ht="12" hidden="true" customHeight="false" outlineLevel="1" collapsed="false"/>
    <row r="39" customFormat="false" ht="12" hidden="true" customHeight="false" outlineLevel="1" collapsed="false">
      <c r="C39" s="548" t="s">
        <v>547</v>
      </c>
    </row>
    <row r="40" customFormat="false" ht="12" hidden="true" customHeight="false" outlineLevel="1" collapsed="false">
      <c r="B40" s="543" t="s">
        <v>243</v>
      </c>
      <c r="C40" s="433" t="s">
        <v>87</v>
      </c>
      <c r="D40" s="544" t="n">
        <v>3751</v>
      </c>
    </row>
    <row r="41" customFormat="false" ht="12" hidden="true" customHeight="false" outlineLevel="1" collapsed="false">
      <c r="B41" s="543" t="s">
        <v>243</v>
      </c>
      <c r="C41" s="433" t="s">
        <v>147</v>
      </c>
      <c r="D41" s="544" t="n">
        <v>27854948</v>
      </c>
    </row>
    <row r="42" customFormat="false" ht="12" hidden="true" customHeight="false" outlineLevel="1" collapsed="false">
      <c r="B42" s="543" t="s">
        <v>212</v>
      </c>
      <c r="C42" s="433" t="s">
        <v>488</v>
      </c>
      <c r="D42" s="552"/>
      <c r="E42" s="552" t="n">
        <v>27858699</v>
      </c>
    </row>
    <row r="43" customFormat="false" ht="12" hidden="true" customHeight="false" outlineLevel="1" collapsed="false">
      <c r="C43" s="433" t="s">
        <v>548</v>
      </c>
      <c r="D43" s="544" t="n">
        <f aca="false">+D40+D41+D42</f>
        <v>27858699</v>
      </c>
      <c r="E43" s="544" t="n">
        <f aca="false">+E40+E41+E42</f>
        <v>27858699</v>
      </c>
    </row>
    <row r="44" customFormat="false" ht="12" hidden="true" customHeight="false" outlineLevel="1" collapsed="false"/>
    <row r="45" customFormat="false" ht="12" hidden="true" customHeight="false" outlineLevel="1" collapsed="false">
      <c r="C45" s="548" t="s">
        <v>549</v>
      </c>
    </row>
    <row r="46" customFormat="false" ht="12" hidden="true" customHeight="false" outlineLevel="1" collapsed="false">
      <c r="B46" s="549" t="s">
        <v>243</v>
      </c>
      <c r="C46" s="550" t="s">
        <v>464</v>
      </c>
      <c r="D46" s="551" t="n">
        <v>2278797</v>
      </c>
      <c r="E46" s="551"/>
    </row>
    <row r="47" customFormat="false" ht="12" hidden="true" customHeight="false" outlineLevel="1" collapsed="false">
      <c r="B47" s="549" t="s">
        <v>243</v>
      </c>
      <c r="C47" s="550" t="s">
        <v>464</v>
      </c>
      <c r="D47" s="551" t="n">
        <v>865104</v>
      </c>
      <c r="E47" s="551"/>
    </row>
    <row r="48" customFormat="false" ht="12" hidden="true" customHeight="false" outlineLevel="1" collapsed="false">
      <c r="B48" s="549" t="s">
        <v>243</v>
      </c>
      <c r="C48" s="550" t="s">
        <v>464</v>
      </c>
      <c r="D48" s="551" t="n">
        <v>3965967</v>
      </c>
      <c r="E48" s="550"/>
    </row>
    <row r="49" customFormat="false" ht="12" hidden="true" customHeight="false" outlineLevel="1" collapsed="false">
      <c r="B49" s="549" t="s">
        <v>212</v>
      </c>
      <c r="C49" s="550" t="s">
        <v>534</v>
      </c>
      <c r="D49" s="551"/>
      <c r="E49" s="551" t="n">
        <v>93795</v>
      </c>
    </row>
    <row r="50" customFormat="false" ht="12" hidden="true" customHeight="false" outlineLevel="1" collapsed="false">
      <c r="B50" s="549" t="s">
        <v>243</v>
      </c>
      <c r="C50" s="550" t="s">
        <v>477</v>
      </c>
      <c r="D50" s="551"/>
      <c r="E50" s="551" t="n">
        <v>3965967</v>
      </c>
    </row>
    <row r="51" customFormat="false" ht="12" hidden="true" customHeight="false" outlineLevel="1" collapsed="false">
      <c r="B51" s="543" t="s">
        <v>212</v>
      </c>
      <c r="C51" s="433" t="s">
        <v>550</v>
      </c>
      <c r="E51" s="544" t="n">
        <v>738602</v>
      </c>
      <c r="F51" s="555"/>
      <c r="G51" s="555"/>
    </row>
    <row r="52" customFormat="false" ht="12" hidden="true" customHeight="false" outlineLevel="1" collapsed="false">
      <c r="B52" s="549" t="s">
        <v>212</v>
      </c>
      <c r="C52" s="550" t="s">
        <v>477</v>
      </c>
      <c r="D52" s="554"/>
      <c r="E52" s="554" t="n">
        <v>2311504</v>
      </c>
    </row>
    <row r="53" customFormat="false" ht="12" hidden="true" customHeight="false" outlineLevel="1" collapsed="false">
      <c r="C53" s="433" t="s">
        <v>551</v>
      </c>
      <c r="D53" s="555" t="n">
        <f aca="false">+SUM(D46:D52)</f>
        <v>7109868</v>
      </c>
      <c r="E53" s="555" t="n">
        <f aca="false">+SUM(E46:E52)</f>
        <v>7109868</v>
      </c>
      <c r="F53" s="555"/>
    </row>
    <row r="54" customFormat="false" ht="12" hidden="true" customHeight="false" outlineLevel="1" collapsed="false">
      <c r="F54" s="555"/>
      <c r="G54" s="555"/>
      <c r="H54" s="556"/>
    </row>
    <row r="55" customFormat="false" ht="12" hidden="true" customHeight="false" outlineLevel="1" collapsed="false">
      <c r="C55" s="548" t="s">
        <v>552</v>
      </c>
    </row>
    <row r="56" customFormat="false" ht="12" hidden="true" customHeight="false" outlineLevel="1" collapsed="false">
      <c r="B56" s="543" t="s">
        <v>281</v>
      </c>
      <c r="C56" s="433" t="s">
        <v>87</v>
      </c>
      <c r="D56" s="544" t="n">
        <v>500</v>
      </c>
    </row>
    <row r="57" customFormat="false" ht="12" hidden="true" customHeight="false" outlineLevel="1" collapsed="false">
      <c r="B57" s="543" t="s">
        <v>281</v>
      </c>
      <c r="C57" s="433" t="s">
        <v>541</v>
      </c>
      <c r="D57" s="544" t="n">
        <v>500</v>
      </c>
    </row>
    <row r="58" customFormat="false" ht="12" hidden="true" customHeight="false" outlineLevel="1" collapsed="false">
      <c r="B58" s="543" t="s">
        <v>281</v>
      </c>
      <c r="C58" s="433" t="s">
        <v>147</v>
      </c>
      <c r="D58" s="544" t="n">
        <v>49015</v>
      </c>
    </row>
    <row r="59" customFormat="false" ht="12" hidden="true" customHeight="false" outlineLevel="1" collapsed="false">
      <c r="B59" s="543" t="s">
        <v>281</v>
      </c>
      <c r="C59" s="433" t="s">
        <v>149</v>
      </c>
      <c r="D59" s="544" t="n">
        <f aca="false">+E63-D58-D57-D56</f>
        <v>97825</v>
      </c>
    </row>
    <row r="60" customFormat="false" ht="12" hidden="true" customHeight="false" outlineLevel="1" collapsed="false">
      <c r="B60" s="549" t="s">
        <v>281</v>
      </c>
      <c r="C60" s="550" t="s">
        <v>463</v>
      </c>
      <c r="D60" s="551" t="n">
        <v>950362</v>
      </c>
    </row>
    <row r="61" customFormat="false" ht="12" hidden="true" customHeight="false" outlineLevel="1" collapsed="false">
      <c r="B61" s="543" t="s">
        <v>212</v>
      </c>
      <c r="C61" s="433" t="s">
        <v>542</v>
      </c>
      <c r="D61" s="544" t="n">
        <v>147840</v>
      </c>
    </row>
    <row r="62" customFormat="false" ht="12" hidden="true" customHeight="false" outlineLevel="1" collapsed="false">
      <c r="B62" s="543" t="s">
        <v>208</v>
      </c>
      <c r="C62" s="433" t="s">
        <v>543</v>
      </c>
      <c r="E62" s="544" t="n">
        <f aca="false">+D61</f>
        <v>147840</v>
      </c>
    </row>
    <row r="63" customFormat="false" ht="12" hidden="true" customHeight="false" outlineLevel="1" collapsed="false">
      <c r="B63" s="543" t="s">
        <v>212</v>
      </c>
      <c r="C63" s="433" t="s">
        <v>488</v>
      </c>
      <c r="E63" s="544" t="n">
        <v>147840</v>
      </c>
    </row>
    <row r="64" customFormat="false" ht="12" hidden="true" customHeight="false" outlineLevel="1" collapsed="false">
      <c r="B64" s="549" t="s">
        <v>212</v>
      </c>
      <c r="C64" s="550" t="s">
        <v>477</v>
      </c>
      <c r="D64" s="554"/>
      <c r="E64" s="554" t="n">
        <v>950362</v>
      </c>
    </row>
    <row r="65" customFormat="false" ht="12" hidden="true" customHeight="false" outlineLevel="1" collapsed="false">
      <c r="C65" s="433" t="s">
        <v>553</v>
      </c>
      <c r="D65" s="544" t="n">
        <f aca="false">+SUM(D56:D64)</f>
        <v>1246042</v>
      </c>
      <c r="E65" s="544" t="n">
        <f aca="false">+SUM(E56:E64)</f>
        <v>1246042</v>
      </c>
      <c r="F65" s="555" t="n">
        <f aca="false">+D65-E65</f>
        <v>0</v>
      </c>
    </row>
    <row r="66" customFormat="false" ht="12" hidden="true" customHeight="false" outlineLevel="1" collapsed="false"/>
    <row r="67" customFormat="false" ht="12" hidden="true" customHeight="false" outlineLevel="1" collapsed="false">
      <c r="C67" s="548" t="s">
        <v>554</v>
      </c>
    </row>
    <row r="68" customFormat="false" ht="12" hidden="true" customHeight="false" outlineLevel="1" collapsed="false">
      <c r="B68" s="543" t="s">
        <v>282</v>
      </c>
      <c r="C68" s="433" t="s">
        <v>87</v>
      </c>
      <c r="D68" s="544" t="n">
        <v>4640</v>
      </c>
    </row>
    <row r="69" customFormat="false" ht="12" hidden="true" customHeight="false" outlineLevel="1" collapsed="false">
      <c r="B69" s="543" t="s">
        <v>282</v>
      </c>
      <c r="C69" s="433" t="s">
        <v>436</v>
      </c>
      <c r="D69" s="544" t="n">
        <v>1226</v>
      </c>
    </row>
    <row r="70" customFormat="false" ht="12" hidden="true" customHeight="false" outlineLevel="1" collapsed="false">
      <c r="B70" s="543" t="s">
        <v>282</v>
      </c>
      <c r="C70" s="433" t="s">
        <v>149</v>
      </c>
      <c r="D70" s="544" t="n">
        <f aca="false">+E73-D69-D68</f>
        <v>134186</v>
      </c>
    </row>
    <row r="71" customFormat="false" ht="12" hidden="true" customHeight="false" outlineLevel="1" collapsed="false">
      <c r="B71" s="543" t="s">
        <v>212</v>
      </c>
      <c r="C71" s="433" t="s">
        <v>542</v>
      </c>
      <c r="D71" s="544" t="n">
        <v>140052</v>
      </c>
    </row>
    <row r="72" customFormat="false" ht="12" hidden="true" customHeight="false" outlineLevel="1" collapsed="false">
      <c r="B72" s="543" t="s">
        <v>208</v>
      </c>
      <c r="C72" s="433" t="s">
        <v>543</v>
      </c>
      <c r="E72" s="544" t="n">
        <f aca="false">+D71</f>
        <v>140052</v>
      </c>
    </row>
    <row r="73" customFormat="false" ht="12" hidden="true" customHeight="false" outlineLevel="1" collapsed="false">
      <c r="B73" s="543" t="s">
        <v>212</v>
      </c>
      <c r="C73" s="433" t="s">
        <v>488</v>
      </c>
      <c r="D73" s="552"/>
      <c r="E73" s="552" t="n">
        <v>140052</v>
      </c>
    </row>
    <row r="74" customFormat="false" ht="12" hidden="true" customHeight="false" outlineLevel="1" collapsed="false">
      <c r="C74" s="433" t="s">
        <v>555</v>
      </c>
      <c r="D74" s="544" t="n">
        <f aca="false">+SUM(D68:D73)</f>
        <v>280104</v>
      </c>
      <c r="E74" s="544" t="n">
        <f aca="false">+SUM(E68:E73)</f>
        <v>280104</v>
      </c>
      <c r="F74" s="555" t="n">
        <f aca="false">+D74-E74</f>
        <v>0</v>
      </c>
    </row>
    <row r="75" customFormat="false" ht="12" hidden="true" customHeight="false" outlineLevel="1" collapsed="false">
      <c r="F75" s="555"/>
    </row>
    <row r="76" customFormat="false" ht="12" hidden="true" customHeight="false" outlineLevel="1" collapsed="false">
      <c r="C76" s="548" t="s">
        <v>556</v>
      </c>
    </row>
    <row r="77" customFormat="false" ht="12" hidden="true" customHeight="false" outlineLevel="1" collapsed="false">
      <c r="B77" s="543" t="s">
        <v>433</v>
      </c>
      <c r="C77" s="433" t="s">
        <v>87</v>
      </c>
      <c r="D77" s="544" t="n">
        <v>6000</v>
      </c>
    </row>
    <row r="78" customFormat="false" ht="12" hidden="true" customHeight="false" outlineLevel="1" collapsed="false">
      <c r="B78" s="543" t="s">
        <v>212</v>
      </c>
      <c r="C78" s="433" t="s">
        <v>488</v>
      </c>
      <c r="D78" s="552"/>
      <c r="E78" s="552" t="n">
        <f aca="false">+D77</f>
        <v>6000</v>
      </c>
      <c r="F78" s="555"/>
    </row>
    <row r="79" customFormat="false" ht="12" hidden="true" customHeight="false" outlineLevel="1" collapsed="false">
      <c r="C79" s="433" t="s">
        <v>557</v>
      </c>
      <c r="D79" s="544" t="n">
        <f aca="false">+D77+D78</f>
        <v>6000</v>
      </c>
      <c r="E79" s="544" t="n">
        <f aca="false">+E77+E78</f>
        <v>6000</v>
      </c>
      <c r="F79" s="555" t="n">
        <f aca="false">+D79-E79</f>
        <v>0</v>
      </c>
    </row>
    <row r="80" customFormat="false" ht="12" hidden="true" customHeight="false" outlineLevel="1" collapsed="false">
      <c r="F80" s="555"/>
    </row>
    <row r="81" customFormat="false" ht="12" hidden="true" customHeight="false" outlineLevel="1" collapsed="false">
      <c r="C81" s="548" t="s">
        <v>558</v>
      </c>
    </row>
    <row r="82" customFormat="false" ht="12" hidden="true" customHeight="false" outlineLevel="1" collapsed="false">
      <c r="B82" s="543" t="s">
        <v>245</v>
      </c>
      <c r="C82" s="433" t="s">
        <v>87</v>
      </c>
      <c r="D82" s="544" t="n">
        <v>740</v>
      </c>
    </row>
    <row r="83" customFormat="false" ht="12" hidden="true" customHeight="false" outlineLevel="1" collapsed="false">
      <c r="B83" s="543" t="s">
        <v>245</v>
      </c>
      <c r="C83" s="433" t="s">
        <v>147</v>
      </c>
      <c r="D83" s="544" t="n">
        <v>1833418</v>
      </c>
    </row>
    <row r="84" customFormat="false" ht="12" hidden="true" customHeight="false" outlineLevel="1" collapsed="false">
      <c r="B84" s="549" t="s">
        <v>245</v>
      </c>
      <c r="C84" s="550" t="s">
        <v>463</v>
      </c>
      <c r="D84" s="551" t="n">
        <v>6331</v>
      </c>
    </row>
    <row r="85" customFormat="false" ht="12" hidden="true" customHeight="false" outlineLevel="1" collapsed="false">
      <c r="B85" s="549" t="s">
        <v>245</v>
      </c>
      <c r="C85" s="550" t="s">
        <v>464</v>
      </c>
      <c r="D85" s="551" t="n">
        <v>4144540</v>
      </c>
    </row>
    <row r="86" customFormat="false" ht="12" hidden="true" customHeight="false" outlineLevel="1" collapsed="false">
      <c r="B86" s="549" t="s">
        <v>245</v>
      </c>
      <c r="C86" s="550" t="s">
        <v>487</v>
      </c>
      <c r="D86" s="551" t="n">
        <f aca="false">5699+1</f>
        <v>5700</v>
      </c>
    </row>
    <row r="87" customFormat="false" ht="12" hidden="true" customHeight="false" outlineLevel="1" collapsed="false">
      <c r="B87" s="543" t="s">
        <v>212</v>
      </c>
      <c r="C87" s="433" t="s">
        <v>542</v>
      </c>
      <c r="D87" s="544" t="n">
        <v>366832</v>
      </c>
    </row>
    <row r="88" customFormat="false" ht="12" hidden="true" customHeight="false" outlineLevel="1" collapsed="false">
      <c r="B88" s="543" t="s">
        <v>212</v>
      </c>
      <c r="C88" s="433" t="s">
        <v>488</v>
      </c>
      <c r="E88" s="544" t="n">
        <v>1834158</v>
      </c>
    </row>
    <row r="89" customFormat="false" ht="12" hidden="true" customHeight="false" outlineLevel="1" collapsed="false">
      <c r="B89" s="543" t="s">
        <v>212</v>
      </c>
      <c r="C89" s="433" t="s">
        <v>559</v>
      </c>
      <c r="E89" s="544" t="n">
        <v>366832</v>
      </c>
    </row>
    <row r="90" customFormat="false" ht="12" hidden="true" customHeight="false" outlineLevel="1" collapsed="false">
      <c r="B90" s="549" t="s">
        <v>212</v>
      </c>
      <c r="C90" s="550" t="s">
        <v>477</v>
      </c>
      <c r="D90" s="554"/>
      <c r="E90" s="554" t="n">
        <v>4156571</v>
      </c>
    </row>
    <row r="91" customFormat="false" ht="12" hidden="true" customHeight="false" outlineLevel="1" collapsed="false">
      <c r="C91" s="433" t="s">
        <v>560</v>
      </c>
      <c r="D91" s="544" t="n">
        <f aca="false">+SUM(D82:D90)</f>
        <v>6357561</v>
      </c>
      <c r="E91" s="544" t="n">
        <f aca="false">+SUM(E82:E90)</f>
        <v>6357561</v>
      </c>
      <c r="F91" s="555" t="n">
        <f aca="false">+D91-E91</f>
        <v>0</v>
      </c>
    </row>
    <row r="92" customFormat="false" ht="12" hidden="true" customHeight="false" outlineLevel="1" collapsed="false"/>
    <row r="93" customFormat="false" ht="12" hidden="true" customHeight="false" outlineLevel="1" collapsed="false">
      <c r="C93" s="548" t="s">
        <v>561</v>
      </c>
    </row>
    <row r="94" customFormat="false" ht="12" hidden="true" customHeight="false" outlineLevel="1" collapsed="false">
      <c r="B94" s="543" t="s">
        <v>247</v>
      </c>
      <c r="C94" s="433" t="s">
        <v>87</v>
      </c>
      <c r="D94" s="544" t="n">
        <v>3624786</v>
      </c>
    </row>
    <row r="95" customFormat="false" ht="12" hidden="true" customHeight="false" outlineLevel="1" collapsed="false">
      <c r="B95" s="543" t="s">
        <v>247</v>
      </c>
      <c r="C95" s="433" t="s">
        <v>147</v>
      </c>
      <c r="D95" s="544" t="n">
        <v>292500</v>
      </c>
    </row>
    <row r="96" customFormat="false" ht="12" hidden="true" customHeight="false" outlineLevel="1" collapsed="false">
      <c r="B96" s="543" t="s">
        <v>247</v>
      </c>
      <c r="C96" s="433" t="s">
        <v>562</v>
      </c>
      <c r="D96" s="544" t="n">
        <v>274690</v>
      </c>
    </row>
    <row r="97" customFormat="false" ht="12" hidden="true" customHeight="false" outlineLevel="1" collapsed="false">
      <c r="B97" s="549" t="s">
        <v>247</v>
      </c>
      <c r="C97" s="550" t="s">
        <v>463</v>
      </c>
      <c r="D97" s="551" t="n">
        <v>282302</v>
      </c>
    </row>
    <row r="98" customFormat="false" ht="12" hidden="true" customHeight="false" outlineLevel="1" collapsed="false">
      <c r="B98" s="549" t="s">
        <v>247</v>
      </c>
      <c r="C98" s="550" t="s">
        <v>464</v>
      </c>
      <c r="D98" s="551" t="n">
        <v>658889</v>
      </c>
    </row>
    <row r="99" s="433" customFormat="true" ht="12" hidden="true" customHeight="false" outlineLevel="1" collapsed="false">
      <c r="B99" s="549" t="s">
        <v>208</v>
      </c>
      <c r="C99" s="550" t="s">
        <v>72</v>
      </c>
      <c r="D99" s="551" t="n">
        <v>238</v>
      </c>
    </row>
    <row r="100" customFormat="false" ht="12" hidden="true" customHeight="false" outlineLevel="1" collapsed="false">
      <c r="B100" s="543" t="s">
        <v>247</v>
      </c>
      <c r="C100" s="433" t="s">
        <v>563</v>
      </c>
      <c r="E100" s="544" t="n">
        <v>56932</v>
      </c>
    </row>
    <row r="101" customFormat="false" ht="12" hidden="true" customHeight="false" outlineLevel="1" collapsed="false">
      <c r="B101" s="549" t="s">
        <v>212</v>
      </c>
      <c r="C101" s="550" t="s">
        <v>534</v>
      </c>
      <c r="D101" s="551"/>
      <c r="E101" s="551" t="n">
        <v>72</v>
      </c>
    </row>
    <row r="102" customFormat="false" ht="12" hidden="true" customHeight="false" outlineLevel="1" collapsed="false">
      <c r="B102" s="549" t="s">
        <v>212</v>
      </c>
      <c r="C102" s="550" t="s">
        <v>564</v>
      </c>
      <c r="D102" s="551"/>
      <c r="E102" s="551" t="n">
        <v>411576</v>
      </c>
      <c r="F102" s="555" t="n">
        <f aca="false">+D97+D98+D99-E101-E102</f>
        <v>529781</v>
      </c>
    </row>
    <row r="103" customFormat="false" ht="12" hidden="true" customHeight="false" outlineLevel="1" collapsed="false">
      <c r="B103" s="543" t="s">
        <v>212</v>
      </c>
      <c r="C103" s="433" t="s">
        <v>488</v>
      </c>
      <c r="E103" s="544" t="n">
        <v>1173781</v>
      </c>
    </row>
    <row r="104" customFormat="false" ht="12" hidden="true" customHeight="false" outlineLevel="1" collapsed="false">
      <c r="B104" s="543" t="s">
        <v>208</v>
      </c>
      <c r="C104" s="433" t="s">
        <v>565</v>
      </c>
      <c r="D104" s="552"/>
      <c r="E104" s="552" t="n">
        <v>3491044</v>
      </c>
    </row>
    <row r="105" customFormat="false" ht="12" hidden="true" customHeight="false" outlineLevel="1" collapsed="false">
      <c r="C105" s="433" t="s">
        <v>566</v>
      </c>
      <c r="D105" s="544" t="n">
        <f aca="false">+SUM(D94:D104)</f>
        <v>5133405</v>
      </c>
      <c r="E105" s="544" t="n">
        <f aca="false">+SUM(E94:E104)</f>
        <v>5133405</v>
      </c>
      <c r="F105" s="555" t="n">
        <f aca="false">+E105-D105</f>
        <v>0</v>
      </c>
    </row>
    <row r="106" customFormat="false" ht="12" hidden="true" customHeight="false" outlineLevel="1" collapsed="false"/>
    <row r="107" customFormat="false" ht="12" hidden="true" customHeight="false" outlineLevel="1" collapsed="false">
      <c r="C107" s="548" t="s">
        <v>567</v>
      </c>
    </row>
    <row r="108" customFormat="false" ht="12" hidden="true" customHeight="false" outlineLevel="1" collapsed="false">
      <c r="B108" s="543" t="s">
        <v>32</v>
      </c>
      <c r="C108" s="433" t="s">
        <v>87</v>
      </c>
      <c r="D108" s="544" t="n">
        <v>10000</v>
      </c>
    </row>
    <row r="109" customFormat="false" ht="12" hidden="true" customHeight="false" outlineLevel="1" collapsed="false">
      <c r="B109" s="549" t="s">
        <v>32</v>
      </c>
      <c r="C109" s="550" t="s">
        <v>463</v>
      </c>
      <c r="D109" s="551" t="n">
        <v>27651</v>
      </c>
    </row>
    <row r="110" customFormat="false" ht="12" hidden="true" customHeight="false" outlineLevel="1" collapsed="false">
      <c r="B110" s="549" t="s">
        <v>32</v>
      </c>
      <c r="C110" s="550" t="s">
        <v>568</v>
      </c>
      <c r="D110" s="551" t="n">
        <v>49358</v>
      </c>
    </row>
    <row r="111" customFormat="false" ht="12" hidden="true" customHeight="false" outlineLevel="1" collapsed="false">
      <c r="B111" s="549" t="s">
        <v>32</v>
      </c>
      <c r="C111" s="550" t="s">
        <v>464</v>
      </c>
      <c r="D111" s="551" t="n">
        <v>1193125</v>
      </c>
    </row>
    <row r="112" customFormat="false" ht="12" hidden="true" customHeight="false" outlineLevel="1" collapsed="false">
      <c r="B112" s="543" t="s">
        <v>212</v>
      </c>
      <c r="C112" s="433" t="s">
        <v>488</v>
      </c>
      <c r="E112" s="544" t="n">
        <v>1193125</v>
      </c>
    </row>
    <row r="113" customFormat="false" ht="12" hidden="true" customHeight="false" outlineLevel="1" collapsed="false">
      <c r="B113" s="549" t="s">
        <v>212</v>
      </c>
      <c r="C113" s="550" t="s">
        <v>569</v>
      </c>
      <c r="D113" s="554"/>
      <c r="E113" s="554" t="n">
        <v>87009</v>
      </c>
      <c r="F113" s="555" t="n">
        <f aca="false">+D109+D110+D111-E113</f>
        <v>1183125</v>
      </c>
    </row>
    <row r="114" customFormat="false" ht="12" hidden="true" customHeight="false" outlineLevel="1" collapsed="false">
      <c r="C114" s="433" t="s">
        <v>489</v>
      </c>
      <c r="D114" s="544" t="n">
        <f aca="false">+SUM(D108:D113)</f>
        <v>1280134</v>
      </c>
      <c r="E114" s="544" t="n">
        <f aca="false">+SUM(E108:E113)</f>
        <v>1280134</v>
      </c>
      <c r="F114" s="555" t="n">
        <f aca="false">+E114-D114</f>
        <v>0</v>
      </c>
    </row>
    <row r="115" customFormat="false" ht="12" hidden="true" customHeight="false" outlineLevel="1" collapsed="false"/>
    <row r="116" customFormat="false" ht="12" hidden="true" customHeight="false" outlineLevel="1" collapsed="false"/>
    <row r="117" customFormat="false" ht="12" hidden="true" customHeight="false" outlineLevel="1" collapsed="false">
      <c r="C117" s="548" t="s">
        <v>570</v>
      </c>
    </row>
    <row r="118" customFormat="false" ht="12" hidden="true" customHeight="false" outlineLevel="1" collapsed="false">
      <c r="B118" s="549" t="s">
        <v>243</v>
      </c>
      <c r="C118" s="550" t="s">
        <v>463</v>
      </c>
      <c r="D118" s="551" t="n">
        <v>4733</v>
      </c>
      <c r="E118" s="551"/>
    </row>
    <row r="119" customFormat="false" ht="12" hidden="true" customHeight="false" outlineLevel="1" collapsed="false">
      <c r="B119" s="549" t="s">
        <v>462</v>
      </c>
      <c r="C119" s="550" t="s">
        <v>477</v>
      </c>
      <c r="D119" s="554"/>
      <c r="E119" s="554" t="n">
        <v>4733</v>
      </c>
    </row>
    <row r="120" customFormat="false" ht="12" hidden="true" customHeight="false" outlineLevel="1" collapsed="false">
      <c r="C120" s="433" t="s">
        <v>491</v>
      </c>
      <c r="D120" s="544" t="n">
        <f aca="false">+D118+D119</f>
        <v>4733</v>
      </c>
      <c r="E120" s="544" t="n">
        <f aca="false">+E118+E119</f>
        <v>4733</v>
      </c>
    </row>
    <row r="121" customFormat="false" ht="12" hidden="true" customHeight="false" outlineLevel="1" collapsed="false"/>
    <row r="122" customFormat="false" ht="12" hidden="true" customHeight="false" outlineLevel="1" collapsed="false">
      <c r="C122" s="548" t="s">
        <v>571</v>
      </c>
    </row>
    <row r="123" customFormat="false" ht="12" hidden="true" customHeight="false" outlineLevel="1" collapsed="false">
      <c r="B123" s="543" t="s">
        <v>212</v>
      </c>
      <c r="C123" s="433" t="s">
        <v>283</v>
      </c>
      <c r="D123" s="544" t="n">
        <v>394335</v>
      </c>
    </row>
    <row r="124" customFormat="false" ht="12" hidden="true" customHeight="false" outlineLevel="1" collapsed="false">
      <c r="B124" s="543" t="s">
        <v>212</v>
      </c>
      <c r="C124" s="433" t="s">
        <v>565</v>
      </c>
      <c r="D124" s="552"/>
      <c r="E124" s="552" t="n">
        <f aca="false">+D123</f>
        <v>394335</v>
      </c>
    </row>
    <row r="125" customFormat="false" ht="12" hidden="true" customHeight="false" outlineLevel="1" collapsed="false">
      <c r="C125" s="433" t="s">
        <v>572</v>
      </c>
      <c r="D125" s="544" t="n">
        <f aca="false">+D123+D124</f>
        <v>394335</v>
      </c>
      <c r="E125" s="544" t="n">
        <f aca="false">+E123+E124</f>
        <v>394335</v>
      </c>
    </row>
    <row r="126" customFormat="false" ht="12" hidden="true" customHeight="false" outlineLevel="1" collapsed="false"/>
    <row r="127" customFormat="false" ht="12" hidden="true" customHeight="false" outlineLevel="1" collapsed="false">
      <c r="C127" s="548" t="s">
        <v>573</v>
      </c>
    </row>
    <row r="128" customFormat="false" ht="12" hidden="true" customHeight="false" outlineLevel="1" collapsed="false">
      <c r="B128" s="543" t="s">
        <v>212</v>
      </c>
      <c r="C128" s="433" t="s">
        <v>149</v>
      </c>
      <c r="D128" s="544" t="n">
        <v>441072</v>
      </c>
    </row>
    <row r="129" customFormat="false" ht="12" hidden="true" customHeight="false" outlineLevel="1" collapsed="false">
      <c r="B129" s="543" t="s">
        <v>212</v>
      </c>
      <c r="C129" s="433" t="s">
        <v>488</v>
      </c>
      <c r="D129" s="552"/>
      <c r="E129" s="552" t="n">
        <f aca="false">+D128</f>
        <v>441072</v>
      </c>
    </row>
    <row r="130" customFormat="false" ht="12" hidden="true" customHeight="false" outlineLevel="1" collapsed="false">
      <c r="C130" s="433" t="s">
        <v>574</v>
      </c>
      <c r="D130" s="544" t="n">
        <f aca="false">+D128+D129</f>
        <v>441072</v>
      </c>
      <c r="E130" s="544" t="n">
        <f aca="false">+E128+E129</f>
        <v>441072</v>
      </c>
    </row>
    <row r="131" customFormat="false" ht="12" hidden="true" customHeight="false" outlineLevel="1" collapsed="false"/>
    <row r="132" customFormat="false" ht="12" hidden="true" customHeight="false" outlineLevel="1" collapsed="false"/>
    <row r="133" customFormat="false" ht="12" hidden="true" customHeight="false" outlineLevel="1" collapsed="false">
      <c r="D133" s="544" t="n">
        <f aca="false">+D120+D114+D105+D91+D79+D74+D65+D53+D37+D29+D20+D13+D43+D125+D130</f>
        <v>57920523</v>
      </c>
      <c r="E133" s="544" t="n">
        <f aca="false">+E120+E114+E105+E91+E79+E74+E65+E53+E37+E29+E20+E13+E43+E125+E130</f>
        <v>57920523</v>
      </c>
    </row>
    <row r="134" customFormat="false" ht="12" hidden="true" customHeight="false" outlineLevel="1" collapsed="false"/>
    <row r="135" customFormat="false" ht="14.25" hidden="false" customHeight="false" outlineLevel="0" collapsed="false">
      <c r="C135" s="557" t="s">
        <v>575</v>
      </c>
    </row>
    <row r="136" customFormat="false" ht="12" hidden="false" customHeight="false" outlineLevel="0" collapsed="false">
      <c r="C136" s="558" t="s">
        <v>576</v>
      </c>
      <c r="D136" s="559" t="s">
        <v>216</v>
      </c>
      <c r="E136" s="559" t="s">
        <v>460</v>
      </c>
    </row>
    <row r="137" customFormat="false" ht="12" hidden="false" customHeight="false" outlineLevel="0" collapsed="false">
      <c r="C137" s="560" t="s">
        <v>172</v>
      </c>
      <c r="D137" s="561" t="n">
        <f aca="false">+D94+D82+D77+D68+D56+D40+D32+D23+D16+D4</f>
        <v>4753717</v>
      </c>
      <c r="E137" s="561"/>
    </row>
    <row r="138" customFormat="false" ht="12" hidden="false" customHeight="false" outlineLevel="0" collapsed="false">
      <c r="C138" s="560" t="s">
        <v>90</v>
      </c>
      <c r="D138" s="561" t="n">
        <f aca="false">+D24+D57</f>
        <v>74927</v>
      </c>
      <c r="E138" s="561"/>
    </row>
    <row r="139" customFormat="false" ht="12" hidden="false" customHeight="false" outlineLevel="0" collapsed="false">
      <c r="C139" s="560" t="s">
        <v>92</v>
      </c>
      <c r="D139" s="561" t="n">
        <f aca="false">+D17+D33+D69</f>
        <v>111199</v>
      </c>
      <c r="E139" s="561"/>
    </row>
    <row r="140" customFormat="false" ht="12" hidden="false" customHeight="false" outlineLevel="0" collapsed="false">
      <c r="C140" s="560" t="s">
        <v>470</v>
      </c>
      <c r="D140" s="561" t="n">
        <f aca="false">+D5+D34+D41+D58+D83+D95</f>
        <v>31237644</v>
      </c>
      <c r="E140" s="561"/>
    </row>
    <row r="141" customFormat="false" ht="12" hidden="false" customHeight="false" outlineLevel="0" collapsed="false">
      <c r="C141" s="560" t="s">
        <v>577</v>
      </c>
      <c r="D141" s="561" t="n">
        <f aca="false">+D96</f>
        <v>274690</v>
      </c>
      <c r="E141" s="561"/>
    </row>
    <row r="142" customFormat="false" ht="12" hidden="false" customHeight="false" outlineLevel="0" collapsed="false">
      <c r="C142" s="560" t="s">
        <v>50</v>
      </c>
      <c r="D142" s="561" t="n">
        <f aca="false">+D18</f>
        <v>1113036</v>
      </c>
      <c r="E142" s="561"/>
    </row>
    <row r="143" customFormat="false" ht="12" hidden="false" customHeight="false" outlineLevel="0" collapsed="false">
      <c r="C143" s="560" t="s">
        <v>54</v>
      </c>
      <c r="D143" s="561" t="n">
        <f aca="false">+D123</f>
        <v>394335</v>
      </c>
      <c r="E143" s="561"/>
    </row>
    <row r="144" customFormat="false" ht="12" hidden="false" customHeight="false" outlineLevel="0" collapsed="false">
      <c r="C144" s="560" t="s">
        <v>578</v>
      </c>
      <c r="D144" s="561"/>
      <c r="E144" s="561" t="n">
        <f aca="false">+E100-82150</f>
        <v>-25218</v>
      </c>
    </row>
    <row r="145" customFormat="false" ht="12" hidden="false" customHeight="false" outlineLevel="0" collapsed="false">
      <c r="C145" s="560" t="s">
        <v>579</v>
      </c>
      <c r="D145" s="561"/>
      <c r="E145" s="561" t="n">
        <f aca="false">+E27-D25-D35+E62-D70+E72+E89+E104+E124-D128-D59+82150</f>
        <v>4008730</v>
      </c>
    </row>
    <row r="146" customFormat="false" ht="12" hidden="false" customHeight="false" outlineLevel="0" collapsed="false">
      <c r="C146" s="560" t="s">
        <v>499</v>
      </c>
      <c r="D146" s="561"/>
      <c r="E146" s="561" t="n">
        <f aca="false">+E11+E28+E36+E42+E63+E73+E78+E88+E103+E129-D26-D61-D71-D87+E19</f>
        <v>34505817</v>
      </c>
    </row>
    <row r="147" customFormat="false" ht="12" hidden="false" customHeight="false" outlineLevel="0" collapsed="false">
      <c r="C147" s="560" t="s">
        <v>580</v>
      </c>
      <c r="D147" s="561" t="n">
        <f aca="false">38489329-37959548</f>
        <v>529781</v>
      </c>
      <c r="E147" s="561"/>
    </row>
    <row r="148" customFormat="false" ht="12" hidden="false" customHeight="false" outlineLevel="0" collapsed="false">
      <c r="C148" s="562" t="s">
        <v>501</v>
      </c>
      <c r="D148" s="563" t="n">
        <f aca="false">SUM(D137:D147)</f>
        <v>38489329</v>
      </c>
      <c r="E148" s="563" t="n">
        <f aca="false">SUM(E137:E147)</f>
        <v>38489329</v>
      </c>
    </row>
    <row r="149" customFormat="false" ht="12" hidden="false" customHeight="false" outlineLevel="0" collapsed="false">
      <c r="C149" s="564"/>
    </row>
    <row r="150" customFormat="false" ht="14.25" hidden="false" customHeight="false" outlineLevel="0" collapsed="false">
      <c r="C150" s="557" t="s">
        <v>581</v>
      </c>
    </row>
    <row r="151" customFormat="false" ht="24" hidden="false" customHeight="false" outlineLevel="0" collapsed="false">
      <c r="C151" s="565" t="s">
        <v>582</v>
      </c>
      <c r="D151" s="559" t="s">
        <v>216</v>
      </c>
      <c r="E151" s="559" t="s">
        <v>460</v>
      </c>
    </row>
    <row r="152" customFormat="false" ht="12" hidden="false" customHeight="false" outlineLevel="0" collapsed="false">
      <c r="C152" s="560" t="s">
        <v>583</v>
      </c>
      <c r="D152" s="561" t="n">
        <v>1378712</v>
      </c>
      <c r="E152" s="561"/>
    </row>
    <row r="153" customFormat="false" ht="12" hidden="false" customHeight="false" outlineLevel="0" collapsed="false">
      <c r="C153" s="560" t="s">
        <v>584</v>
      </c>
      <c r="D153" s="561" t="n">
        <f aca="false">+E154+E155+E156-D152</f>
        <v>1140</v>
      </c>
      <c r="E153" s="561"/>
    </row>
    <row r="154" customFormat="false" ht="12" hidden="false" customHeight="false" outlineLevel="0" collapsed="false">
      <c r="C154" s="560" t="s">
        <v>585</v>
      </c>
      <c r="D154" s="561"/>
      <c r="E154" s="561" t="n">
        <v>1138228</v>
      </c>
    </row>
    <row r="155" customFormat="false" ht="12" hidden="false" customHeight="false" outlineLevel="0" collapsed="false">
      <c r="C155" s="560" t="s">
        <v>579</v>
      </c>
      <c r="D155" s="561"/>
      <c r="E155" s="561" t="n">
        <v>201038</v>
      </c>
    </row>
    <row r="156" customFormat="false" ht="12" hidden="false" customHeight="false" outlineLevel="0" collapsed="false">
      <c r="C156" s="560" t="s">
        <v>586</v>
      </c>
      <c r="D156" s="561"/>
      <c r="E156" s="561" t="n">
        <v>40586</v>
      </c>
    </row>
    <row r="157" customFormat="false" ht="12" hidden="false" customHeight="false" outlineLevel="0" collapsed="false">
      <c r="C157" s="540" t="s">
        <v>587</v>
      </c>
      <c r="D157" s="563" t="n">
        <f aca="false">SUM(D152:D156)</f>
        <v>1379852</v>
      </c>
      <c r="E157" s="563" t="n">
        <f aca="false">SUM(E152:E156)</f>
        <v>1379852</v>
      </c>
    </row>
    <row r="158" customFormat="false" ht="12" hidden="false" customHeight="false" outlineLevel="0" collapsed="false">
      <c r="C158" s="564"/>
    </row>
    <row r="159" customFormat="false" ht="14.25" hidden="false" customHeight="false" outlineLevel="0" collapsed="false">
      <c r="C159" s="557" t="s">
        <v>588</v>
      </c>
    </row>
    <row r="160" customFormat="false" ht="24" hidden="false" customHeight="false" outlineLevel="0" collapsed="false">
      <c r="C160" s="566" t="s">
        <v>589</v>
      </c>
      <c r="D160" s="567" t="s">
        <v>216</v>
      </c>
      <c r="E160" s="559" t="s">
        <v>460</v>
      </c>
    </row>
    <row r="161" customFormat="false" ht="12" hidden="false" customHeight="false" outlineLevel="0" collapsed="false">
      <c r="C161" s="568" t="s">
        <v>172</v>
      </c>
      <c r="D161" s="569" t="n">
        <v>46283</v>
      </c>
      <c r="E161" s="569"/>
    </row>
    <row r="162" customFormat="false" ht="12" hidden="false" customHeight="false" outlineLevel="0" collapsed="false">
      <c r="C162" s="568" t="s">
        <v>470</v>
      </c>
      <c r="D162" s="561" t="n">
        <v>9402245</v>
      </c>
      <c r="E162" s="561"/>
    </row>
    <row r="163" customFormat="false" ht="12" hidden="false" customHeight="false" outlineLevel="0" collapsed="false">
      <c r="C163" s="568" t="s">
        <v>149</v>
      </c>
      <c r="D163" s="561"/>
      <c r="E163" s="561" t="n">
        <v>1775136</v>
      </c>
    </row>
    <row r="164" customFormat="false" ht="12" hidden="false" customHeight="false" outlineLevel="0" collapsed="false">
      <c r="C164" s="568" t="s">
        <v>590</v>
      </c>
      <c r="D164" s="561"/>
      <c r="E164" s="561" t="n">
        <f aca="false">+D161+D162-E163</f>
        <v>7673392</v>
      </c>
    </row>
    <row r="165" customFormat="false" ht="12" hidden="false" customHeight="false" outlineLevel="0" collapsed="false">
      <c r="C165" s="562" t="s">
        <v>501</v>
      </c>
      <c r="D165" s="563" t="n">
        <f aca="false">SUM(D161:D164)</f>
        <v>9448528</v>
      </c>
      <c r="E165" s="563" t="n">
        <f aca="false">SUM(E161:E164)</f>
        <v>9448528</v>
      </c>
    </row>
    <row r="167" customFormat="false" ht="14.25" hidden="false" customHeight="false" outlineLevel="0" collapsed="false">
      <c r="C167" s="557" t="s">
        <v>591</v>
      </c>
    </row>
    <row r="168" customFormat="false" ht="24" hidden="false" customHeight="false" outlineLevel="0" collapsed="false">
      <c r="C168" s="566" t="s">
        <v>592</v>
      </c>
      <c r="D168" s="567" t="s">
        <v>216</v>
      </c>
      <c r="E168" s="559" t="s">
        <v>460</v>
      </c>
    </row>
    <row r="169" customFormat="false" ht="12" hidden="false" customHeight="false" outlineLevel="0" collapsed="false">
      <c r="C169" s="568" t="s">
        <v>470</v>
      </c>
      <c r="D169" s="561" t="n">
        <v>1188714</v>
      </c>
      <c r="E169" s="561"/>
    </row>
    <row r="170" customFormat="false" ht="12" hidden="false" customHeight="false" outlineLevel="0" collapsed="false">
      <c r="C170" s="568" t="s">
        <v>590</v>
      </c>
      <c r="D170" s="561"/>
      <c r="E170" s="561" t="n">
        <f aca="false">+D169</f>
        <v>1188714</v>
      </c>
      <c r="F170" s="555"/>
    </row>
    <row r="171" customFormat="false" ht="12" hidden="false" customHeight="false" outlineLevel="0" collapsed="false">
      <c r="C171" s="562" t="s">
        <v>501</v>
      </c>
      <c r="D171" s="563" t="n">
        <f aca="false">SUM(D169:D170)</f>
        <v>1188714</v>
      </c>
      <c r="E171" s="563" t="n">
        <f aca="false">SUM(E169:E170)</f>
        <v>1188714</v>
      </c>
    </row>
    <row r="173" customFormat="false" ht="14.25" hidden="false" customHeight="false" outlineLevel="0" collapsed="false">
      <c r="C173" s="557" t="s">
        <v>593</v>
      </c>
    </row>
    <row r="174" customFormat="false" ht="12" hidden="false" customHeight="false" outlineLevel="0" collapsed="false">
      <c r="C174" s="566" t="s">
        <v>594</v>
      </c>
      <c r="D174" s="567" t="s">
        <v>216</v>
      </c>
      <c r="E174" s="559" t="s">
        <v>460</v>
      </c>
    </row>
    <row r="175" customFormat="false" ht="12" hidden="false" customHeight="false" outlineLevel="0" collapsed="false">
      <c r="C175" s="568" t="s">
        <v>595</v>
      </c>
      <c r="D175" s="561" t="n">
        <f aca="false">+E177-D176</f>
        <v>72642</v>
      </c>
      <c r="E175" s="561"/>
    </row>
    <row r="176" customFormat="false" ht="12" hidden="false" customHeight="false" outlineLevel="0" collapsed="false">
      <c r="C176" s="568" t="s">
        <v>54</v>
      </c>
      <c r="D176" s="561" t="n">
        <v>78648</v>
      </c>
      <c r="E176" s="561"/>
    </row>
    <row r="177" customFormat="false" ht="12" hidden="false" customHeight="false" outlineLevel="0" collapsed="false">
      <c r="C177" s="568" t="s">
        <v>596</v>
      </c>
      <c r="D177" s="561"/>
      <c r="E177" s="561" t="n">
        <v>151290</v>
      </c>
    </row>
    <row r="178" customFormat="false" ht="12" hidden="false" customHeight="false" outlineLevel="0" collapsed="false">
      <c r="C178" s="562" t="s">
        <v>501</v>
      </c>
      <c r="D178" s="563" t="n">
        <f aca="false">SUM(D175:D177)</f>
        <v>151290</v>
      </c>
      <c r="E178" s="563" t="n">
        <f aca="false">SUM(E175:E177)</f>
        <v>151290</v>
      </c>
    </row>
    <row r="179" s="564" customFormat="true" ht="12" hidden="false" customHeight="false" outlineLevel="0" collapsed="false">
      <c r="B179" s="570"/>
      <c r="C179" s="571"/>
      <c r="D179" s="572"/>
      <c r="E179" s="572"/>
    </row>
    <row r="180" customFormat="false" ht="14.25" hidden="false" customHeight="false" outlineLevel="0" collapsed="false">
      <c r="C180" s="557" t="s">
        <v>597</v>
      </c>
      <c r="D180" s="552"/>
      <c r="E180" s="552"/>
    </row>
    <row r="181" customFormat="false" ht="24" hidden="false" customHeight="false" outlineLevel="0" collapsed="false">
      <c r="C181" s="566" t="s">
        <v>598</v>
      </c>
      <c r="D181" s="567" t="s">
        <v>216</v>
      </c>
      <c r="E181" s="559" t="s">
        <v>460</v>
      </c>
    </row>
    <row r="182" customFormat="false" ht="12" hidden="false" customHeight="false" outlineLevel="0" collapsed="false">
      <c r="C182" s="568" t="s">
        <v>599</v>
      </c>
      <c r="D182" s="561" t="n">
        <f aca="false">-Participaciones!I61</f>
        <v>1317319.89366</v>
      </c>
      <c r="E182" s="561"/>
    </row>
    <row r="183" customFormat="false" ht="12" hidden="false" customHeight="false" outlineLevel="0" collapsed="false">
      <c r="C183" s="568" t="s">
        <v>579</v>
      </c>
      <c r="D183" s="561"/>
      <c r="E183" s="561" t="n">
        <f aca="false">+D182</f>
        <v>1317319.89366</v>
      </c>
    </row>
    <row r="184" customFormat="false" ht="12" hidden="false" customHeight="false" outlineLevel="0" collapsed="false">
      <c r="C184" s="562" t="s">
        <v>501</v>
      </c>
      <c r="D184" s="563" t="n">
        <f aca="false">SUM(D182:D183)</f>
        <v>1317319.89366</v>
      </c>
      <c r="E184" s="563" t="n">
        <f aca="false">SUM(E182:E183)</f>
        <v>1317319.89366</v>
      </c>
    </row>
    <row r="185" customFormat="false" ht="12" hidden="false" customHeight="false" outlineLevel="0" collapsed="false">
      <c r="C185" s="564"/>
    </row>
    <row r="186" customFormat="false" ht="14.25" hidden="false" customHeight="false" outlineLevel="0" collapsed="false">
      <c r="C186" s="557" t="s">
        <v>600</v>
      </c>
      <c r="D186" s="552"/>
      <c r="E186" s="552"/>
    </row>
    <row r="187" customFormat="false" ht="24" hidden="false" customHeight="false" outlineLevel="0" collapsed="false">
      <c r="C187" s="566" t="s">
        <v>601</v>
      </c>
      <c r="D187" s="567" t="s">
        <v>216</v>
      </c>
      <c r="E187" s="559" t="s">
        <v>460</v>
      </c>
    </row>
    <row r="188" customFormat="false" ht="12" hidden="false" customHeight="false" outlineLevel="0" collapsed="false">
      <c r="C188" s="568" t="s">
        <v>599</v>
      </c>
      <c r="D188" s="561" t="n">
        <f aca="false">-PAT19!E7</f>
        <v>3200</v>
      </c>
      <c r="E188" s="561"/>
    </row>
    <row r="189" customFormat="false" ht="12" hidden="false" customHeight="false" outlineLevel="0" collapsed="false">
      <c r="C189" s="568" t="s">
        <v>602</v>
      </c>
      <c r="D189" s="561"/>
      <c r="E189" s="561" t="n">
        <f aca="false">+D188</f>
        <v>3200</v>
      </c>
    </row>
    <row r="190" customFormat="false" ht="12" hidden="false" customHeight="false" outlineLevel="0" collapsed="false">
      <c r="C190" s="562" t="s">
        <v>501</v>
      </c>
      <c r="D190" s="563" t="n">
        <f aca="false">SUM(D188:D189)</f>
        <v>3200</v>
      </c>
      <c r="E190" s="563" t="n">
        <f aca="false">SUM(E188:E189)</f>
        <v>3200</v>
      </c>
    </row>
    <row r="191" customFormat="false" ht="12" hidden="false" customHeight="false" outlineLevel="0" collapsed="false">
      <c r="C191" s="564"/>
    </row>
    <row r="192" customFormat="false" ht="14.25" hidden="false" customHeight="false" outlineLevel="0" collapsed="false">
      <c r="C192" s="573" t="s">
        <v>603</v>
      </c>
    </row>
    <row r="193" customFormat="false" ht="24" hidden="false" customHeight="false" outlineLevel="0" collapsed="false">
      <c r="C193" s="446" t="s">
        <v>492</v>
      </c>
      <c r="D193" s="430"/>
      <c r="E193" s="430"/>
    </row>
    <row r="194" customFormat="false" ht="12" hidden="false" customHeight="false" outlineLevel="0" collapsed="false">
      <c r="C194" s="448" t="s">
        <v>493</v>
      </c>
      <c r="D194" s="449" t="n">
        <f aca="false">+'Saldos interco.'!C7+'Saldos interco.'!C17+'Saldos interco.'!C32+'Saldos interco.'!C34+'Saldos interco.'!C41+'Saldos interco.'!C53+'Saldos interco.'!C62+'Saldos interco.'!C43</f>
        <v>4805916</v>
      </c>
      <c r="E194" s="419"/>
    </row>
    <row r="195" customFormat="false" ht="12" hidden="false" customHeight="false" outlineLevel="0" collapsed="false">
      <c r="C195" s="448" t="s">
        <v>80</v>
      </c>
      <c r="D195" s="449" t="n">
        <f aca="false">+'Saldos interco.'!C8+'Saldos interco.'!C33+'Saldos interco.'!C42+'Saldos interco.'!C15+'Saldos interco.'!C16+'Saldos interco.'!C55</f>
        <v>6382377</v>
      </c>
      <c r="E195" s="419"/>
    </row>
    <row r="196" customFormat="false" ht="12" hidden="true" customHeight="false" outlineLevel="0" collapsed="false">
      <c r="C196" s="448" t="s">
        <v>494</v>
      </c>
      <c r="D196" s="449"/>
      <c r="E196" s="419"/>
    </row>
    <row r="197" customFormat="false" ht="12" hidden="false" customHeight="false" outlineLevel="0" collapsed="false">
      <c r="C197" s="448" t="s">
        <v>470</v>
      </c>
      <c r="D197" s="449" t="n">
        <f aca="false">+'Saldos interco.'!C18</f>
        <v>3608585</v>
      </c>
      <c r="E197" s="419"/>
    </row>
    <row r="198" customFormat="false" ht="12" hidden="false" customHeight="false" outlineLevel="0" collapsed="false">
      <c r="C198" s="448" t="s">
        <v>149</v>
      </c>
      <c r="D198" s="449" t="n">
        <f aca="false">+'Saldos interco.'!C26</f>
        <v>950362</v>
      </c>
      <c r="E198" s="419"/>
    </row>
    <row r="199" customFormat="false" ht="12" hidden="false" customHeight="false" outlineLevel="0" collapsed="false">
      <c r="C199" s="448" t="s">
        <v>172</v>
      </c>
      <c r="D199" s="449" t="n">
        <f aca="false">+'Saldos interco.'!C52</f>
        <v>10000</v>
      </c>
      <c r="E199" s="419"/>
    </row>
    <row r="200" customFormat="false" ht="12" hidden="false" customHeight="false" outlineLevel="0" collapsed="false">
      <c r="C200" s="448" t="s">
        <v>465</v>
      </c>
      <c r="D200" s="449" t="n">
        <f aca="false">+'Saldos interco.'!C9+'Saldos interco.'!C44+'Saldos interco.'!C35-'Saldos interco.'!D27-'Saldos interco.'!D56</f>
        <v>96880</v>
      </c>
      <c r="E200" s="419"/>
    </row>
    <row r="201" customFormat="false" ht="12" hidden="false" customHeight="false" outlineLevel="0" collapsed="false">
      <c r="C201" s="448" t="s">
        <v>495</v>
      </c>
      <c r="D201" s="419"/>
      <c r="E201" s="449" t="n">
        <f aca="false">+'Saldos interco.'!D10+'Saldos interco.'!D20+'Saldos interco.'!D28+'Saldos interco.'!D36+'Saldos interco.'!D37+'Saldos interco.'!D46+'Saldos interco.'!D48+'Saldos interco.'!D58+'Saldos interco.'!D63</f>
        <v>12906577</v>
      </c>
    </row>
    <row r="202" customFormat="false" ht="12" hidden="true" customHeight="false" outlineLevel="0" collapsed="false">
      <c r="C202" s="448" t="s">
        <v>496</v>
      </c>
      <c r="D202" s="419"/>
      <c r="E202" s="449" t="n">
        <f aca="false">+'Saldos interco.'!D19</f>
        <v>0</v>
      </c>
    </row>
    <row r="203" customFormat="false" ht="12" hidden="false" customHeight="false" outlineLevel="0" collapsed="false">
      <c r="C203" s="448" t="s">
        <v>497</v>
      </c>
      <c r="D203" s="419"/>
      <c r="E203" s="449" t="n">
        <f aca="false">+'Saldos interco.'!D22-'Saldos interco.'!C56</f>
        <v>156308</v>
      </c>
    </row>
    <row r="204" customFormat="false" ht="12" hidden="false" customHeight="false" outlineLevel="0" collapsed="false">
      <c r="C204" s="448" t="s">
        <v>498</v>
      </c>
      <c r="D204" s="419"/>
      <c r="E204" s="449" t="n">
        <f aca="false">+'Saldos interco.'!D21</f>
        <v>1068329</v>
      </c>
    </row>
    <row r="205" customFormat="false" ht="12" hidden="false" customHeight="false" outlineLevel="0" collapsed="false">
      <c r="C205" s="448" t="s">
        <v>499</v>
      </c>
      <c r="D205" s="419"/>
      <c r="E205" s="449" t="n">
        <f aca="false">+'Saldos interco.'!D57</f>
        <v>1193125</v>
      </c>
    </row>
    <row r="206" customFormat="false" ht="12" hidden="false" customHeight="false" outlineLevel="0" collapsed="false">
      <c r="C206" s="448" t="s">
        <v>500</v>
      </c>
      <c r="D206" s="419"/>
      <c r="E206" s="421" t="n">
        <f aca="false">+'Saldos interco.'!D45</f>
        <v>529781</v>
      </c>
    </row>
    <row r="207" customFormat="false" ht="12" hidden="false" customHeight="false" outlineLevel="0" collapsed="false">
      <c r="C207" s="453" t="s">
        <v>501</v>
      </c>
      <c r="D207" s="454" t="n">
        <f aca="false">SUM(D194:D206)</f>
        <v>15854120</v>
      </c>
      <c r="E207" s="454" t="n">
        <f aca="false">SUM(E194:E206)</f>
        <v>15854120</v>
      </c>
      <c r="F207" s="555" t="n">
        <f aca="false">+D207-E207</f>
        <v>0</v>
      </c>
    </row>
    <row r="208" customFormat="false" ht="12" hidden="false" customHeight="false" outlineLevel="0" collapsed="false">
      <c r="C208" s="422"/>
      <c r="D208" s="574"/>
      <c r="E208" s="574"/>
      <c r="F208" s="555"/>
    </row>
    <row r="209" customFormat="false" ht="14.25" hidden="false" customHeight="false" outlineLevel="0" collapsed="false">
      <c r="C209" s="557" t="s">
        <v>604</v>
      </c>
      <c r="D209" s="552"/>
      <c r="E209" s="552"/>
      <c r="F209" s="555"/>
    </row>
    <row r="210" customFormat="false" ht="12" hidden="false" customHeight="false" outlineLevel="0" collapsed="false">
      <c r="C210" s="566" t="s">
        <v>605</v>
      </c>
      <c r="D210" s="567" t="s">
        <v>216</v>
      </c>
      <c r="E210" s="559" t="s">
        <v>460</v>
      </c>
      <c r="F210" s="555"/>
    </row>
    <row r="211" customFormat="false" ht="12" hidden="false" customHeight="false" outlineLevel="0" collapsed="false">
      <c r="C211" s="568" t="s">
        <v>518</v>
      </c>
      <c r="D211" s="561" t="n">
        <f aca="false">547903*0.49</f>
        <v>268472.47</v>
      </c>
      <c r="E211" s="561"/>
      <c r="F211" s="555"/>
    </row>
    <row r="212" customFormat="false" ht="12" hidden="false" customHeight="false" outlineLevel="0" collapsed="false">
      <c r="C212" s="568" t="s">
        <v>606</v>
      </c>
      <c r="D212" s="561"/>
      <c r="E212" s="561" t="n">
        <f aca="false">+D211</f>
        <v>268472.47</v>
      </c>
      <c r="F212" s="555"/>
    </row>
    <row r="213" customFormat="false" ht="12" hidden="false" customHeight="false" outlineLevel="0" collapsed="false">
      <c r="C213" s="562" t="s">
        <v>501</v>
      </c>
      <c r="D213" s="563" t="n">
        <f aca="false">SUM(D211:D212)</f>
        <v>268472.47</v>
      </c>
      <c r="E213" s="563" t="n">
        <f aca="false">SUM(E211:E212)</f>
        <v>268472.47</v>
      </c>
      <c r="F213" s="555" t="n">
        <f aca="false">+D213-E213</f>
        <v>0</v>
      </c>
    </row>
    <row r="214" customFormat="false" ht="12" hidden="false" customHeight="false" outlineLevel="0" collapsed="false">
      <c r="C214" s="564"/>
    </row>
    <row r="215" customFormat="false" ht="14.25" hidden="false" customHeight="false" outlineLevel="0" collapsed="false">
      <c r="C215" s="557" t="s">
        <v>607</v>
      </c>
      <c r="D215" s="552"/>
      <c r="E215" s="552"/>
      <c r="F215" s="555"/>
    </row>
    <row r="216" customFormat="false" ht="24" hidden="false" customHeight="false" outlineLevel="0" collapsed="false">
      <c r="C216" s="566" t="s">
        <v>608</v>
      </c>
      <c r="D216" s="567" t="s">
        <v>216</v>
      </c>
      <c r="E216" s="559" t="s">
        <v>460</v>
      </c>
      <c r="F216" s="555"/>
    </row>
    <row r="217" customFormat="false" ht="12" hidden="false" customHeight="false" outlineLevel="0" collapsed="false">
      <c r="C217" s="568" t="s">
        <v>609</v>
      </c>
      <c r="D217" s="561" t="n">
        <f aca="false">253847+252910</f>
        <v>506757</v>
      </c>
      <c r="E217" s="561"/>
      <c r="F217" s="555"/>
    </row>
    <row r="218" customFormat="false" ht="12" hidden="false" customHeight="false" outlineLevel="0" collapsed="false">
      <c r="C218" s="568" t="s">
        <v>610</v>
      </c>
      <c r="D218" s="561"/>
      <c r="E218" s="561" t="n">
        <f aca="false">+D217</f>
        <v>506757</v>
      </c>
      <c r="F218" s="555"/>
    </row>
    <row r="219" customFormat="false" ht="12" hidden="false" customHeight="false" outlineLevel="0" collapsed="false">
      <c r="C219" s="562" t="s">
        <v>501</v>
      </c>
      <c r="D219" s="563" t="n">
        <f aca="false">SUM(D217:D218)</f>
        <v>506757</v>
      </c>
      <c r="E219" s="563" t="n">
        <f aca="false">SUM(E217:E218)</f>
        <v>506757</v>
      </c>
      <c r="F219" s="555" t="n">
        <f aca="false">+D219-E219</f>
        <v>0</v>
      </c>
    </row>
    <row r="220" customFormat="false" ht="12" hidden="false" customHeight="false" outlineLevel="0" collapsed="false">
      <c r="C220" s="564"/>
      <c r="D220" s="572"/>
      <c r="E220" s="572"/>
      <c r="F220" s="575"/>
    </row>
    <row r="221" customFormat="false" ht="14.25" hidden="false" customHeight="false" outlineLevel="0" collapsed="false">
      <c r="C221" s="557" t="s">
        <v>611</v>
      </c>
      <c r="D221" s="552"/>
      <c r="E221" s="552"/>
      <c r="F221" s="555"/>
    </row>
    <row r="222" customFormat="false" ht="24" hidden="false" customHeight="false" outlineLevel="0" collapsed="false">
      <c r="C222" s="566" t="s">
        <v>612</v>
      </c>
      <c r="D222" s="567" t="s">
        <v>216</v>
      </c>
      <c r="E222" s="559" t="s">
        <v>460</v>
      </c>
      <c r="F222" s="555"/>
    </row>
    <row r="223" customFormat="false" ht="12" hidden="false" customHeight="false" outlineLevel="0" collapsed="false">
      <c r="C223" s="568" t="s">
        <v>613</v>
      </c>
      <c r="D223" s="561" t="n">
        <v>122179</v>
      </c>
      <c r="E223" s="561"/>
      <c r="F223" s="555"/>
    </row>
    <row r="224" customFormat="false" ht="12" hidden="false" customHeight="false" outlineLevel="0" collapsed="false">
      <c r="C224" s="568" t="s">
        <v>614</v>
      </c>
      <c r="D224" s="561"/>
      <c r="E224" s="561" t="n">
        <v>3200</v>
      </c>
      <c r="F224" s="555"/>
    </row>
    <row r="225" customFormat="false" ht="12" hidden="false" customHeight="false" outlineLevel="0" collapsed="false">
      <c r="C225" s="568" t="s">
        <v>602</v>
      </c>
      <c r="D225" s="561"/>
      <c r="E225" s="561" t="n">
        <v>6800</v>
      </c>
      <c r="F225" s="555"/>
    </row>
    <row r="226" customFormat="false" ht="12" hidden="false" customHeight="false" outlineLevel="0" collapsed="false">
      <c r="C226" s="568" t="s">
        <v>615</v>
      </c>
      <c r="D226" s="561"/>
      <c r="E226" s="561" t="n">
        <v>74427</v>
      </c>
      <c r="F226" s="555"/>
    </row>
    <row r="227" customFormat="false" ht="12" hidden="false" customHeight="false" outlineLevel="0" collapsed="false">
      <c r="C227" s="568" t="s">
        <v>616</v>
      </c>
      <c r="D227" s="561"/>
      <c r="E227" s="561" t="n">
        <v>1226</v>
      </c>
      <c r="F227" s="555"/>
    </row>
    <row r="228" customFormat="false" ht="12" hidden="false" customHeight="false" outlineLevel="0" collapsed="false">
      <c r="C228" s="568" t="s">
        <v>617</v>
      </c>
      <c r="D228" s="561"/>
      <c r="E228" s="561" t="n">
        <f aca="false">34763+1763</f>
        <v>36526</v>
      </c>
      <c r="F228" s="555"/>
    </row>
    <row r="229" customFormat="false" ht="12" hidden="false" customHeight="false" outlineLevel="0" collapsed="false">
      <c r="C229" s="562" t="s">
        <v>501</v>
      </c>
      <c r="D229" s="563" t="n">
        <f aca="false">SUM(D223:D228)</f>
        <v>122179</v>
      </c>
      <c r="E229" s="563" t="n">
        <f aca="false">SUM(E223:E228)</f>
        <v>122179</v>
      </c>
      <c r="F229" s="555"/>
    </row>
    <row r="230" customFormat="false" ht="12" hidden="false" customHeight="false" outlineLevel="0" collapsed="false">
      <c r="C230" s="564"/>
      <c r="D230" s="572"/>
      <c r="E230" s="572"/>
      <c r="F230" s="575"/>
    </row>
    <row r="231" customFormat="false" ht="14.25" hidden="false" customHeight="false" outlineLevel="0" collapsed="false">
      <c r="C231" s="557" t="s">
        <v>618</v>
      </c>
      <c r="D231" s="552"/>
      <c r="E231" s="552"/>
      <c r="F231" s="555"/>
    </row>
    <row r="232" customFormat="false" ht="24" hidden="false" customHeight="false" outlineLevel="0" collapsed="false">
      <c r="C232" s="566" t="s">
        <v>619</v>
      </c>
      <c r="D232" s="567" t="s">
        <v>216</v>
      </c>
      <c r="E232" s="559" t="s">
        <v>460</v>
      </c>
      <c r="F232" s="555"/>
    </row>
    <row r="233" customFormat="false" ht="12" hidden="false" customHeight="false" outlineLevel="0" collapsed="false">
      <c r="C233" s="568" t="s">
        <v>54</v>
      </c>
      <c r="D233" s="561" t="n">
        <v>50000</v>
      </c>
      <c r="E233" s="561"/>
      <c r="F233" s="555"/>
    </row>
    <row r="234" customFormat="false" ht="12" hidden="false" customHeight="false" outlineLevel="0" collapsed="false">
      <c r="C234" s="568" t="s">
        <v>620</v>
      </c>
      <c r="D234" s="561"/>
      <c r="E234" s="561" t="n">
        <f aca="false">+D233</f>
        <v>50000</v>
      </c>
      <c r="F234" s="555"/>
    </row>
    <row r="235" customFormat="false" ht="12" hidden="false" customHeight="false" outlineLevel="0" collapsed="false">
      <c r="C235" s="562" t="s">
        <v>501</v>
      </c>
      <c r="D235" s="563" t="n">
        <f aca="false">SUM(D233:D234)</f>
        <v>50000</v>
      </c>
      <c r="E235" s="563" t="n">
        <f aca="false">SUM(E233:E234)</f>
        <v>50000</v>
      </c>
      <c r="F235" s="555" t="n">
        <f aca="false">+D235-E235</f>
        <v>0</v>
      </c>
    </row>
    <row r="236" customFormat="false" ht="14.25" hidden="false" customHeight="false" outlineLevel="0" collapsed="false">
      <c r="C236" s="557" t="s">
        <v>621</v>
      </c>
      <c r="D236" s="552"/>
      <c r="E236" s="552"/>
      <c r="F236" s="555"/>
    </row>
    <row r="237" customFormat="false" ht="24" hidden="false" customHeight="false" outlineLevel="0" collapsed="false">
      <c r="C237" s="566" t="s">
        <v>622</v>
      </c>
      <c r="D237" s="567" t="s">
        <v>216</v>
      </c>
      <c r="E237" s="559" t="s">
        <v>460</v>
      </c>
      <c r="F237" s="555"/>
    </row>
    <row r="238" customFormat="false" ht="12" hidden="false" customHeight="false" outlineLevel="0" collapsed="false">
      <c r="C238" s="568" t="s">
        <v>465</v>
      </c>
      <c r="D238" s="561" t="n">
        <v>696631</v>
      </c>
      <c r="E238" s="561"/>
      <c r="F238" s="555"/>
    </row>
    <row r="239" customFormat="false" ht="12" hidden="false" customHeight="false" outlineLevel="0" collapsed="false">
      <c r="C239" s="568" t="s">
        <v>623</v>
      </c>
      <c r="D239" s="561"/>
      <c r="E239" s="561" t="n">
        <f aca="false">+D238</f>
        <v>696631</v>
      </c>
      <c r="F239" s="555"/>
    </row>
    <row r="240" customFormat="false" ht="12" hidden="false" customHeight="false" outlineLevel="0" collapsed="false">
      <c r="C240" s="562" t="s">
        <v>501</v>
      </c>
      <c r="D240" s="563" t="n">
        <f aca="false">SUM(D238:D239)</f>
        <v>696631</v>
      </c>
      <c r="E240" s="563" t="n">
        <f aca="false">SUM(E238:E239)</f>
        <v>696631</v>
      </c>
      <c r="F240" s="555" t="n">
        <f aca="false">+D240-E240</f>
        <v>0</v>
      </c>
    </row>
    <row r="241" customFormat="false" ht="12" hidden="false" customHeight="false" outlineLevel="0" collapsed="false">
      <c r="C241" s="564"/>
      <c r="D241" s="572"/>
      <c r="E241" s="572"/>
      <c r="F241" s="575"/>
    </row>
    <row r="242" customFormat="false" ht="12" hidden="false" customHeight="false" outlineLevel="0" collapsed="false">
      <c r="C242" s="564"/>
      <c r="D242" s="563" t="n">
        <f aca="false">+D184+D171+D165+D157+D148+D207+D190+D213+D219+D235+D240</f>
        <v>69202923.36366</v>
      </c>
      <c r="E242" s="563" t="n">
        <f aca="false">+E184+E171+E165+E157+E148+E207+E190+E213+E219+E235+E240</f>
        <v>69202923.36366</v>
      </c>
      <c r="F242" s="575"/>
    </row>
    <row r="243" s="433" customFormat="true" ht="12" hidden="false" customHeight="false" outlineLevel="0" collapsed="false">
      <c r="B243" s="543"/>
      <c r="F243" s="555" t="n">
        <f aca="false">+D242-E242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27" activePane="bottomLeft" state="frozen"/>
      <selection pane="topLeft" activeCell="A1" activeCellId="0" sqref="A1"/>
      <selection pane="bottomLeft" activeCell="K30" activeCellId="0" sqref="K30"/>
    </sheetView>
  </sheetViews>
  <sheetFormatPr defaultColWidth="11.43359375" defaultRowHeight="15" zeroHeight="false" outlineLevelRow="0" outlineLevelCol="0"/>
  <cols>
    <col collapsed="false" customWidth="true" hidden="false" outlineLevel="0" max="1" min="1" style="411" width="3.14"/>
    <col collapsed="false" customWidth="true" hidden="false" outlineLevel="0" max="2" min="2" style="411" width="29.29"/>
    <col collapsed="false" customWidth="true" hidden="false" outlineLevel="0" max="3" min="3" style="411" width="18.85"/>
    <col collapsed="false" customWidth="true" hidden="false" outlineLevel="0" max="4" min="4" style="411" width="12.71"/>
    <col collapsed="false" customWidth="true" hidden="false" outlineLevel="0" max="5" min="5" style="411" width="11.86"/>
    <col collapsed="false" customWidth="true" hidden="true" outlineLevel="0" max="7" min="6" style="411" width="11.52"/>
    <col collapsed="false" customWidth="true" hidden="true" outlineLevel="0" max="8" min="8" style="411" width="3.14"/>
    <col collapsed="false" customWidth="false" hidden="false" outlineLevel="0" max="1024" min="9" style="411" width="11.42"/>
  </cols>
  <sheetData>
    <row r="1" customFormat="false" ht="15" hidden="false" customHeight="false" outlineLevel="0" collapsed="false">
      <c r="A1" s="576" t="s">
        <v>390</v>
      </c>
      <c r="B1" s="577"/>
    </row>
    <row r="2" customFormat="false" ht="15" hidden="false" customHeight="false" outlineLevel="0" collapsed="false">
      <c r="A2" s="578" t="s">
        <v>624</v>
      </c>
      <c r="B2" s="439"/>
      <c r="C2" s="443"/>
      <c r="D2" s="443"/>
      <c r="E2" s="443"/>
      <c r="F2" s="443"/>
      <c r="G2" s="443"/>
    </row>
    <row r="3" customFormat="false" ht="15" hidden="false" customHeight="false" outlineLevel="0" collapsed="false">
      <c r="A3" s="578" t="s">
        <v>625</v>
      </c>
      <c r="B3" s="439"/>
      <c r="C3" s="443"/>
      <c r="D3" s="443"/>
      <c r="E3" s="443"/>
      <c r="F3" s="443"/>
      <c r="G3" s="443"/>
    </row>
    <row r="4" customFormat="false" ht="15" hidden="false" customHeight="false" outlineLevel="0" collapsed="false">
      <c r="A4" s="439"/>
      <c r="B4" s="439"/>
      <c r="C4" s="443"/>
      <c r="D4" s="443"/>
      <c r="E4" s="443"/>
      <c r="F4" s="443"/>
      <c r="G4" s="443"/>
    </row>
    <row r="5" customFormat="false" ht="15" hidden="false" customHeight="false" outlineLevel="0" collapsed="false">
      <c r="A5" s="439"/>
      <c r="B5" s="579" t="s">
        <v>215</v>
      </c>
      <c r="C5" s="580" t="s">
        <v>199</v>
      </c>
      <c r="D5" s="580" t="s">
        <v>216</v>
      </c>
      <c r="E5" s="580" t="s">
        <v>460</v>
      </c>
      <c r="F5" s="581" t="s">
        <v>216</v>
      </c>
      <c r="G5" s="581" t="s">
        <v>217</v>
      </c>
    </row>
    <row r="6" customFormat="false" ht="15" hidden="false" customHeight="false" outlineLevel="0" collapsed="false">
      <c r="A6" s="439"/>
      <c r="B6" s="582" t="s">
        <v>241</v>
      </c>
      <c r="C6" s="583" t="s">
        <v>212</v>
      </c>
      <c r="D6" s="584" t="n">
        <v>3685</v>
      </c>
      <c r="E6" s="584"/>
      <c r="F6" s="585" t="n">
        <v>78773</v>
      </c>
      <c r="G6" s="586"/>
    </row>
    <row r="7" customFormat="false" ht="15" hidden="false" customHeight="false" outlineLevel="0" collapsed="false">
      <c r="A7" s="439"/>
      <c r="B7" s="587" t="s">
        <v>242</v>
      </c>
      <c r="C7" s="584" t="s">
        <v>243</v>
      </c>
      <c r="D7" s="584"/>
      <c r="E7" s="584" t="n">
        <f aca="false">+D6</f>
        <v>3685</v>
      </c>
      <c r="F7" s="443"/>
      <c r="G7" s="584" t="n">
        <f aca="false">F6</f>
        <v>78773</v>
      </c>
      <c r="H7" s="411" t="s">
        <v>626</v>
      </c>
    </row>
    <row r="8" customFormat="false" ht="15" hidden="false" customHeight="false" outlineLevel="0" collapsed="false">
      <c r="A8" s="439"/>
      <c r="B8" s="588"/>
      <c r="C8" s="583"/>
      <c r="D8" s="584"/>
      <c r="E8" s="584"/>
      <c r="F8" s="443"/>
      <c r="G8" s="584"/>
      <c r="H8" s="589"/>
    </row>
    <row r="9" customFormat="false" ht="15" hidden="false" customHeight="false" outlineLevel="0" collapsed="false">
      <c r="A9" s="439"/>
      <c r="B9" s="590" t="s">
        <v>241</v>
      </c>
      <c r="C9" s="584" t="s">
        <v>212</v>
      </c>
      <c r="D9" s="584" t="n">
        <v>176523</v>
      </c>
      <c r="E9" s="584"/>
      <c r="F9" s="591" t="n">
        <v>264134</v>
      </c>
      <c r="G9" s="584"/>
      <c r="H9" s="411" t="s">
        <v>626</v>
      </c>
    </row>
    <row r="10" customFormat="false" ht="15" hidden="false" customHeight="false" outlineLevel="0" collapsed="false">
      <c r="A10" s="439"/>
      <c r="B10" s="587" t="s">
        <v>242</v>
      </c>
      <c r="C10" s="584" t="s">
        <v>244</v>
      </c>
      <c r="D10" s="584"/>
      <c r="E10" s="584" t="n">
        <v>176523</v>
      </c>
      <c r="F10" s="443"/>
      <c r="G10" s="584" t="n">
        <f aca="false">F9</f>
        <v>264134</v>
      </c>
    </row>
    <row r="11" customFormat="false" ht="15" hidden="false" customHeight="false" outlineLevel="0" collapsed="false">
      <c r="A11" s="439"/>
      <c r="B11" s="587"/>
      <c r="C11" s="584"/>
      <c r="D11" s="584"/>
      <c r="E11" s="584"/>
      <c r="F11" s="443"/>
      <c r="G11" s="584"/>
    </row>
    <row r="12" customFormat="false" ht="15" hidden="false" customHeight="false" outlineLevel="0" collapsed="false">
      <c r="A12" s="439"/>
      <c r="B12" s="590" t="s">
        <v>241</v>
      </c>
      <c r="C12" s="584" t="s">
        <v>212</v>
      </c>
      <c r="D12" s="584" t="n">
        <v>10386</v>
      </c>
      <c r="E12" s="584"/>
      <c r="F12" s="443" t="n">
        <v>89587</v>
      </c>
      <c r="G12" s="584"/>
      <c r="H12" s="411" t="s">
        <v>626</v>
      </c>
    </row>
    <row r="13" customFormat="false" ht="15" hidden="true" customHeight="false" outlineLevel="0" collapsed="false">
      <c r="A13" s="439"/>
      <c r="B13" s="587" t="s">
        <v>50</v>
      </c>
      <c r="C13" s="584" t="s">
        <v>245</v>
      </c>
      <c r="D13" s="584"/>
      <c r="E13" s="584"/>
      <c r="F13" s="443"/>
      <c r="G13" s="584" t="n">
        <v>0</v>
      </c>
    </row>
    <row r="14" customFormat="false" ht="15" hidden="true" customHeight="false" outlineLevel="0" collapsed="false">
      <c r="A14" s="439"/>
      <c r="B14" s="587" t="s">
        <v>46</v>
      </c>
      <c r="C14" s="584" t="s">
        <v>245</v>
      </c>
      <c r="D14" s="584"/>
      <c r="E14" s="584"/>
      <c r="F14" s="443"/>
      <c r="G14" s="584" t="n">
        <v>0</v>
      </c>
    </row>
    <row r="15" customFormat="false" ht="15" hidden="false" customHeight="false" outlineLevel="0" collapsed="false">
      <c r="A15" s="439"/>
      <c r="B15" s="587" t="s">
        <v>102</v>
      </c>
      <c r="C15" s="584" t="s">
        <v>245</v>
      </c>
      <c r="D15" s="584"/>
      <c r="E15" s="584" t="n">
        <v>10386</v>
      </c>
      <c r="F15" s="443"/>
      <c r="G15" s="584" t="n">
        <f aca="false">+F12</f>
        <v>89587</v>
      </c>
    </row>
    <row r="16" customFormat="false" ht="15" hidden="false" customHeight="false" outlineLevel="0" collapsed="false">
      <c r="A16" s="439"/>
      <c r="B16" s="587"/>
      <c r="C16" s="584"/>
      <c r="D16" s="584"/>
      <c r="E16" s="584"/>
      <c r="F16" s="443"/>
      <c r="G16" s="584"/>
    </row>
    <row r="17" customFormat="false" ht="15" hidden="false" customHeight="false" outlineLevel="0" collapsed="false">
      <c r="A17" s="439"/>
      <c r="B17" s="590" t="s">
        <v>241</v>
      </c>
      <c r="C17" s="584" t="s">
        <v>212</v>
      </c>
      <c r="D17" s="584" t="n">
        <v>88729</v>
      </c>
      <c r="E17" s="584"/>
      <c r="F17" s="591" t="n">
        <v>34807</v>
      </c>
      <c r="G17" s="584"/>
      <c r="H17" s="411" t="s">
        <v>626</v>
      </c>
    </row>
    <row r="18" customFormat="false" ht="15" hidden="false" customHeight="false" outlineLevel="0" collapsed="false">
      <c r="A18" s="439"/>
      <c r="B18" s="587" t="s">
        <v>242</v>
      </c>
      <c r="C18" s="584" t="s">
        <v>32</v>
      </c>
      <c r="D18" s="584"/>
      <c r="E18" s="584" t="n">
        <v>88729</v>
      </c>
      <c r="F18" s="443"/>
      <c r="G18" s="584" t="n">
        <f aca="false">F17</f>
        <v>34807</v>
      </c>
    </row>
    <row r="19" customFormat="false" ht="15" hidden="false" customHeight="false" outlineLevel="0" collapsed="false">
      <c r="A19" s="439"/>
      <c r="B19" s="587"/>
      <c r="C19" s="584"/>
      <c r="D19" s="584"/>
      <c r="E19" s="584"/>
      <c r="F19" s="443"/>
      <c r="G19" s="584"/>
    </row>
    <row r="20" customFormat="false" ht="15" hidden="false" customHeight="false" outlineLevel="0" collapsed="false">
      <c r="A20" s="439"/>
      <c r="B20" s="592" t="s">
        <v>246</v>
      </c>
      <c r="C20" s="584" t="s">
        <v>212</v>
      </c>
      <c r="D20" s="584" t="n">
        <v>89918</v>
      </c>
      <c r="E20" s="584"/>
      <c r="F20" s="443" t="n">
        <v>1713071</v>
      </c>
      <c r="G20" s="584"/>
      <c r="H20" s="411" t="s">
        <v>626</v>
      </c>
    </row>
    <row r="21" customFormat="false" ht="15" hidden="false" customHeight="false" outlineLevel="0" collapsed="false">
      <c r="A21" s="439"/>
      <c r="B21" s="587" t="s">
        <v>102</v>
      </c>
      <c r="C21" s="584" t="s">
        <v>247</v>
      </c>
      <c r="D21" s="584"/>
      <c r="E21" s="584" t="n">
        <v>89918</v>
      </c>
      <c r="F21" s="443"/>
      <c r="G21" s="584" t="n">
        <f aca="false">+F20</f>
        <v>1713071</v>
      </c>
    </row>
    <row r="22" customFormat="false" ht="15" hidden="false" customHeight="false" outlineLevel="0" collapsed="false">
      <c r="A22" s="439"/>
      <c r="B22" s="587"/>
      <c r="C22" s="584"/>
      <c r="D22" s="584"/>
      <c r="E22" s="584"/>
      <c r="F22" s="443"/>
      <c r="G22" s="584"/>
    </row>
    <row r="23" customFormat="false" ht="15" hidden="false" customHeight="false" outlineLevel="0" collapsed="false">
      <c r="A23" s="439"/>
      <c r="B23" s="592" t="s">
        <v>627</v>
      </c>
      <c r="C23" s="584" t="s">
        <v>245</v>
      </c>
      <c r="D23" s="584" t="n">
        <v>578553</v>
      </c>
      <c r="E23" s="584"/>
      <c r="F23" s="443" t="n">
        <v>154175</v>
      </c>
      <c r="G23" s="584"/>
      <c r="H23" s="411" t="s">
        <v>626</v>
      </c>
    </row>
    <row r="24" customFormat="false" ht="15" hidden="false" customHeight="false" outlineLevel="0" collapsed="false">
      <c r="A24" s="439"/>
      <c r="B24" s="587" t="s">
        <v>628</v>
      </c>
      <c r="C24" s="584" t="s">
        <v>212</v>
      </c>
      <c r="D24" s="584"/>
      <c r="E24" s="584" t="n">
        <v>578553</v>
      </c>
      <c r="F24" s="443"/>
      <c r="G24" s="584" t="n">
        <f aca="false">+F23</f>
        <v>154175</v>
      </c>
    </row>
    <row r="25" customFormat="false" ht="15" hidden="false" customHeight="false" outlineLevel="0" collapsed="false">
      <c r="A25" s="439"/>
      <c r="B25" s="587"/>
      <c r="C25" s="584"/>
      <c r="D25" s="584"/>
      <c r="E25" s="584"/>
      <c r="F25" s="443"/>
      <c r="G25" s="584"/>
    </row>
    <row r="26" customFormat="false" ht="15" hidden="false" customHeight="false" outlineLevel="0" collapsed="false">
      <c r="A26" s="439"/>
      <c r="B26" s="592" t="s">
        <v>627</v>
      </c>
      <c r="C26" s="584" t="s">
        <v>247</v>
      </c>
      <c r="D26" s="584" t="n">
        <v>775482</v>
      </c>
      <c r="E26" s="584"/>
      <c r="F26" s="443" t="n">
        <v>57043</v>
      </c>
      <c r="G26" s="584"/>
      <c r="H26" s="411" t="s">
        <v>626</v>
      </c>
    </row>
    <row r="27" customFormat="false" ht="15" hidden="false" customHeight="false" outlineLevel="0" collapsed="false">
      <c r="A27" s="439"/>
      <c r="B27" s="587" t="s">
        <v>628</v>
      </c>
      <c r="C27" s="584" t="s">
        <v>212</v>
      </c>
      <c r="D27" s="584"/>
      <c r="E27" s="584" t="n">
        <v>775482</v>
      </c>
      <c r="F27" s="443"/>
      <c r="G27" s="584" t="n">
        <f aca="false">+F26</f>
        <v>57043</v>
      </c>
    </row>
    <row r="28" customFormat="false" ht="15" hidden="false" customHeight="false" outlineLevel="0" collapsed="false">
      <c r="A28" s="439"/>
      <c r="B28" s="587"/>
      <c r="C28" s="584"/>
      <c r="D28" s="584"/>
      <c r="E28" s="584"/>
      <c r="F28" s="443"/>
      <c r="G28" s="584"/>
    </row>
    <row r="29" customFormat="false" ht="15" hidden="false" customHeight="false" outlineLevel="0" collapsed="false">
      <c r="A29" s="439"/>
      <c r="B29" s="592" t="s">
        <v>627</v>
      </c>
      <c r="C29" s="584" t="s">
        <v>245</v>
      </c>
      <c r="D29" s="584" t="n">
        <v>2199934</v>
      </c>
      <c r="E29" s="584"/>
      <c r="F29" s="443"/>
      <c r="G29" s="584"/>
    </row>
    <row r="30" customFormat="false" ht="15" hidden="false" customHeight="false" outlineLevel="0" collapsed="false">
      <c r="A30" s="439"/>
      <c r="B30" s="587" t="s">
        <v>628</v>
      </c>
      <c r="C30" s="584" t="s">
        <v>212</v>
      </c>
      <c r="D30" s="584"/>
      <c r="E30" s="584" t="n">
        <v>2199934</v>
      </c>
      <c r="F30" s="443"/>
      <c r="G30" s="584"/>
    </row>
    <row r="31" customFormat="false" ht="15" hidden="false" customHeight="false" outlineLevel="0" collapsed="false">
      <c r="A31" s="439"/>
      <c r="B31" s="587"/>
      <c r="C31" s="584"/>
      <c r="D31" s="584"/>
      <c r="E31" s="584"/>
      <c r="F31" s="443"/>
      <c r="G31" s="584"/>
    </row>
    <row r="32" customFormat="false" ht="15" hidden="false" customHeight="false" outlineLevel="0" collapsed="false">
      <c r="A32" s="439"/>
      <c r="B32" s="592" t="s">
        <v>246</v>
      </c>
      <c r="C32" s="584" t="s">
        <v>278</v>
      </c>
      <c r="D32" s="584" t="n">
        <v>917323</v>
      </c>
      <c r="E32" s="584"/>
      <c r="F32" s="443" t="n">
        <v>669255</v>
      </c>
      <c r="G32" s="584"/>
      <c r="H32" s="411" t="s">
        <v>626</v>
      </c>
    </row>
    <row r="33" customFormat="false" ht="15" hidden="false" customHeight="false" outlineLevel="0" collapsed="false">
      <c r="A33" s="439"/>
      <c r="B33" s="592" t="s">
        <v>629</v>
      </c>
      <c r="C33" s="584" t="s">
        <v>212</v>
      </c>
      <c r="D33" s="584"/>
      <c r="E33" s="584" t="n">
        <v>917323</v>
      </c>
      <c r="F33" s="443"/>
      <c r="G33" s="584" t="n">
        <f aca="false">+F32-G34</f>
        <v>658399</v>
      </c>
    </row>
    <row r="34" customFormat="false" ht="15" hidden="false" customHeight="false" outlineLevel="0" collapsed="false">
      <c r="A34" s="439"/>
      <c r="B34" s="593" t="s">
        <v>248</v>
      </c>
      <c r="C34" s="594" t="s">
        <v>212</v>
      </c>
      <c r="D34" s="594"/>
      <c r="E34" s="594"/>
      <c r="F34" s="595"/>
      <c r="G34" s="594" t="n">
        <v>10856</v>
      </c>
    </row>
    <row r="35" customFormat="false" ht="15" hidden="false" customHeight="false" outlineLevel="0" collapsed="false">
      <c r="A35" s="439"/>
      <c r="B35" s="439"/>
      <c r="C35" s="443"/>
      <c r="D35" s="596" t="n">
        <f aca="false">SUM(D6:D34)</f>
        <v>4840533</v>
      </c>
      <c r="E35" s="596" t="n">
        <f aca="false">SUM(E6:E34)</f>
        <v>4840533</v>
      </c>
      <c r="F35" s="445" t="n">
        <f aca="false">SUM(F6:F34)</f>
        <v>3060845</v>
      </c>
      <c r="G35" s="445" t="n">
        <f aca="false">SUM(G6:G34)</f>
        <v>3060845</v>
      </c>
    </row>
    <row r="37" customFormat="false" ht="15" hidden="false" customHeight="false" outlineLevel="0" collapsed="false">
      <c r="B37" s="582" t="s">
        <v>630</v>
      </c>
      <c r="C37" s="597"/>
      <c r="D37" s="447"/>
      <c r="E37" s="447"/>
      <c r="F37" s="598" t="s">
        <v>200</v>
      </c>
      <c r="G37" s="598" t="s">
        <v>201</v>
      </c>
    </row>
    <row r="38" customFormat="false" ht="15" hidden="false" customHeight="false" outlineLevel="0" collapsed="false">
      <c r="B38" s="589" t="s">
        <v>246</v>
      </c>
      <c r="C38" s="457"/>
      <c r="D38" s="450" t="n">
        <f aca="false">+D35</f>
        <v>4840533</v>
      </c>
      <c r="E38" s="451"/>
      <c r="F38" s="450" t="n">
        <f aca="false">F6+F20+F32+F9+F12+F17+F23+F26</f>
        <v>3060845</v>
      </c>
      <c r="G38" s="451"/>
    </row>
    <row r="39" customFormat="false" ht="15" hidden="false" customHeight="false" outlineLevel="0" collapsed="false">
      <c r="B39" s="599" t="s">
        <v>102</v>
      </c>
      <c r="C39" s="457"/>
      <c r="D39" s="451"/>
      <c r="E39" s="450" t="n">
        <f aca="false">+E35</f>
        <v>4840533</v>
      </c>
      <c r="F39" s="451"/>
      <c r="G39" s="450" t="n">
        <f aca="false">G7+G21+G18+G15+G10+G24+G27+G33</f>
        <v>3049989</v>
      </c>
    </row>
    <row r="40" customFormat="false" ht="15" hidden="false" customHeight="false" outlineLevel="0" collapsed="false">
      <c r="B40" s="600" t="s">
        <v>248</v>
      </c>
      <c r="C40" s="601"/>
      <c r="D40" s="602"/>
      <c r="E40" s="602"/>
      <c r="F40" s="602"/>
      <c r="G40" s="452" t="n">
        <f aca="false">G34</f>
        <v>10856</v>
      </c>
    </row>
    <row r="41" customFormat="false" ht="15" hidden="false" customHeight="false" outlineLevel="0" collapsed="false">
      <c r="F41" s="442" t="n">
        <f aca="false">SUM(F38:F40)</f>
        <v>3060845</v>
      </c>
      <c r="G41" s="442" t="n">
        <f aca="false">SUM(G38:G40)</f>
        <v>3060845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I123"/>
  <sheetViews>
    <sheetView showFormulas="false" showGridLines="false" showRowColHeaders="true" showZeros="true" rightToLeft="false" tabSelected="false" showOutlineSymbols="true" defaultGridColor="true" view="normal" topLeftCell="B38" colorId="64" zoomScale="100" zoomScaleNormal="100" zoomScalePageLayoutView="100" workbookViewId="0">
      <selection pane="topLeft" activeCell="AE62" activeCellId="0" sqref="AE6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15" width="40.15"/>
    <col collapsed="false" customWidth="true" hidden="false" outlineLevel="0" max="2" min="2" style="415" width="8.89"/>
    <col collapsed="false" customWidth="true" hidden="false" outlineLevel="0" max="4" min="3" style="415" width="11.25"/>
    <col collapsed="false" customWidth="true" hidden="false" outlineLevel="0" max="5" min="5" style="415" width="2.92"/>
    <col collapsed="false" customWidth="true" hidden="false" outlineLevel="0" max="6" min="6" style="411" width="11.25"/>
    <col collapsed="false" customWidth="true" hidden="true" outlineLevel="0" max="7" min="7" style="415" width="11.71"/>
    <col collapsed="false" customWidth="true" hidden="true" outlineLevel="0" max="8" min="8" style="415" width="4.86"/>
    <col collapsed="false" customWidth="true" hidden="true" outlineLevel="0" max="9" min="9" style="415" width="16.81"/>
    <col collapsed="false" customWidth="true" hidden="true" outlineLevel="0" max="10" min="10" style="603" width="10.73"/>
    <col collapsed="false" customWidth="true" hidden="true" outlineLevel="0" max="11" min="11" style="415" width="11.99"/>
    <col collapsed="false" customWidth="true" hidden="true" outlineLevel="0" max="12" min="12" style="603" width="10.88"/>
    <col collapsed="false" customWidth="true" hidden="true" outlineLevel="0" max="13" min="13" style="415" width="11.99"/>
    <col collapsed="false" customWidth="true" hidden="false" outlineLevel="0" max="14" min="14" style="415" width="5.14"/>
    <col collapsed="false" customWidth="true" hidden="false" outlineLevel="0" max="15" min="15" style="415" width="40.15"/>
    <col collapsed="false" customWidth="true" hidden="false" outlineLevel="0" max="16" min="16" style="415" width="8.89"/>
    <col collapsed="false" customWidth="true" hidden="false" outlineLevel="0" max="18" min="17" style="415" width="11.25"/>
    <col collapsed="false" customWidth="true" hidden="false" outlineLevel="0" max="19" min="19" style="415" width="4.71"/>
    <col collapsed="false" customWidth="true" hidden="false" outlineLevel="0" max="20" min="20" style="411" width="11.25"/>
    <col collapsed="false" customWidth="true" hidden="true" outlineLevel="0" max="21" min="21" style="415" width="11.71"/>
    <col collapsed="false" customWidth="false" hidden="true" outlineLevel="0" max="22" min="22" style="415" width="11.52"/>
    <col collapsed="false" customWidth="true" hidden="true" outlineLevel="0" max="23" min="23" style="415" width="11.99"/>
    <col collapsed="false" customWidth="true" hidden="true" outlineLevel="0" max="24" min="24" style="603" width="10.73"/>
    <col collapsed="false" customWidth="true" hidden="true" outlineLevel="0" max="25" min="25" style="415" width="11.99"/>
    <col collapsed="false" customWidth="true" hidden="true" outlineLevel="0" max="26" min="26" style="603" width="10.73"/>
    <col collapsed="false" customWidth="true" hidden="true" outlineLevel="0" max="27" min="27" style="415" width="11.99"/>
    <col collapsed="false" customWidth="true" hidden="true" outlineLevel="0" max="28" min="28" style="604" width="8.23"/>
    <col collapsed="false" customWidth="false" hidden="true" outlineLevel="0" max="30" min="29" style="415" width="11.52"/>
    <col collapsed="false" customWidth="false" hidden="false" outlineLevel="0" max="1024" min="31" style="415" width="11.52"/>
  </cols>
  <sheetData>
    <row r="1" s="415" customFormat="true" ht="12" hidden="false" customHeight="true" outlineLevel="0" collapsed="false">
      <c r="A1" s="470"/>
      <c r="B1" s="470" t="s">
        <v>631</v>
      </c>
      <c r="C1" s="470"/>
      <c r="D1" s="470"/>
      <c r="E1" s="470"/>
      <c r="G1" s="470"/>
      <c r="H1" s="470"/>
      <c r="I1" s="470"/>
      <c r="J1" s="605"/>
      <c r="K1" s="606"/>
      <c r="L1" s="605"/>
      <c r="M1" s="470"/>
      <c r="N1" s="606"/>
      <c r="O1" s="470"/>
      <c r="P1" s="470" t="s">
        <v>631</v>
      </c>
      <c r="Q1" s="470"/>
      <c r="R1" s="470"/>
      <c r="S1" s="470"/>
      <c r="U1" s="470"/>
      <c r="V1" s="470"/>
      <c r="W1" s="470"/>
      <c r="X1" s="605"/>
      <c r="Y1" s="607"/>
      <c r="Z1" s="605"/>
      <c r="AA1" s="608"/>
      <c r="AB1" s="604"/>
    </row>
    <row r="2" customFormat="false" ht="12" hidden="false" customHeight="true" outlineLevel="0" collapsed="false">
      <c r="A2" s="606" t="s">
        <v>632</v>
      </c>
      <c r="B2" s="609" t="s">
        <v>633</v>
      </c>
      <c r="C2" s="609" t="n">
        <v>2020</v>
      </c>
      <c r="D2" s="609"/>
      <c r="E2" s="609"/>
      <c r="F2" s="610" t="n">
        <v>2019</v>
      </c>
      <c r="G2" s="611"/>
      <c r="H2" s="611"/>
      <c r="I2" s="611" t="n">
        <v>2018</v>
      </c>
      <c r="J2" s="612"/>
      <c r="K2" s="607" t="n">
        <v>2017</v>
      </c>
      <c r="L2" s="612"/>
      <c r="M2" s="607" t="n">
        <v>2016</v>
      </c>
      <c r="N2" s="611"/>
      <c r="O2" s="607" t="s">
        <v>634</v>
      </c>
      <c r="P2" s="609" t="s">
        <v>633</v>
      </c>
      <c r="Q2" s="609" t="n">
        <v>2020</v>
      </c>
      <c r="R2" s="609"/>
      <c r="S2" s="609"/>
      <c r="T2" s="610" t="n">
        <v>2019</v>
      </c>
      <c r="U2" s="611"/>
      <c r="V2" s="611"/>
      <c r="W2" s="611" t="n">
        <v>2018</v>
      </c>
      <c r="X2" s="613"/>
      <c r="Y2" s="614" t="n">
        <v>2017</v>
      </c>
      <c r="Z2" s="612"/>
      <c r="AA2" s="609" t="n">
        <v>2016</v>
      </c>
      <c r="AC2" s="615"/>
      <c r="AD2" s="616"/>
      <c r="AE2" s="616"/>
    </row>
    <row r="3" customFormat="false" ht="12" hidden="false" customHeight="true" outlineLevel="0" collapsed="false">
      <c r="A3" s="470"/>
      <c r="B3" s="470"/>
      <c r="C3" s="470"/>
      <c r="D3" s="617"/>
      <c r="E3" s="470"/>
      <c r="F3" s="422"/>
      <c r="G3" s="618"/>
      <c r="H3" s="618"/>
      <c r="I3" s="618"/>
      <c r="J3" s="605"/>
      <c r="K3" s="607"/>
      <c r="L3" s="605"/>
      <c r="M3" s="618"/>
      <c r="N3" s="607"/>
      <c r="O3" s="618"/>
      <c r="P3" s="618"/>
      <c r="Q3" s="618"/>
      <c r="R3" s="618"/>
      <c r="S3" s="618"/>
      <c r="T3" s="422"/>
      <c r="U3" s="619"/>
      <c r="V3" s="619"/>
      <c r="W3" s="618"/>
      <c r="X3" s="620"/>
      <c r="Y3" s="621"/>
      <c r="Z3" s="605"/>
      <c r="AA3" s="470"/>
    </row>
    <row r="4" customFormat="false" ht="12" hidden="false" customHeight="true" outlineLevel="0" collapsed="false">
      <c r="A4" s="622" t="s">
        <v>635</v>
      </c>
      <c r="B4" s="622"/>
      <c r="C4" s="622"/>
      <c r="D4" s="623"/>
      <c r="E4" s="622"/>
      <c r="F4" s="422"/>
      <c r="G4" s="624"/>
      <c r="H4" s="624"/>
      <c r="I4" s="624"/>
      <c r="J4" s="605"/>
      <c r="K4" s="607"/>
      <c r="L4" s="605"/>
      <c r="M4" s="624"/>
      <c r="N4" s="607"/>
      <c r="O4" s="625" t="s">
        <v>636</v>
      </c>
      <c r="P4" s="625"/>
      <c r="Q4" s="625"/>
      <c r="R4" s="625"/>
      <c r="S4" s="625"/>
      <c r="T4" s="422"/>
      <c r="U4" s="626"/>
      <c r="V4" s="626"/>
      <c r="W4" s="625"/>
      <c r="X4" s="620"/>
      <c r="Y4" s="627"/>
      <c r="Z4" s="605"/>
      <c r="AA4" s="628"/>
    </row>
    <row r="5" customFormat="false" ht="12" hidden="false" customHeight="true" outlineLevel="0" collapsed="false">
      <c r="A5" s="629" t="s">
        <v>637</v>
      </c>
      <c r="B5" s="630" t="n">
        <v>6</v>
      </c>
      <c r="C5" s="631" t="n">
        <f aca="false">'Planilla final'!Q5</f>
        <v>19585681.24</v>
      </c>
      <c r="D5" s="623" t="n">
        <f aca="false">F5-C5</f>
        <v>-13699707.24</v>
      </c>
      <c r="E5" s="630"/>
      <c r="F5" s="416" t="n">
        <v>5885974</v>
      </c>
      <c r="G5" s="632" t="n">
        <v>-5247728</v>
      </c>
      <c r="H5" s="632"/>
      <c r="I5" s="633" t="n">
        <v>638246</v>
      </c>
      <c r="J5" s="632" t="n">
        <v>1104316</v>
      </c>
      <c r="K5" s="634" t="n">
        <v>1742562</v>
      </c>
      <c r="L5" s="632" t="n">
        <v>-9053595</v>
      </c>
      <c r="M5" s="635" t="n">
        <v>10796157</v>
      </c>
      <c r="N5" s="607"/>
      <c r="O5" s="636" t="s">
        <v>638</v>
      </c>
      <c r="P5" s="607"/>
      <c r="Q5" s="637" t="n">
        <f aca="false">'Planilla final'!Q26</f>
        <v>0</v>
      </c>
      <c r="R5" s="638" t="n">
        <f aca="false">T5-Q5</f>
        <v>74044</v>
      </c>
      <c r="S5" s="607"/>
      <c r="T5" s="416" t="n">
        <v>74044</v>
      </c>
      <c r="U5" s="632" t="n">
        <v>-3719967</v>
      </c>
      <c r="V5" s="632"/>
      <c r="W5" s="639" t="n">
        <v>3794011</v>
      </c>
      <c r="X5" s="640" t="n">
        <v>3533609</v>
      </c>
      <c r="Y5" s="641" t="n">
        <v>260402</v>
      </c>
      <c r="Z5" s="632" t="n">
        <v>61512</v>
      </c>
      <c r="AA5" s="642" t="n">
        <v>198890</v>
      </c>
      <c r="AB5" s="643" t="n">
        <v>-3155765</v>
      </c>
      <c r="AC5" s="644"/>
      <c r="AD5" s="645"/>
      <c r="AE5" s="645"/>
    </row>
    <row r="6" customFormat="false" ht="12" hidden="false" customHeight="true" outlineLevel="0" collapsed="false">
      <c r="A6" s="629" t="s">
        <v>639</v>
      </c>
      <c r="B6" s="630"/>
      <c r="C6" s="631" t="n">
        <f aca="false">'Planilla final'!Q7</f>
        <v>3119910.64</v>
      </c>
      <c r="D6" s="623" t="n">
        <f aca="false">F6-C6</f>
        <v>-3107991.64</v>
      </c>
      <c r="E6" s="630"/>
      <c r="F6" s="416" t="n">
        <v>11919</v>
      </c>
      <c r="G6" s="632" t="n">
        <v>60892</v>
      </c>
      <c r="H6" s="632"/>
      <c r="I6" s="633" t="n">
        <v>72811</v>
      </c>
      <c r="J6" s="632" t="n">
        <v>29809</v>
      </c>
      <c r="K6" s="634" t="n">
        <v>102620</v>
      </c>
      <c r="L6" s="632" t="n">
        <v>-5828169</v>
      </c>
      <c r="M6" s="635" t="n">
        <v>5930789</v>
      </c>
      <c r="N6" s="618"/>
      <c r="O6" s="636" t="s">
        <v>65</v>
      </c>
      <c r="P6" s="607" t="n">
        <v>18</v>
      </c>
      <c r="Q6" s="637" t="n">
        <f aca="false">'Planilla final'!Q27</f>
        <v>9876153</v>
      </c>
      <c r="R6" s="638" t="n">
        <f aca="false">T6-Q6</f>
        <v>-6491040</v>
      </c>
      <c r="S6" s="607"/>
      <c r="T6" s="416" t="n">
        <v>3385113</v>
      </c>
      <c r="U6" s="632" t="n">
        <v>-8084255</v>
      </c>
      <c r="V6" s="632"/>
      <c r="W6" s="639" t="n">
        <v>11469368</v>
      </c>
      <c r="X6" s="640" t="n">
        <v>-1944307</v>
      </c>
      <c r="Y6" s="646" t="n">
        <v>13413675</v>
      </c>
      <c r="Z6" s="632" t="n">
        <v>-4986126</v>
      </c>
      <c r="AA6" s="628" t="n">
        <v>18399801</v>
      </c>
      <c r="AC6" s="428"/>
      <c r="AD6" s="645"/>
      <c r="AE6" s="645"/>
    </row>
    <row r="7" customFormat="false" ht="12" hidden="false" customHeight="true" outlineLevel="0" collapsed="false">
      <c r="A7" s="629" t="s">
        <v>36</v>
      </c>
      <c r="B7" s="630" t="n">
        <v>7</v>
      </c>
      <c r="C7" s="631" t="n">
        <f aca="false">'Planilla final'!Q6</f>
        <v>8650</v>
      </c>
      <c r="D7" s="623" t="n">
        <f aca="false">F7-C7</f>
        <v>3350139</v>
      </c>
      <c r="E7" s="630"/>
      <c r="F7" s="416" t="n">
        <v>3358789</v>
      </c>
      <c r="G7" s="632" t="n">
        <v>-965345</v>
      </c>
      <c r="H7" s="632"/>
      <c r="I7" s="633" t="n">
        <v>2393444</v>
      </c>
      <c r="J7" s="632" t="n">
        <v>251011</v>
      </c>
      <c r="K7" s="634" t="n">
        <v>2644455</v>
      </c>
      <c r="L7" s="632" t="n">
        <v>593863</v>
      </c>
      <c r="M7" s="635" t="n">
        <v>2050592</v>
      </c>
      <c r="N7" s="607"/>
      <c r="O7" s="636" t="s">
        <v>640</v>
      </c>
      <c r="P7" s="607" t="n">
        <v>19</v>
      </c>
      <c r="Q7" s="637" t="n">
        <f aca="false">'Planilla final'!Q28</f>
        <v>3782673.72</v>
      </c>
      <c r="R7" s="638" t="n">
        <f aca="false">T7-Q7</f>
        <v>-1297942.72</v>
      </c>
      <c r="S7" s="607"/>
      <c r="T7" s="416" t="n">
        <v>2484731</v>
      </c>
      <c r="U7" s="632" t="n">
        <v>-6103212</v>
      </c>
      <c r="V7" s="632"/>
      <c r="W7" s="639" t="n">
        <v>8587943</v>
      </c>
      <c r="X7" s="640" t="n">
        <v>-2871367</v>
      </c>
      <c r="Y7" s="646" t="n">
        <v>11459310</v>
      </c>
      <c r="Z7" s="632" t="n">
        <v>-1466341</v>
      </c>
      <c r="AA7" s="628" t="n">
        <v>12925651</v>
      </c>
      <c r="AC7" s="428"/>
      <c r="AD7" s="645"/>
      <c r="AE7" s="645"/>
    </row>
    <row r="8" customFormat="false" ht="12" hidden="false" customHeight="true" outlineLevel="0" collapsed="false">
      <c r="A8" s="629" t="s">
        <v>641</v>
      </c>
      <c r="B8" s="630" t="n">
        <v>8</v>
      </c>
      <c r="C8" s="631" t="n">
        <f aca="false">'Planilla final'!Q8</f>
        <v>14290334.46</v>
      </c>
      <c r="D8" s="623" t="n">
        <f aca="false">F8-C8</f>
        <v>-3203779.46</v>
      </c>
      <c r="E8" s="630"/>
      <c r="F8" s="416" t="n">
        <v>11086555</v>
      </c>
      <c r="G8" s="632" t="n">
        <v>-1755023</v>
      </c>
      <c r="H8" s="632"/>
      <c r="I8" s="633" t="n">
        <v>9331532</v>
      </c>
      <c r="J8" s="632" t="n">
        <v>6231872</v>
      </c>
      <c r="K8" s="634" t="n">
        <v>15563404</v>
      </c>
      <c r="L8" s="632" t="n">
        <v>1100909</v>
      </c>
      <c r="M8" s="635" t="n">
        <v>14462495</v>
      </c>
      <c r="N8" s="607"/>
      <c r="O8" s="636" t="s">
        <v>642</v>
      </c>
      <c r="P8" s="607" t="n">
        <v>20</v>
      </c>
      <c r="Q8" s="637" t="n">
        <f aca="false">'Planilla final'!Q29</f>
        <v>28946866.33</v>
      </c>
      <c r="R8" s="638" t="n">
        <f aca="false">T8-Q8</f>
        <v>-6368820.83</v>
      </c>
      <c r="S8" s="607"/>
      <c r="T8" s="416" t="n">
        <v>22539999</v>
      </c>
      <c r="U8" s="632" t="n">
        <v>5790003</v>
      </c>
      <c r="V8" s="632"/>
      <c r="W8" s="639" t="n">
        <v>16749996</v>
      </c>
      <c r="X8" s="640" t="n">
        <v>-3686049</v>
      </c>
      <c r="Y8" s="646" t="n">
        <v>20436045</v>
      </c>
      <c r="Z8" s="632" t="n">
        <v>1910661</v>
      </c>
      <c r="AA8" s="628" t="n">
        <v>18525384</v>
      </c>
      <c r="AC8" s="428"/>
      <c r="AD8" s="645"/>
      <c r="AE8" s="645"/>
    </row>
    <row r="9" customFormat="false" ht="12" hidden="false" customHeight="true" outlineLevel="0" collapsed="false">
      <c r="A9" s="629" t="s">
        <v>643</v>
      </c>
      <c r="B9" s="630" t="n">
        <v>21</v>
      </c>
      <c r="C9" s="631" t="n">
        <f aca="false">'Planilla final'!Q9</f>
        <v>38757015.71</v>
      </c>
      <c r="D9" s="623" t="n">
        <f aca="false">F9-C9</f>
        <v>-6953272.70999999</v>
      </c>
      <c r="E9" s="630"/>
      <c r="F9" s="416" t="n">
        <v>31803743</v>
      </c>
      <c r="G9" s="632" t="n">
        <v>2402819</v>
      </c>
      <c r="H9" s="632"/>
      <c r="I9" s="633" t="n">
        <v>34206562</v>
      </c>
      <c r="J9" s="632" t="n">
        <v>-9131565</v>
      </c>
      <c r="K9" s="634" t="n">
        <v>25074997</v>
      </c>
      <c r="L9" s="632" t="n">
        <v>11254398</v>
      </c>
      <c r="M9" s="635" t="n">
        <v>13820599</v>
      </c>
      <c r="N9" s="607"/>
      <c r="O9" s="636" t="s">
        <v>643</v>
      </c>
      <c r="P9" s="607" t="n">
        <v>21</v>
      </c>
      <c r="Q9" s="637" t="n">
        <f aca="false">'Planilla final'!Q30</f>
        <v>1332852.66</v>
      </c>
      <c r="R9" s="638" t="n">
        <f aca="false">T9-Q9</f>
        <v>1070534.74</v>
      </c>
      <c r="S9" s="607"/>
      <c r="T9" s="416" t="n">
        <v>1744498</v>
      </c>
      <c r="U9" s="632" t="n">
        <v>-726210</v>
      </c>
      <c r="V9" s="632"/>
      <c r="W9" s="639" t="n">
        <v>2470708</v>
      </c>
      <c r="X9" s="640" t="n">
        <v>557079</v>
      </c>
      <c r="Y9" s="646" t="n">
        <v>1913629</v>
      </c>
      <c r="Z9" s="632" t="n">
        <v>1651239</v>
      </c>
      <c r="AA9" s="628" t="n">
        <v>262390</v>
      </c>
      <c r="AD9" s="645"/>
      <c r="AE9" s="645"/>
    </row>
    <row r="10" customFormat="false" ht="12" hidden="false" customHeight="true" outlineLevel="0" collapsed="false">
      <c r="A10" s="629" t="s">
        <v>43</v>
      </c>
      <c r="B10" s="630" t="n">
        <v>9</v>
      </c>
      <c r="C10" s="631" t="n">
        <f aca="false">'Planilla final'!Q11</f>
        <v>5426574.38</v>
      </c>
      <c r="D10" s="623" t="n">
        <f aca="false">F10-C10</f>
        <v>-4904545.38</v>
      </c>
      <c r="E10" s="630"/>
      <c r="F10" s="416" t="n">
        <v>522029</v>
      </c>
      <c r="G10" s="632" t="n">
        <v>228775</v>
      </c>
      <c r="H10" s="632"/>
      <c r="I10" s="633" t="n">
        <v>750804</v>
      </c>
      <c r="J10" s="632" t="n">
        <v>373975</v>
      </c>
      <c r="K10" s="634" t="n">
        <v>1124779</v>
      </c>
      <c r="L10" s="632" t="n">
        <v>-685042</v>
      </c>
      <c r="M10" s="635" t="n">
        <v>1809821</v>
      </c>
      <c r="N10" s="607"/>
      <c r="O10" s="636" t="s">
        <v>71</v>
      </c>
      <c r="P10" s="607" t="n">
        <v>23</v>
      </c>
      <c r="Q10" s="637" t="n">
        <f aca="false">'Planilla final'!Q31</f>
        <v>827170.96</v>
      </c>
      <c r="R10" s="638" t="n">
        <f aca="false">T10-Q10</f>
        <v>7062674.51</v>
      </c>
      <c r="S10" s="607"/>
      <c r="T10" s="416" t="n">
        <v>7833420</v>
      </c>
      <c r="U10" s="632" t="n">
        <v>1097769</v>
      </c>
      <c r="V10" s="632"/>
      <c r="W10" s="639" t="n">
        <v>6735651</v>
      </c>
      <c r="X10" s="640" t="n">
        <v>2460744</v>
      </c>
      <c r="Y10" s="646" t="n">
        <v>4274907</v>
      </c>
      <c r="Z10" s="632" t="n">
        <v>130512</v>
      </c>
      <c r="AA10" s="628" t="n">
        <v>4144395</v>
      </c>
      <c r="AD10" s="645"/>
      <c r="AE10" s="645"/>
    </row>
    <row r="11" customFormat="false" ht="12" hidden="false" customHeight="true" outlineLevel="0" collapsed="false">
      <c r="A11" s="629" t="s">
        <v>42</v>
      </c>
      <c r="B11" s="630" t="n">
        <v>10</v>
      </c>
      <c r="C11" s="631" t="n">
        <f aca="false">'Planilla final'!Q10</f>
        <v>12245896.5</v>
      </c>
      <c r="D11" s="623" t="n">
        <f aca="false">F11-C11</f>
        <v>5452190.5</v>
      </c>
      <c r="E11" s="630"/>
      <c r="F11" s="416" t="n">
        <v>17698087</v>
      </c>
      <c r="G11" s="632" t="n">
        <v>-12823967</v>
      </c>
      <c r="H11" s="632"/>
      <c r="I11" s="633" t="n">
        <v>4874120</v>
      </c>
      <c r="J11" s="632" t="n">
        <v>664328</v>
      </c>
      <c r="K11" s="634" t="n">
        <v>5538448</v>
      </c>
      <c r="L11" s="632" t="n">
        <v>2963608</v>
      </c>
      <c r="M11" s="635" t="n">
        <v>2574840</v>
      </c>
      <c r="N11" s="607"/>
      <c r="O11" s="636" t="s">
        <v>72</v>
      </c>
      <c r="P11" s="607" t="n">
        <v>22</v>
      </c>
      <c r="Q11" s="637" t="n">
        <f aca="false">'Planilla final'!Q32</f>
        <v>6734015.4</v>
      </c>
      <c r="R11" s="638" t="n">
        <f aca="false">T11-Q11</f>
        <v>-2549771.36</v>
      </c>
      <c r="S11" s="607"/>
      <c r="T11" s="416" t="n">
        <v>4181004</v>
      </c>
      <c r="U11" s="632" t="n">
        <v>-366719</v>
      </c>
      <c r="V11" s="632"/>
      <c r="W11" s="639" t="n">
        <v>4547723</v>
      </c>
      <c r="X11" s="640" t="n">
        <v>859355</v>
      </c>
      <c r="Y11" s="646" t="n">
        <v>3688368</v>
      </c>
      <c r="Z11" s="632" t="n">
        <v>-31613</v>
      </c>
      <c r="AA11" s="628" t="n">
        <v>3719981</v>
      </c>
      <c r="AD11" s="645"/>
      <c r="AE11" s="645"/>
    </row>
    <row r="12" customFormat="false" ht="12" hidden="false" customHeight="true" outlineLevel="0" collapsed="false">
      <c r="A12" s="629" t="s">
        <v>45</v>
      </c>
      <c r="B12" s="630"/>
      <c r="C12" s="631" t="n">
        <f aca="false">'Planilla final'!Q12</f>
        <v>1668424.81</v>
      </c>
      <c r="D12" s="623" t="n">
        <f aca="false">F12-C12</f>
        <v>-915380.81</v>
      </c>
      <c r="E12" s="630"/>
      <c r="F12" s="416" t="n">
        <v>753044</v>
      </c>
      <c r="G12" s="632" t="n">
        <v>-233386</v>
      </c>
      <c r="H12" s="632"/>
      <c r="I12" s="633" t="n">
        <v>519658</v>
      </c>
      <c r="J12" s="632" t="n">
        <v>122526</v>
      </c>
      <c r="K12" s="634" t="n">
        <v>642184</v>
      </c>
      <c r="L12" s="632" t="n">
        <v>-1728719</v>
      </c>
      <c r="M12" s="635" t="n">
        <v>2370903</v>
      </c>
      <c r="N12" s="618"/>
      <c r="O12" s="636" t="s">
        <v>644</v>
      </c>
      <c r="P12" s="607" t="n">
        <v>26</v>
      </c>
      <c r="Q12" s="637" t="n">
        <f aca="false">'Planilla final'!Q33</f>
        <v>202932.3</v>
      </c>
      <c r="R12" s="638" t="n">
        <f aca="false">T12-Q12</f>
        <v>7475236.75</v>
      </c>
      <c r="S12" s="607"/>
      <c r="T12" s="416" t="n">
        <v>7675934</v>
      </c>
      <c r="U12" s="632" t="n">
        <v>-1991980</v>
      </c>
      <c r="V12" s="632"/>
      <c r="W12" s="639" t="n">
        <v>9667914</v>
      </c>
      <c r="X12" s="640" t="n">
        <v>3531359</v>
      </c>
      <c r="Y12" s="646" t="n">
        <v>6136555</v>
      </c>
      <c r="Z12" s="632" t="n">
        <v>-2446877</v>
      </c>
      <c r="AA12" s="628" t="n">
        <v>8583432</v>
      </c>
      <c r="AD12" s="645"/>
      <c r="AE12" s="645"/>
    </row>
    <row r="13" customFormat="false" ht="12" hidden="false" customHeight="true" outlineLevel="0" collapsed="false">
      <c r="A13" s="629" t="s">
        <v>46</v>
      </c>
      <c r="B13" s="630" t="n">
        <v>11</v>
      </c>
      <c r="C13" s="631" t="n">
        <f aca="false">'Planilla final'!Q13</f>
        <v>28373523.87</v>
      </c>
      <c r="D13" s="623" t="n">
        <f aca="false">F13-C13</f>
        <v>542442.129999999</v>
      </c>
      <c r="E13" s="630"/>
      <c r="F13" s="416" t="n">
        <v>28915966</v>
      </c>
      <c r="G13" s="632" t="n">
        <v>-4708564</v>
      </c>
      <c r="H13" s="632"/>
      <c r="I13" s="633" t="n">
        <v>24207402</v>
      </c>
      <c r="J13" s="632" t="n">
        <v>-9322375</v>
      </c>
      <c r="K13" s="634" t="n">
        <v>14885027</v>
      </c>
      <c r="L13" s="632" t="n">
        <v>-4055589</v>
      </c>
      <c r="M13" s="635" t="n">
        <v>18940616</v>
      </c>
      <c r="N13" s="607"/>
      <c r="O13" s="422" t="s">
        <v>645</v>
      </c>
      <c r="P13" s="647" t="n">
        <v>17</v>
      </c>
      <c r="Q13" s="648" t="n">
        <f aca="false">'Planilla final'!Q35</f>
        <v>1574194.54</v>
      </c>
      <c r="R13" s="638" t="n">
        <f aca="false">T13-Q13</f>
        <v>-54493.54</v>
      </c>
      <c r="S13" s="647"/>
      <c r="T13" s="416" t="n">
        <v>1519701</v>
      </c>
      <c r="U13" s="632" t="n">
        <v>1519701</v>
      </c>
      <c r="V13" s="632"/>
      <c r="W13" s="422" t="n">
        <v>0</v>
      </c>
      <c r="X13" s="649"/>
      <c r="Y13" s="419" t="n">
        <v>0</v>
      </c>
      <c r="Z13" s="632" t="n">
        <v>184123</v>
      </c>
      <c r="AA13" s="628" t="n">
        <v>4375344</v>
      </c>
      <c r="AD13" s="645"/>
      <c r="AE13" s="645"/>
    </row>
    <row r="14" customFormat="false" ht="12" hidden="true" customHeight="true" outlineLevel="0" collapsed="false">
      <c r="B14" s="650"/>
      <c r="C14" s="650"/>
      <c r="D14" s="623"/>
      <c r="E14" s="650"/>
      <c r="F14" s="457"/>
      <c r="G14" s="422"/>
      <c r="H14" s="422"/>
      <c r="I14" s="422"/>
      <c r="J14" s="632"/>
      <c r="K14" s="651" t="n">
        <v>67318476</v>
      </c>
      <c r="L14" s="632"/>
      <c r="M14" s="651" t="n">
        <v>72756812</v>
      </c>
      <c r="N14" s="618"/>
      <c r="O14" s="422" t="s">
        <v>646</v>
      </c>
      <c r="P14" s="647"/>
      <c r="Q14" s="647"/>
      <c r="R14" s="638"/>
      <c r="S14" s="647"/>
      <c r="T14" s="416" t="n">
        <v>0</v>
      </c>
      <c r="U14" s="632" t="n">
        <v>0</v>
      </c>
      <c r="V14" s="632"/>
      <c r="W14" s="422" t="n">
        <v>0</v>
      </c>
      <c r="X14" s="649"/>
      <c r="Y14" s="419" t="n">
        <v>0</v>
      </c>
      <c r="Z14" s="632"/>
      <c r="AA14" s="652" t="n">
        <v>71135268</v>
      </c>
      <c r="AD14" s="645"/>
      <c r="AE14" s="645"/>
    </row>
    <row r="15" customFormat="false" ht="12" hidden="false" customHeight="true" outlineLevel="0" collapsed="false">
      <c r="A15" s="622" t="s">
        <v>647</v>
      </c>
      <c r="B15" s="630"/>
      <c r="C15" s="653" t="n">
        <f aca="false">SUM(C5:C13)</f>
        <v>123476011.61</v>
      </c>
      <c r="D15" s="623"/>
      <c r="E15" s="630"/>
      <c r="F15" s="653" t="n">
        <v>100036106</v>
      </c>
      <c r="G15" s="632"/>
      <c r="H15" s="632"/>
      <c r="I15" s="654" t="n">
        <v>76994579</v>
      </c>
      <c r="J15" s="632"/>
      <c r="K15" s="655"/>
      <c r="L15" s="632"/>
      <c r="M15" s="656"/>
      <c r="N15" s="618"/>
      <c r="O15" s="636" t="s">
        <v>648</v>
      </c>
      <c r="P15" s="607" t="n">
        <v>24</v>
      </c>
      <c r="Q15" s="637" t="n">
        <f aca="false">'Planilla final'!Q34</f>
        <v>6295067.11</v>
      </c>
      <c r="R15" s="638" t="n">
        <f aca="false">T15-Q15</f>
        <v>1695703.42</v>
      </c>
      <c r="S15" s="607"/>
      <c r="T15" s="416" t="n">
        <v>7899793</v>
      </c>
      <c r="U15" s="632" t="n">
        <v>1674396</v>
      </c>
      <c r="V15" s="632"/>
      <c r="W15" s="639" t="n">
        <v>6225397</v>
      </c>
      <c r="X15" s="640" t="n">
        <v>1665930</v>
      </c>
      <c r="Y15" s="646" t="n">
        <v>4559467</v>
      </c>
      <c r="AD15" s="645"/>
      <c r="AE15" s="645"/>
    </row>
    <row r="16" customFormat="false" ht="12" hidden="false" customHeight="true" outlineLevel="0" collapsed="false">
      <c r="D16" s="623"/>
      <c r="J16" s="632"/>
      <c r="K16" s="655"/>
      <c r="L16" s="632"/>
      <c r="M16" s="656"/>
      <c r="N16" s="607"/>
      <c r="O16" s="657" t="s">
        <v>649</v>
      </c>
      <c r="P16" s="658"/>
      <c r="Q16" s="653" t="n">
        <f aca="false">SUM(Q5:Q15)</f>
        <v>59571926.02</v>
      </c>
      <c r="R16" s="638"/>
      <c r="S16" s="658"/>
      <c r="T16" s="653" t="n">
        <v>59338237</v>
      </c>
      <c r="U16" s="632"/>
      <c r="V16" s="632"/>
      <c r="W16" s="652" t="n">
        <v>70248711</v>
      </c>
      <c r="X16" s="640"/>
      <c r="Y16" s="659" t="n">
        <v>66142358</v>
      </c>
      <c r="Z16" s="632"/>
      <c r="AD16" s="645"/>
      <c r="AE16" s="645"/>
    </row>
    <row r="17" customFormat="false" ht="12" hidden="false" customHeight="true" outlineLevel="0" collapsed="false">
      <c r="A17" s="629"/>
      <c r="B17" s="630"/>
      <c r="C17" s="630"/>
      <c r="D17" s="623"/>
      <c r="E17" s="630"/>
      <c r="F17" s="422"/>
      <c r="G17" s="632"/>
      <c r="H17" s="632"/>
      <c r="I17" s="660"/>
      <c r="J17" s="632" t="n">
        <v>687947</v>
      </c>
      <c r="K17" s="634" t="n">
        <v>3212434</v>
      </c>
      <c r="L17" s="632" t="n">
        <v>206140</v>
      </c>
      <c r="M17" s="635" t="n">
        <v>3006294</v>
      </c>
      <c r="N17" s="618"/>
      <c r="O17" s="422"/>
      <c r="P17" s="647"/>
      <c r="Q17" s="647"/>
      <c r="R17" s="638"/>
      <c r="S17" s="647"/>
      <c r="T17" s="416"/>
      <c r="U17" s="603"/>
      <c r="V17" s="603"/>
      <c r="W17" s="422"/>
      <c r="X17" s="649"/>
      <c r="Y17" s="419"/>
      <c r="Z17" s="632" t="n">
        <v>251068</v>
      </c>
      <c r="AA17" s="628" t="n">
        <v>9423864</v>
      </c>
      <c r="AD17" s="645"/>
      <c r="AE17" s="645"/>
    </row>
    <row r="18" customFormat="false" ht="12" hidden="false" customHeight="true" outlineLevel="0" collapsed="false">
      <c r="A18" s="622" t="s">
        <v>650</v>
      </c>
      <c r="B18" s="630"/>
      <c r="C18" s="630"/>
      <c r="D18" s="623"/>
      <c r="E18" s="630"/>
      <c r="F18" s="422"/>
      <c r="G18" s="632"/>
      <c r="H18" s="632"/>
      <c r="I18" s="660"/>
      <c r="J18" s="632" t="n">
        <v>1073025</v>
      </c>
      <c r="K18" s="422" t="n">
        <v>3150764</v>
      </c>
      <c r="L18" s="632" t="n">
        <v>3150764</v>
      </c>
      <c r="M18" s="635" t="n">
        <v>0</v>
      </c>
      <c r="N18" s="607"/>
      <c r="O18" s="625" t="s">
        <v>651</v>
      </c>
      <c r="P18" s="658"/>
      <c r="Q18" s="658"/>
      <c r="R18" s="638"/>
      <c r="S18" s="658"/>
      <c r="T18" s="416"/>
      <c r="U18" s="632"/>
      <c r="V18" s="632"/>
      <c r="W18" s="625"/>
      <c r="X18" s="640"/>
      <c r="Y18" s="419"/>
      <c r="Z18" s="632" t="n">
        <v>-6904650</v>
      </c>
      <c r="AA18" s="628" t="n">
        <v>13615166</v>
      </c>
      <c r="AD18" s="645"/>
      <c r="AE18" s="645"/>
    </row>
    <row r="19" customFormat="false" ht="12" hidden="false" customHeight="true" outlineLevel="0" collapsed="false">
      <c r="A19" s="629" t="s">
        <v>42</v>
      </c>
      <c r="B19" s="630"/>
      <c r="C19" s="631" t="n">
        <f aca="false">'Planilla final'!Q15</f>
        <v>4672848.64</v>
      </c>
      <c r="D19" s="623" t="n">
        <f aca="false">F19-C19</f>
        <v>-4311984.64</v>
      </c>
      <c r="E19" s="630"/>
      <c r="F19" s="416" t="n">
        <v>360864</v>
      </c>
      <c r="G19" s="632" t="n">
        <v>2163623</v>
      </c>
      <c r="H19" s="632"/>
      <c r="I19" s="633" t="n">
        <v>2524487</v>
      </c>
      <c r="J19" s="632" t="n">
        <v>9280194</v>
      </c>
      <c r="K19" s="634" t="n">
        <v>112886401</v>
      </c>
      <c r="L19" s="632" t="n">
        <v>-2499431</v>
      </c>
      <c r="M19" s="635" t="n">
        <v>115385832</v>
      </c>
      <c r="N19" s="607"/>
      <c r="O19" s="661" t="s">
        <v>652</v>
      </c>
      <c r="P19" s="658" t="n">
        <v>18</v>
      </c>
      <c r="Q19" s="662" t="n">
        <f aca="false">'Planilla final'!Q37</f>
        <v>8303509.86</v>
      </c>
      <c r="R19" s="638" t="n">
        <f aca="false">T19-Q19</f>
        <v>-6649504.86</v>
      </c>
      <c r="S19" s="658"/>
      <c r="T19" s="416" t="n">
        <v>1654005</v>
      </c>
      <c r="U19" s="632" t="n">
        <v>-2724382</v>
      </c>
      <c r="V19" s="632"/>
      <c r="W19" s="663" t="n">
        <v>4378387</v>
      </c>
      <c r="X19" s="640" t="n">
        <v>-5296545</v>
      </c>
      <c r="Y19" s="664" t="n">
        <v>9674932</v>
      </c>
      <c r="Z19" s="632" t="n">
        <v>-3509537</v>
      </c>
      <c r="AA19" s="628" t="n">
        <v>5713210</v>
      </c>
      <c r="AD19" s="645"/>
      <c r="AE19" s="645"/>
    </row>
    <row r="20" customFormat="false" ht="12" hidden="false" customHeight="true" outlineLevel="0" collapsed="false">
      <c r="A20" s="629" t="s">
        <v>643</v>
      </c>
      <c r="B20" s="630" t="n">
        <v>21</v>
      </c>
      <c r="C20" s="631" t="n">
        <f aca="false">'Planilla final'!Q14</f>
        <v>4372325.96</v>
      </c>
      <c r="D20" s="623" t="n">
        <f aca="false">F20-C20</f>
        <v>-2294586.96</v>
      </c>
      <c r="E20" s="630"/>
      <c r="F20" s="416" t="n">
        <v>2077739</v>
      </c>
      <c r="G20" s="632" t="n">
        <v>0</v>
      </c>
      <c r="H20" s="632"/>
      <c r="I20" s="633" t="n">
        <v>2077739</v>
      </c>
      <c r="J20" s="632" t="n">
        <v>37744</v>
      </c>
      <c r="K20" s="634" t="n">
        <v>661755</v>
      </c>
      <c r="L20" s="632" t="n">
        <v>-39210</v>
      </c>
      <c r="M20" s="635" t="n">
        <v>700965</v>
      </c>
      <c r="N20" s="607"/>
      <c r="O20" s="661" t="s">
        <v>78</v>
      </c>
      <c r="P20" s="658" t="n">
        <v>19</v>
      </c>
      <c r="Q20" s="662" t="n">
        <f aca="false">'Planilla final'!Q38</f>
        <v>0</v>
      </c>
      <c r="R20" s="638" t="n">
        <f aca="false">T20-Q20</f>
        <v>0</v>
      </c>
      <c r="S20" s="658"/>
      <c r="T20" s="416" t="n">
        <v>0</v>
      </c>
      <c r="U20" s="632" t="n">
        <v>-2447101</v>
      </c>
      <c r="V20" s="632"/>
      <c r="W20" s="663" t="n">
        <v>2447101</v>
      </c>
      <c r="X20" s="640" t="n">
        <v>-4263415</v>
      </c>
      <c r="Y20" s="664" t="n">
        <v>6710516</v>
      </c>
      <c r="Z20" s="632" t="n">
        <v>2</v>
      </c>
      <c r="AA20" s="628" t="n">
        <v>10628878</v>
      </c>
      <c r="AC20" s="665"/>
      <c r="AD20" s="645"/>
      <c r="AE20" s="645"/>
      <c r="AG20" s="666"/>
      <c r="AI20" s="666"/>
    </row>
    <row r="21" customFormat="false" ht="12" hidden="false" customHeight="true" outlineLevel="0" collapsed="false">
      <c r="A21" s="629" t="s">
        <v>653</v>
      </c>
      <c r="B21" s="630" t="n">
        <v>12</v>
      </c>
      <c r="C21" s="631" t="n">
        <f aca="false">'Planilla final'!Q16+'Planilla final'!Q17</f>
        <v>34940789.57</v>
      </c>
      <c r="D21" s="623" t="n">
        <f aca="false">F21-C21</f>
        <v>50992281.43</v>
      </c>
      <c r="E21" s="630"/>
      <c r="F21" s="416" t="n">
        <v>85933071</v>
      </c>
      <c r="G21" s="632" t="n">
        <v>17673136</v>
      </c>
      <c r="H21" s="632"/>
      <c r="I21" s="633" t="n">
        <v>103606207</v>
      </c>
      <c r="J21" s="632" t="n">
        <v>-2676829</v>
      </c>
      <c r="K21" s="634" t="n">
        <v>11276112</v>
      </c>
      <c r="L21" s="632" t="n">
        <v>-841341</v>
      </c>
      <c r="M21" s="635" t="n">
        <v>12117453</v>
      </c>
      <c r="N21" s="607"/>
      <c r="O21" s="636" t="s">
        <v>642</v>
      </c>
      <c r="P21" s="607" t="n">
        <v>20</v>
      </c>
      <c r="Q21" s="637" t="n">
        <f aca="false">'Planilla final'!Q39</f>
        <v>2535062.43</v>
      </c>
      <c r="R21" s="638" t="n">
        <f aca="false">T21-Q21</f>
        <v>-2535062.43</v>
      </c>
      <c r="S21" s="607"/>
      <c r="T21" s="416" t="n">
        <v>0</v>
      </c>
      <c r="U21" s="632" t="n">
        <v>-2345800</v>
      </c>
      <c r="V21" s="632"/>
      <c r="W21" s="667" t="n">
        <v>2345800</v>
      </c>
      <c r="X21" s="640" t="n">
        <v>142127</v>
      </c>
      <c r="Y21" s="664" t="n">
        <v>2203673</v>
      </c>
      <c r="Z21" s="632" t="n">
        <v>-477887</v>
      </c>
      <c r="AA21" s="628" t="n">
        <v>2793866</v>
      </c>
      <c r="AD21" s="645"/>
      <c r="AE21" s="645"/>
      <c r="AF21" s="606"/>
      <c r="AG21" s="666"/>
      <c r="AH21" s="606"/>
      <c r="AI21" s="666"/>
    </row>
    <row r="22" customFormat="false" ht="12" hidden="false" customHeight="true" outlineLevel="0" collapsed="false">
      <c r="A22" s="629" t="s">
        <v>654</v>
      </c>
      <c r="B22" s="630" t="n">
        <v>13</v>
      </c>
      <c r="C22" s="631" t="n">
        <f aca="false">'Planilla final'!Q18</f>
        <v>953392.32</v>
      </c>
      <c r="D22" s="623" t="n">
        <f aca="false">F22-C22</f>
        <v>-368591.32</v>
      </c>
      <c r="E22" s="630"/>
      <c r="F22" s="416" t="n">
        <v>584801</v>
      </c>
      <c r="G22" s="632" t="n">
        <v>39210</v>
      </c>
      <c r="H22" s="632"/>
      <c r="I22" s="633" t="n">
        <v>624011</v>
      </c>
      <c r="J22" s="632" t="n">
        <v>0</v>
      </c>
      <c r="K22" s="634" t="n">
        <v>1422229</v>
      </c>
      <c r="L22" s="632" t="n">
        <v>0</v>
      </c>
      <c r="M22" s="635" t="n">
        <v>1422229</v>
      </c>
      <c r="N22" s="607"/>
      <c r="O22" s="636" t="s">
        <v>643</v>
      </c>
      <c r="P22" s="607" t="n">
        <v>21</v>
      </c>
      <c r="Q22" s="637" t="n">
        <f aca="false">'Planilla final'!Q40</f>
        <v>26543204.61</v>
      </c>
      <c r="R22" s="638" t="n">
        <f aca="false">T22-Q22</f>
        <v>-26036446.61</v>
      </c>
      <c r="S22" s="607"/>
      <c r="T22" s="416" t="n">
        <v>506758</v>
      </c>
      <c r="U22" s="632" t="n">
        <v>-10525144</v>
      </c>
      <c r="V22" s="632"/>
      <c r="W22" s="667" t="n">
        <v>11031902</v>
      </c>
      <c r="X22" s="640" t="n">
        <v>403022</v>
      </c>
      <c r="Y22" s="664" t="n">
        <v>10628880</v>
      </c>
      <c r="Z22" s="632" t="n">
        <v>-610580</v>
      </c>
      <c r="AA22" s="628" t="n">
        <v>5796127</v>
      </c>
      <c r="AD22" s="645"/>
      <c r="AE22" s="645"/>
    </row>
    <row r="23" customFormat="false" ht="12" hidden="false" customHeight="true" outlineLevel="0" collapsed="false">
      <c r="A23" s="629" t="s">
        <v>655</v>
      </c>
      <c r="B23" s="630" t="n">
        <v>14</v>
      </c>
      <c r="C23" s="631" t="n">
        <f aca="false">'Planilla final'!Q19</f>
        <v>6420022.09</v>
      </c>
      <c r="D23" s="623" t="n">
        <f aca="false">F23-C23</f>
        <v>5814061.91</v>
      </c>
      <c r="E23" s="630"/>
      <c r="F23" s="416" t="n">
        <v>12234084</v>
      </c>
      <c r="G23" s="632" t="n">
        <v>1718857</v>
      </c>
      <c r="H23" s="632"/>
      <c r="I23" s="633" t="n">
        <v>13952941</v>
      </c>
      <c r="J23" s="632" t="n">
        <v>0</v>
      </c>
      <c r="K23" s="634" t="n">
        <v>3318028</v>
      </c>
      <c r="L23" s="632" t="n">
        <v>-3227531</v>
      </c>
      <c r="M23" s="635" t="n">
        <v>6545559</v>
      </c>
      <c r="N23" s="607"/>
      <c r="O23" s="636" t="s">
        <v>72</v>
      </c>
      <c r="P23" s="607" t="n">
        <v>22</v>
      </c>
      <c r="Q23" s="637" t="n">
        <f aca="false">'Planilla final'!Q41</f>
        <v>3666071.47</v>
      </c>
      <c r="R23" s="638" t="n">
        <f aca="false">T23-Q23</f>
        <v>9749116.53</v>
      </c>
      <c r="S23" s="607"/>
      <c r="T23" s="416" t="n">
        <v>13415188</v>
      </c>
      <c r="U23" s="632" t="n">
        <v>12329117</v>
      </c>
      <c r="V23" s="632"/>
      <c r="W23" s="667" t="n">
        <v>1086071</v>
      </c>
      <c r="X23" s="640" t="n">
        <v>-1229908</v>
      </c>
      <c r="Y23" s="664" t="n">
        <v>2315979</v>
      </c>
      <c r="Z23" s="632" t="n">
        <v>3116879</v>
      </c>
      <c r="AA23" s="628" t="n">
        <v>17696327</v>
      </c>
      <c r="AD23" s="645"/>
      <c r="AE23" s="645"/>
    </row>
    <row r="24" customFormat="false" ht="12" hidden="false" customHeight="true" outlineLevel="0" collapsed="false">
      <c r="A24" s="629" t="s">
        <v>56</v>
      </c>
      <c r="B24" s="630" t="n">
        <v>15</v>
      </c>
      <c r="C24" s="631" t="n">
        <f aca="false">'Planilla final'!Q20</f>
        <v>3079397.05</v>
      </c>
      <c r="D24" s="623" t="n">
        <f aca="false">F24-C24</f>
        <v>-1405813.05</v>
      </c>
      <c r="E24" s="630"/>
      <c r="F24" s="416" t="n">
        <v>1673584</v>
      </c>
      <c r="G24" s="632" t="n">
        <v>-251355</v>
      </c>
      <c r="H24" s="632"/>
      <c r="I24" s="633" t="n">
        <v>1422229</v>
      </c>
      <c r="J24" s="632" t="n">
        <v>1257222</v>
      </c>
      <c r="K24" s="634" t="n">
        <v>4326687</v>
      </c>
      <c r="L24" s="632" t="n">
        <v>1190535</v>
      </c>
      <c r="M24" s="635" t="n">
        <v>3136152</v>
      </c>
      <c r="N24" s="607"/>
      <c r="O24" s="636" t="s">
        <v>656</v>
      </c>
      <c r="P24" s="607" t="n">
        <v>28</v>
      </c>
      <c r="Q24" s="637" t="n">
        <f aca="false">'Planilla final'!Q42</f>
        <v>7193981.22</v>
      </c>
      <c r="R24" s="638" t="n">
        <f aca="false">T24-Q24</f>
        <v>1049498.78</v>
      </c>
      <c r="S24" s="607"/>
      <c r="T24" s="416" t="n">
        <v>8243480</v>
      </c>
      <c r="U24" s="632" t="n">
        <v>2284473</v>
      </c>
      <c r="V24" s="632"/>
      <c r="W24" s="667" t="n">
        <v>5959007</v>
      </c>
      <c r="X24" s="640" t="n">
        <v>773460</v>
      </c>
      <c r="Y24" s="664" t="n">
        <v>5185547</v>
      </c>
      <c r="Z24" s="632" t="n">
        <v>0</v>
      </c>
      <c r="AA24" s="628" t="n">
        <v>3572443</v>
      </c>
      <c r="AD24" s="645"/>
      <c r="AE24" s="645"/>
    </row>
    <row r="25" customFormat="false" ht="12" hidden="false" customHeight="true" outlineLevel="0" collapsed="false">
      <c r="A25" s="629" t="s">
        <v>518</v>
      </c>
      <c r="B25" s="630" t="n">
        <v>16</v>
      </c>
      <c r="C25" s="631" t="n">
        <f aca="false">'Planilla final'!Q21</f>
        <v>42623206.11</v>
      </c>
      <c r="D25" s="623" t="n">
        <f aca="false">F25-C25</f>
        <v>-39036804.64</v>
      </c>
      <c r="E25" s="630"/>
      <c r="F25" s="416" t="n">
        <v>3586401.47</v>
      </c>
      <c r="G25" s="632" t="n">
        <v>-268373.469999999</v>
      </c>
      <c r="H25" s="632"/>
      <c r="I25" s="633" t="n">
        <v>3318028</v>
      </c>
      <c r="J25" s="632"/>
      <c r="K25" s="634" t="n">
        <v>0</v>
      </c>
      <c r="L25" s="632"/>
      <c r="M25" s="635"/>
      <c r="N25" s="607"/>
      <c r="O25" s="636" t="s">
        <v>644</v>
      </c>
      <c r="P25" s="607" t="n">
        <v>26</v>
      </c>
      <c r="Q25" s="637" t="n">
        <f aca="false">'Planilla final'!Q44</f>
        <v>16083778.21</v>
      </c>
      <c r="R25" s="638" t="n">
        <f aca="false">T25-Q25</f>
        <v>17772467.79</v>
      </c>
      <c r="S25" s="607"/>
      <c r="T25" s="416" t="n">
        <v>33856246</v>
      </c>
      <c r="U25" s="632" t="n">
        <v>9060189</v>
      </c>
      <c r="V25" s="632"/>
      <c r="W25" s="667" t="n">
        <v>24796057</v>
      </c>
      <c r="X25" s="640" t="n">
        <v>3982851</v>
      </c>
      <c r="Y25" s="664" t="n">
        <v>20813206</v>
      </c>
      <c r="Z25" s="632"/>
      <c r="AA25" s="628"/>
      <c r="AD25" s="645"/>
      <c r="AE25" s="645"/>
    </row>
    <row r="26" customFormat="false" ht="12" hidden="false" customHeight="true" outlineLevel="0" collapsed="false">
      <c r="A26" s="629" t="s">
        <v>61</v>
      </c>
      <c r="B26" s="630"/>
      <c r="C26" s="631" t="n">
        <f aca="false">'Planilla final'!Q24</f>
        <v>-16181365.82</v>
      </c>
      <c r="D26" s="623" t="n">
        <f aca="false">F26-C26</f>
        <v>16182965.82</v>
      </c>
      <c r="E26" s="630"/>
      <c r="F26" s="416" t="n">
        <v>1600</v>
      </c>
      <c r="G26" s="632" t="n">
        <v>3067865</v>
      </c>
      <c r="H26" s="632"/>
      <c r="I26" s="633" t="n">
        <v>3069465</v>
      </c>
      <c r="J26" s="632" t="n">
        <v>-261500</v>
      </c>
      <c r="K26" s="634" t="n">
        <v>0</v>
      </c>
      <c r="L26" s="632" t="n">
        <v>0</v>
      </c>
      <c r="M26" s="635" t="n">
        <v>0</v>
      </c>
      <c r="N26" s="422"/>
      <c r="O26" s="636" t="s">
        <v>657</v>
      </c>
      <c r="P26" s="607" t="n">
        <v>17</v>
      </c>
      <c r="Q26" s="637" t="n">
        <f aca="false">'Planilla final'!Q43</f>
        <v>2542450.66</v>
      </c>
      <c r="R26" s="638" t="n">
        <f aca="false">T26-Q26</f>
        <v>261708.34</v>
      </c>
      <c r="S26" s="607"/>
      <c r="T26" s="416" t="n">
        <v>2804159</v>
      </c>
      <c r="U26" s="632" t="n">
        <v>2804159</v>
      </c>
      <c r="V26" s="632"/>
      <c r="W26" s="668" t="n">
        <v>0</v>
      </c>
      <c r="X26" s="640" t="n">
        <v>-3572443</v>
      </c>
      <c r="Y26" s="664" t="n">
        <v>3572443</v>
      </c>
      <c r="Z26" s="632" t="n">
        <v>0</v>
      </c>
      <c r="AA26" s="669" t="n">
        <v>0</v>
      </c>
      <c r="AD26" s="645"/>
      <c r="AE26" s="645"/>
    </row>
    <row r="27" customFormat="false" ht="12" hidden="false" customHeight="true" outlineLevel="0" collapsed="false">
      <c r="A27" s="629" t="s">
        <v>520</v>
      </c>
      <c r="B27" s="630" t="n">
        <v>17</v>
      </c>
      <c r="C27" s="631" t="n">
        <f aca="false">'Planilla final'!Q23</f>
        <v>22545069.52</v>
      </c>
      <c r="D27" s="623" t="n">
        <f aca="false">F27-C27</f>
        <v>-18397962.52</v>
      </c>
      <c r="E27" s="630"/>
      <c r="F27" s="416" t="n">
        <v>4147107</v>
      </c>
      <c r="G27" s="632" t="n">
        <v>-4147107</v>
      </c>
      <c r="H27" s="632"/>
      <c r="I27" s="633" t="n">
        <v>0</v>
      </c>
      <c r="K27" s="651" t="n">
        <v>140254410</v>
      </c>
      <c r="M27" s="651" t="n">
        <v>142314484</v>
      </c>
      <c r="N27" s="607"/>
      <c r="O27" s="636" t="s">
        <v>523</v>
      </c>
      <c r="P27" s="607" t="n">
        <v>29</v>
      </c>
      <c r="Q27" s="637" t="n">
        <f aca="false">'Planilla final'!Q45</f>
        <v>0</v>
      </c>
      <c r="R27" s="638" t="n">
        <f aca="false">T27-Q27</f>
        <v>2580000</v>
      </c>
      <c r="S27" s="607"/>
      <c r="T27" s="416" t="n">
        <v>2580000</v>
      </c>
      <c r="U27" s="632" t="n">
        <v>0</v>
      </c>
      <c r="V27" s="632"/>
      <c r="W27" s="667" t="n">
        <v>2580000</v>
      </c>
      <c r="X27" s="640" t="n">
        <v>2580000</v>
      </c>
      <c r="Y27" s="670" t="n">
        <v>0</v>
      </c>
      <c r="AA27" s="671" t="n">
        <v>69239881</v>
      </c>
      <c r="AD27" s="645"/>
      <c r="AE27" s="645"/>
    </row>
    <row r="28" customFormat="false" ht="12" hidden="false" customHeight="true" outlineLevel="0" collapsed="false">
      <c r="A28" s="629" t="s">
        <v>658</v>
      </c>
      <c r="B28" s="630"/>
      <c r="C28" s="631" t="n">
        <f aca="false">'Planilla final'!Q22</f>
        <v>2112.98</v>
      </c>
      <c r="D28" s="623" t="n">
        <f aca="false">F28-C28</f>
        <v>261500.02</v>
      </c>
      <c r="E28" s="630"/>
      <c r="F28" s="416" t="n">
        <v>263613</v>
      </c>
      <c r="G28" s="632" t="n">
        <v>-2113</v>
      </c>
      <c r="H28" s="632"/>
      <c r="I28" s="633" t="n">
        <v>261500</v>
      </c>
      <c r="K28" s="422"/>
      <c r="M28" s="422"/>
      <c r="N28" s="422"/>
      <c r="O28" s="657" t="s">
        <v>144</v>
      </c>
      <c r="P28" s="658"/>
      <c r="Q28" s="672" t="n">
        <f aca="false">SUM(Q19:Q27)</f>
        <v>66868058.46</v>
      </c>
      <c r="R28" s="673"/>
      <c r="S28" s="658"/>
      <c r="T28" s="672" t="n">
        <v>63059836</v>
      </c>
      <c r="U28" s="603"/>
      <c r="V28" s="603"/>
      <c r="W28" s="674" t="n">
        <v>54624325</v>
      </c>
      <c r="X28" s="649"/>
      <c r="Y28" s="675" t="n">
        <v>61105176</v>
      </c>
      <c r="AA28" s="676" t="n">
        <v>140375149</v>
      </c>
      <c r="AD28" s="645"/>
      <c r="AE28" s="645"/>
    </row>
    <row r="29" customFormat="false" ht="12" hidden="false" customHeight="true" outlineLevel="0" collapsed="false">
      <c r="A29" s="622" t="s">
        <v>659</v>
      </c>
      <c r="B29" s="630"/>
      <c r="C29" s="653" t="n">
        <f aca="false">SUM(C19:C28)</f>
        <v>103427798.42</v>
      </c>
      <c r="D29" s="677"/>
      <c r="E29" s="630"/>
      <c r="F29" s="653" t="n">
        <v>110862864.47</v>
      </c>
      <c r="G29" s="651"/>
      <c r="H29" s="651"/>
      <c r="I29" s="654" t="n">
        <v>130856607</v>
      </c>
      <c r="K29" s="422"/>
      <c r="M29" s="422"/>
      <c r="N29" s="422"/>
      <c r="O29" s="657" t="s">
        <v>86</v>
      </c>
      <c r="P29" s="658"/>
      <c r="Q29" s="653" t="n">
        <f aca="false">Q16+Q28</f>
        <v>126439984.48</v>
      </c>
      <c r="R29" s="673"/>
      <c r="S29" s="658"/>
      <c r="T29" s="653" t="n">
        <v>122398073</v>
      </c>
      <c r="U29" s="603"/>
      <c r="V29" s="603"/>
      <c r="W29" s="678" t="n">
        <v>124873036</v>
      </c>
      <c r="X29" s="649"/>
      <c r="Y29" s="679" t="n">
        <v>127247534</v>
      </c>
      <c r="AA29" s="574"/>
      <c r="AD29" s="645"/>
      <c r="AE29" s="645"/>
    </row>
    <row r="30" customFormat="false" ht="12" hidden="false" customHeight="true" outlineLevel="0" collapsed="false">
      <c r="B30" s="650"/>
      <c r="C30" s="650"/>
      <c r="D30" s="677"/>
      <c r="E30" s="650"/>
      <c r="F30" s="416"/>
      <c r="G30" s="422"/>
      <c r="H30" s="422"/>
      <c r="I30" s="422"/>
      <c r="K30" s="422"/>
      <c r="M30" s="422"/>
      <c r="N30" s="607"/>
      <c r="O30" s="657"/>
      <c r="P30" s="658"/>
      <c r="Q30" s="416"/>
      <c r="R30" s="673"/>
      <c r="S30" s="658"/>
      <c r="T30" s="416"/>
      <c r="U30" s="603"/>
      <c r="V30" s="603"/>
      <c r="W30" s="680"/>
      <c r="X30" s="649"/>
      <c r="Y30" s="681"/>
      <c r="AA30" s="682"/>
      <c r="AD30" s="645"/>
      <c r="AE30" s="645"/>
    </row>
    <row r="31" customFormat="false" ht="12" hidden="false" customHeight="true" outlineLevel="0" collapsed="false">
      <c r="B31" s="650"/>
      <c r="C31" s="650"/>
      <c r="D31" s="677"/>
      <c r="E31" s="650"/>
      <c r="F31" s="416"/>
      <c r="G31" s="422"/>
      <c r="H31" s="422"/>
      <c r="I31" s="422"/>
      <c r="K31" s="422"/>
      <c r="M31" s="422"/>
      <c r="N31" s="422"/>
      <c r="O31" s="657" t="s">
        <v>660</v>
      </c>
      <c r="P31" s="658"/>
      <c r="Q31" s="416" t="n">
        <f aca="false">'Planilla final'!Q57</f>
        <v>100463825.55</v>
      </c>
      <c r="R31" s="673"/>
      <c r="S31" s="658"/>
      <c r="T31" s="416" t="n">
        <v>88500897.47</v>
      </c>
      <c r="U31" s="603" t="n">
        <v>5522747.47</v>
      </c>
      <c r="V31" s="603"/>
      <c r="W31" s="634" t="n">
        <v>82978150</v>
      </c>
      <c r="X31" s="649" t="n">
        <v>2652798</v>
      </c>
      <c r="Y31" s="683" t="n">
        <v>80325352</v>
      </c>
      <c r="Z31" s="603" t="n">
        <v>5629205</v>
      </c>
      <c r="AA31" s="642" t="n">
        <v>74696147</v>
      </c>
      <c r="AC31" s="428"/>
      <c r="AD31" s="645"/>
      <c r="AE31" s="645"/>
    </row>
    <row r="32" customFormat="false" ht="12" hidden="false" customHeight="true" outlineLevel="0" collapsed="false">
      <c r="B32" s="650"/>
      <c r="C32" s="650"/>
      <c r="D32" s="677"/>
      <c r="E32" s="650"/>
      <c r="F32" s="416"/>
      <c r="G32" s="422"/>
      <c r="H32" s="422"/>
      <c r="I32" s="422"/>
      <c r="K32" s="422"/>
      <c r="M32" s="422"/>
      <c r="N32" s="684"/>
      <c r="O32" s="422"/>
      <c r="P32" s="647"/>
      <c r="Q32" s="422"/>
      <c r="R32" s="685"/>
      <c r="S32" s="647"/>
      <c r="T32" s="422"/>
      <c r="U32" s="422"/>
      <c r="V32" s="422"/>
      <c r="W32" s="422"/>
      <c r="X32" s="649"/>
      <c r="Y32" s="419"/>
      <c r="AD32" s="645"/>
      <c r="AE32" s="645"/>
    </row>
    <row r="33" customFormat="false" ht="12" hidden="false" customHeight="true" outlineLevel="0" collapsed="false">
      <c r="A33" s="470" t="s">
        <v>661</v>
      </c>
      <c r="B33" s="630"/>
      <c r="C33" s="686" t="n">
        <f aca="false">C15+C29</f>
        <v>226903810.03</v>
      </c>
      <c r="D33" s="630"/>
      <c r="E33" s="630"/>
      <c r="F33" s="686" t="n">
        <v>210898970.47</v>
      </c>
      <c r="G33" s="666"/>
      <c r="H33" s="666"/>
      <c r="I33" s="686" t="n">
        <v>207851186</v>
      </c>
      <c r="J33" s="605"/>
      <c r="K33" s="666" t="n">
        <v>207572886</v>
      </c>
      <c r="L33" s="605"/>
      <c r="M33" s="666" t="n">
        <v>215071296</v>
      </c>
      <c r="N33" s="607"/>
      <c r="O33" s="687" t="s">
        <v>662</v>
      </c>
      <c r="P33" s="687"/>
      <c r="Q33" s="686" t="n">
        <f aca="false">Q29+Q31</f>
        <v>226903810.03</v>
      </c>
      <c r="R33" s="688"/>
      <c r="S33" s="687"/>
      <c r="T33" s="686" t="n">
        <v>210898970.47</v>
      </c>
      <c r="U33" s="666"/>
      <c r="V33" s="666"/>
      <c r="W33" s="689" t="n">
        <v>207851186</v>
      </c>
      <c r="X33" s="620"/>
      <c r="Y33" s="690" t="n">
        <v>207572886</v>
      </c>
      <c r="Z33" s="605"/>
      <c r="AA33" s="686" t="n">
        <v>215071296</v>
      </c>
      <c r="AD33" s="645"/>
      <c r="AE33" s="645"/>
    </row>
    <row r="34" customFormat="false" ht="5.1" hidden="false" customHeight="true" outlineLevel="0" collapsed="false">
      <c r="B34" s="650"/>
      <c r="C34" s="650"/>
      <c r="D34" s="650"/>
      <c r="E34" s="650"/>
      <c r="F34" s="422"/>
      <c r="G34" s="422"/>
      <c r="H34" s="422"/>
      <c r="I34" s="422"/>
      <c r="K34" s="691"/>
      <c r="M34" s="422"/>
      <c r="N34" s="607"/>
      <c r="O34" s="682"/>
      <c r="P34" s="682"/>
      <c r="Q34" s="682"/>
      <c r="R34" s="682"/>
      <c r="S34" s="682"/>
      <c r="T34" s="422"/>
      <c r="U34" s="682"/>
      <c r="V34" s="682"/>
      <c r="W34" s="682"/>
      <c r="X34" s="692"/>
      <c r="Y34" s="427"/>
      <c r="AD34" s="682"/>
    </row>
    <row r="35" customFormat="false" ht="17.25" hidden="false" customHeight="true" outlineLevel="0" collapsed="false">
      <c r="A35" s="415" t="s">
        <v>663</v>
      </c>
      <c r="C35" s="0"/>
      <c r="F35" s="428"/>
      <c r="I35" s="0"/>
      <c r="K35" s="691"/>
      <c r="N35" s="607"/>
      <c r="O35" s="682"/>
      <c r="P35" s="682"/>
      <c r="Q35" s="682"/>
      <c r="R35" s="682"/>
      <c r="S35" s="682"/>
      <c r="T35" s="415"/>
      <c r="AD35" s="682"/>
    </row>
    <row r="36" customFormat="false" ht="11.9" hidden="false" customHeight="true" outlineLevel="0" collapsed="false">
      <c r="F36" s="428"/>
      <c r="K36" s="691"/>
      <c r="N36" s="607"/>
      <c r="O36" s="682"/>
      <c r="P36" s="682"/>
      <c r="Q36" s="682" t="n">
        <f aca="false">C33-Q33</f>
        <v>0</v>
      </c>
      <c r="R36" s="682"/>
      <c r="S36" s="682"/>
      <c r="T36" s="644" t="n">
        <v>0</v>
      </c>
      <c r="U36" s="644" t="n">
        <v>0</v>
      </c>
      <c r="V36" s="644"/>
      <c r="W36" s="644" t="n">
        <v>0</v>
      </c>
      <c r="AD36" s="682"/>
    </row>
    <row r="37" customFormat="false" ht="12" hidden="false" customHeight="true" outlineLevel="0" collapsed="false">
      <c r="F37" s="415"/>
      <c r="K37" s="682"/>
      <c r="N37" s="607"/>
      <c r="O37" s="682"/>
      <c r="P37" s="682"/>
      <c r="Q37" s="682"/>
      <c r="R37" s="682"/>
      <c r="S37" s="682"/>
      <c r="T37" s="415"/>
      <c r="U37" s="682"/>
      <c r="V37" s="682"/>
      <c r="W37" s="682"/>
      <c r="Y37" s="682"/>
      <c r="AA37" s="682"/>
      <c r="AD37" s="682"/>
    </row>
    <row r="38" customFormat="false" ht="12" hidden="false" customHeight="true" outlineLevel="0" collapsed="false">
      <c r="A38" s="693" t="s">
        <v>664</v>
      </c>
      <c r="B38" s="693"/>
      <c r="C38" s="693"/>
      <c r="D38" s="693"/>
      <c r="E38" s="693"/>
      <c r="F38" s="430"/>
      <c r="I38" s="414"/>
      <c r="J38" s="605"/>
      <c r="K38" s="682"/>
      <c r="L38" s="605"/>
      <c r="N38" s="607"/>
      <c r="O38" s="694" t="s">
        <v>665</v>
      </c>
      <c r="P38" s="694"/>
      <c r="Q38" s="694"/>
      <c r="R38" s="694"/>
      <c r="S38" s="694"/>
      <c r="T38" s="430"/>
      <c r="U38" s="682"/>
      <c r="V38" s="682"/>
      <c r="W38" s="682"/>
      <c r="X38" s="605"/>
      <c r="Z38" s="605"/>
      <c r="AD38" s="682"/>
    </row>
    <row r="39" customFormat="false" ht="12" hidden="false" customHeight="true" outlineLevel="0" collapsed="false">
      <c r="A39" s="695" t="s">
        <v>666</v>
      </c>
      <c r="B39" s="695"/>
      <c r="C39" s="695"/>
      <c r="D39" s="695"/>
      <c r="E39" s="695"/>
      <c r="F39" s="421" t="n">
        <v>-268472.47</v>
      </c>
      <c r="G39" s="488"/>
      <c r="H39" s="488"/>
      <c r="I39" s="488"/>
      <c r="J39" s="605"/>
      <c r="K39" s="682"/>
      <c r="L39" s="605"/>
      <c r="M39" s="682"/>
      <c r="N39" s="607"/>
      <c r="O39" s="695" t="s">
        <v>348</v>
      </c>
      <c r="P39" s="695"/>
      <c r="Q39" s="695"/>
      <c r="R39" s="695"/>
      <c r="S39" s="695"/>
      <c r="T39" s="421" t="n">
        <v>12470870.47</v>
      </c>
      <c r="U39" s="682"/>
      <c r="V39" s="682"/>
      <c r="W39" s="682"/>
      <c r="X39" s="605"/>
      <c r="Z39" s="605"/>
      <c r="AD39" s="682"/>
    </row>
    <row r="40" customFormat="false" ht="12" hidden="false" customHeight="true" outlineLevel="0" collapsed="false">
      <c r="A40" s="448" t="s">
        <v>667</v>
      </c>
      <c r="B40" s="448"/>
      <c r="C40" s="448"/>
      <c r="D40" s="448"/>
      <c r="E40" s="448"/>
      <c r="F40" s="425" t="n">
        <v>99.0000000011642</v>
      </c>
      <c r="G40" s="416"/>
      <c r="H40" s="416"/>
      <c r="I40" s="416"/>
      <c r="J40" s="605"/>
      <c r="K40" s="682"/>
      <c r="L40" s="605"/>
      <c r="O40" s="696" t="s">
        <v>668</v>
      </c>
      <c r="P40" s="696"/>
      <c r="Q40" s="696"/>
      <c r="R40" s="696"/>
      <c r="S40" s="696"/>
      <c r="T40" s="421" t="n">
        <v>-5488035</v>
      </c>
      <c r="U40" s="697"/>
      <c r="V40" s="697"/>
      <c r="W40" s="697"/>
      <c r="X40" s="605"/>
      <c r="Z40" s="605"/>
      <c r="AD40" s="682"/>
    </row>
    <row r="41" customFormat="false" ht="12" hidden="false" customHeight="true" outlineLevel="0" collapsed="false">
      <c r="A41" s="698" t="s">
        <v>5</v>
      </c>
      <c r="B41" s="698"/>
      <c r="C41" s="698"/>
      <c r="D41" s="698"/>
      <c r="E41" s="698"/>
      <c r="F41" s="425" t="n">
        <v>-268373.469999999</v>
      </c>
      <c r="G41" s="416"/>
      <c r="H41" s="416"/>
      <c r="I41" s="416"/>
      <c r="J41" s="605"/>
      <c r="K41" s="682"/>
      <c r="L41" s="605"/>
      <c r="N41" s="607"/>
      <c r="O41" s="696" t="s">
        <v>669</v>
      </c>
      <c r="P41" s="696"/>
      <c r="Q41" s="696"/>
      <c r="R41" s="696"/>
      <c r="S41" s="696"/>
      <c r="T41" s="421" t="n">
        <v>1188714</v>
      </c>
      <c r="U41" s="697"/>
      <c r="V41" s="697"/>
      <c r="W41" s="697"/>
      <c r="X41" s="605"/>
      <c r="Z41" s="605"/>
      <c r="AD41" s="682"/>
    </row>
    <row r="42" customFormat="false" ht="12" hidden="false" customHeight="true" outlineLevel="0" collapsed="false">
      <c r="F42" s="459" t="n">
        <v>0</v>
      </c>
      <c r="K42" s="682"/>
      <c r="N42" s="607"/>
      <c r="O42" s="419" t="s">
        <v>670</v>
      </c>
      <c r="P42" s="419"/>
      <c r="Q42" s="419"/>
      <c r="R42" s="419"/>
      <c r="S42" s="419"/>
      <c r="T42" s="421" t="n">
        <v>-1099700</v>
      </c>
      <c r="U42" s="682"/>
      <c r="V42" s="682"/>
      <c r="W42" s="682"/>
      <c r="Y42" s="682"/>
      <c r="AA42" s="682"/>
      <c r="AD42" s="682"/>
    </row>
    <row r="43" customFormat="false" ht="12" hidden="false" customHeight="true" outlineLevel="0" collapsed="false">
      <c r="A43" s="693" t="s">
        <v>671</v>
      </c>
      <c r="B43" s="693"/>
      <c r="C43" s="693"/>
      <c r="D43" s="693"/>
      <c r="E43" s="693"/>
      <c r="F43" s="430"/>
      <c r="J43" s="605"/>
      <c r="K43" s="682"/>
      <c r="L43" s="605"/>
      <c r="N43" s="607"/>
      <c r="O43" s="695" t="s">
        <v>672</v>
      </c>
      <c r="P43" s="695"/>
      <c r="Q43" s="695"/>
      <c r="R43" s="695"/>
      <c r="S43" s="695"/>
      <c r="T43" s="421" t="n">
        <v>-1770198</v>
      </c>
      <c r="U43" s="682"/>
      <c r="V43" s="682"/>
      <c r="W43" s="682"/>
      <c r="X43" s="605"/>
      <c r="Z43" s="605"/>
      <c r="AD43" s="682"/>
    </row>
    <row r="44" customFormat="false" ht="12" hidden="false" customHeight="true" outlineLevel="0" collapsed="false">
      <c r="A44" s="695" t="s">
        <v>673</v>
      </c>
      <c r="B44" s="695"/>
      <c r="C44" s="695"/>
      <c r="D44" s="695"/>
      <c r="E44" s="695"/>
      <c r="F44" s="421" t="n">
        <v>21515684</v>
      </c>
      <c r="G44" s="488"/>
      <c r="H44" s="488"/>
      <c r="I44" s="488"/>
      <c r="J44" s="605"/>
      <c r="K44" s="682"/>
      <c r="L44" s="605"/>
      <c r="M44" s="682"/>
      <c r="N44" s="607"/>
      <c r="O44" s="419" t="s">
        <v>674</v>
      </c>
      <c r="P44" s="419"/>
      <c r="Q44" s="419"/>
      <c r="R44" s="419"/>
      <c r="S44" s="419"/>
      <c r="T44" s="421"/>
      <c r="U44" s="682"/>
      <c r="V44" s="682"/>
      <c r="W44" s="682"/>
      <c r="X44" s="605"/>
      <c r="Z44" s="605"/>
      <c r="AD44" s="682"/>
    </row>
    <row r="45" customFormat="false" ht="12" hidden="false" customHeight="true" outlineLevel="0" collapsed="false">
      <c r="A45" s="448" t="s">
        <v>667</v>
      </c>
      <c r="B45" s="448"/>
      <c r="C45" s="448"/>
      <c r="D45" s="448"/>
      <c r="E45" s="448"/>
      <c r="F45" s="425" t="n">
        <v>-3842548</v>
      </c>
      <c r="G45" s="416"/>
      <c r="H45" s="416"/>
      <c r="I45" s="416"/>
      <c r="J45" s="605"/>
      <c r="K45" s="682"/>
      <c r="L45" s="605"/>
      <c r="O45" s="695" t="s">
        <v>675</v>
      </c>
      <c r="P45" s="695"/>
      <c r="Q45" s="695"/>
      <c r="R45" s="695"/>
      <c r="S45" s="695"/>
      <c r="T45" s="421" t="n">
        <v>221096</v>
      </c>
      <c r="U45" s="697"/>
      <c r="V45" s="697"/>
      <c r="W45" s="697"/>
      <c r="X45" s="605"/>
      <c r="Z45" s="605"/>
      <c r="AD45" s="682"/>
    </row>
    <row r="46" customFormat="false" ht="12" hidden="false" customHeight="true" outlineLevel="0" collapsed="false">
      <c r="A46" s="698" t="s">
        <v>5</v>
      </c>
      <c r="B46" s="698"/>
      <c r="C46" s="698"/>
      <c r="D46" s="698"/>
      <c r="E46" s="698"/>
      <c r="F46" s="425" t="n">
        <v>17673136</v>
      </c>
      <c r="G46" s="416"/>
      <c r="H46" s="416"/>
      <c r="I46" s="416"/>
      <c r="J46" s="605"/>
      <c r="K46" s="682"/>
      <c r="L46" s="605"/>
      <c r="N46" s="607"/>
      <c r="O46" s="699" t="s">
        <v>5</v>
      </c>
      <c r="P46" s="699"/>
      <c r="Q46" s="699"/>
      <c r="R46" s="699"/>
      <c r="S46" s="699"/>
      <c r="T46" s="437" t="n">
        <v>5522747.47</v>
      </c>
      <c r="U46" s="697"/>
      <c r="V46" s="697"/>
      <c r="W46" s="697"/>
      <c r="X46" s="605"/>
      <c r="Z46" s="605"/>
      <c r="AD46" s="682"/>
    </row>
    <row r="47" customFormat="false" ht="12" hidden="false" customHeight="true" outlineLevel="0" collapsed="false">
      <c r="F47" s="416" t="n">
        <v>0</v>
      </c>
      <c r="G47" s="416"/>
      <c r="H47" s="416"/>
      <c r="I47" s="416"/>
      <c r="K47" s="691"/>
      <c r="O47" s="697"/>
      <c r="P47" s="697"/>
      <c r="Q47" s="697"/>
      <c r="R47" s="697"/>
      <c r="S47" s="697"/>
      <c r="T47" s="416" t="n">
        <v>0</v>
      </c>
      <c r="U47" s="697"/>
      <c r="V47" s="697"/>
      <c r="W47" s="697"/>
      <c r="AD47" s="682"/>
    </row>
    <row r="48" customFormat="false" ht="12" hidden="false" customHeight="true" outlineLevel="0" collapsed="false">
      <c r="A48" s="693" t="s">
        <v>676</v>
      </c>
      <c r="B48" s="693"/>
      <c r="C48" s="693"/>
      <c r="D48" s="693"/>
      <c r="E48" s="693"/>
      <c r="F48" s="430"/>
      <c r="J48" s="605"/>
      <c r="K48" s="682"/>
      <c r="L48" s="605"/>
      <c r="N48" s="607"/>
      <c r="O48" s="700" t="s">
        <v>348</v>
      </c>
      <c r="P48" s="700"/>
      <c r="Q48" s="700"/>
      <c r="R48" s="700"/>
      <c r="S48" s="700"/>
      <c r="T48" s="431" t="n">
        <v>12470870.47</v>
      </c>
      <c r="U48" s="682"/>
      <c r="V48" s="682"/>
      <c r="W48" s="682"/>
      <c r="X48" s="605"/>
      <c r="Z48" s="605"/>
      <c r="AD48" s="682"/>
    </row>
    <row r="49" customFormat="false" ht="12" hidden="false" customHeight="true" outlineLevel="0" collapsed="false">
      <c r="A49" s="695" t="s">
        <v>673</v>
      </c>
      <c r="B49" s="695"/>
      <c r="C49" s="695"/>
      <c r="D49" s="695"/>
      <c r="E49" s="695"/>
      <c r="F49" s="421" t="n">
        <v>1484293</v>
      </c>
      <c r="G49" s="488"/>
      <c r="H49" s="488"/>
      <c r="I49" s="488"/>
      <c r="J49" s="605"/>
      <c r="K49" s="682"/>
      <c r="L49" s="605"/>
      <c r="M49" s="682"/>
      <c r="N49" s="607"/>
      <c r="O49" s="701" t="s">
        <v>677</v>
      </c>
      <c r="P49" s="701"/>
      <c r="Q49" s="701"/>
      <c r="R49" s="701"/>
      <c r="S49" s="701"/>
      <c r="T49" s="425" t="n">
        <v>7566400</v>
      </c>
      <c r="U49" s="682"/>
      <c r="V49" s="682"/>
      <c r="W49" s="682"/>
      <c r="X49" s="605"/>
      <c r="Z49" s="605"/>
      <c r="AD49" s="682"/>
    </row>
    <row r="50" customFormat="false" ht="12" hidden="false" customHeight="true" outlineLevel="0" collapsed="false">
      <c r="A50" s="448" t="s">
        <v>678</v>
      </c>
      <c r="B50" s="448"/>
      <c r="C50" s="448"/>
      <c r="D50" s="448"/>
      <c r="E50" s="448"/>
      <c r="F50" s="421" t="n">
        <v>-5631400</v>
      </c>
      <c r="G50" s="416"/>
      <c r="H50" s="416"/>
      <c r="I50" s="416"/>
      <c r="J50" s="605"/>
      <c r="K50" s="682"/>
      <c r="L50" s="605"/>
      <c r="O50" s="702" t="s">
        <v>109</v>
      </c>
      <c r="P50" s="702"/>
      <c r="Q50" s="702"/>
      <c r="R50" s="702"/>
      <c r="S50" s="702"/>
      <c r="T50" s="454" t="n">
        <v>20037270.47</v>
      </c>
      <c r="U50" s="697"/>
      <c r="V50" s="697"/>
      <c r="W50" s="697"/>
      <c r="X50" s="605"/>
      <c r="Z50" s="605"/>
      <c r="AD50" s="682"/>
    </row>
    <row r="51" customFormat="false" ht="12" hidden="false" customHeight="true" outlineLevel="0" collapsed="false">
      <c r="A51" s="448" t="s">
        <v>679</v>
      </c>
      <c r="B51" s="448"/>
      <c r="C51" s="448"/>
      <c r="D51" s="448"/>
      <c r="E51" s="448"/>
      <c r="F51" s="425" t="n">
        <v>0</v>
      </c>
      <c r="G51" s="416"/>
      <c r="H51" s="416"/>
      <c r="I51" s="416"/>
      <c r="J51" s="605"/>
      <c r="K51" s="682"/>
      <c r="L51" s="605"/>
      <c r="O51" s="697"/>
      <c r="P51" s="697"/>
      <c r="Q51" s="697"/>
      <c r="R51" s="697"/>
      <c r="S51" s="697"/>
      <c r="T51" s="428" t="n">
        <v>0</v>
      </c>
      <c r="U51" s="697"/>
      <c r="V51" s="697"/>
      <c r="W51" s="697"/>
      <c r="X51" s="605"/>
      <c r="Z51" s="605"/>
      <c r="AD51" s="682"/>
    </row>
    <row r="52" customFormat="false" ht="12" hidden="false" customHeight="true" outlineLevel="0" collapsed="false">
      <c r="A52" s="698" t="s">
        <v>5</v>
      </c>
      <c r="B52" s="698"/>
      <c r="C52" s="698"/>
      <c r="D52" s="698"/>
      <c r="E52" s="698"/>
      <c r="F52" s="425" t="n">
        <v>-4147107</v>
      </c>
      <c r="G52" s="416"/>
      <c r="H52" s="416"/>
      <c r="I52" s="416"/>
      <c r="J52" s="605"/>
      <c r="K52" s="682"/>
      <c r="L52" s="605"/>
      <c r="N52" s="607"/>
      <c r="O52" s="697"/>
      <c r="P52" s="697"/>
      <c r="Q52" s="697"/>
      <c r="R52" s="697"/>
      <c r="S52" s="697"/>
      <c r="T52" s="415"/>
      <c r="U52" s="697"/>
      <c r="V52" s="697"/>
      <c r="W52" s="697"/>
      <c r="X52" s="605"/>
      <c r="Z52" s="605"/>
      <c r="AD52" s="682"/>
    </row>
    <row r="53" customFormat="false" ht="12" hidden="false" customHeight="true" outlineLevel="0" collapsed="false">
      <c r="A53" s="422"/>
      <c r="B53" s="422"/>
      <c r="C53" s="422"/>
      <c r="D53" s="422"/>
      <c r="E53" s="422"/>
      <c r="F53" s="416" t="n">
        <v>0</v>
      </c>
      <c r="G53" s="416"/>
      <c r="H53" s="416"/>
      <c r="I53" s="416"/>
      <c r="J53" s="605"/>
      <c r="K53" s="682"/>
      <c r="L53" s="605"/>
      <c r="N53" s="607"/>
      <c r="O53" s="697"/>
      <c r="P53" s="697"/>
      <c r="Q53" s="697"/>
      <c r="R53" s="697"/>
      <c r="S53" s="697"/>
      <c r="T53" s="415"/>
      <c r="U53" s="697"/>
      <c r="V53" s="697"/>
      <c r="W53" s="697"/>
      <c r="X53" s="605"/>
      <c r="Z53" s="605"/>
      <c r="AD53" s="682"/>
    </row>
    <row r="54" customFormat="false" ht="12" hidden="false" customHeight="true" outlineLevel="0" collapsed="false">
      <c r="A54" s="693" t="s">
        <v>680</v>
      </c>
      <c r="B54" s="693"/>
      <c r="C54" s="693"/>
      <c r="D54" s="693"/>
      <c r="E54" s="693"/>
      <c r="F54" s="430"/>
      <c r="G54" s="416"/>
      <c r="H54" s="416"/>
      <c r="I54" s="416"/>
      <c r="J54" s="605"/>
      <c r="K54" s="682"/>
      <c r="L54" s="605"/>
      <c r="N54" s="607"/>
      <c r="O54" s="697"/>
      <c r="P54" s="697"/>
      <c r="Q54" s="697"/>
      <c r="R54" s="697"/>
      <c r="S54" s="697"/>
      <c r="T54" s="415"/>
      <c r="U54" s="697"/>
      <c r="V54" s="697"/>
      <c r="W54" s="697"/>
      <c r="X54" s="605"/>
      <c r="Z54" s="605"/>
      <c r="AD54" s="682"/>
    </row>
    <row r="55" customFormat="false" ht="12" hidden="false" customHeight="true" outlineLevel="0" collapsed="false">
      <c r="A55" s="695" t="s">
        <v>681</v>
      </c>
      <c r="B55" s="695"/>
      <c r="C55" s="695"/>
      <c r="D55" s="695"/>
      <c r="E55" s="695"/>
      <c r="F55" s="421" t="n">
        <v>2973618</v>
      </c>
      <c r="G55" s="416"/>
      <c r="H55" s="416"/>
      <c r="I55" s="416"/>
      <c r="N55" s="607"/>
      <c r="O55" s="697"/>
      <c r="P55" s="697"/>
      <c r="Q55" s="697"/>
      <c r="R55" s="697"/>
      <c r="S55" s="697"/>
      <c r="T55" s="415"/>
      <c r="U55" s="697"/>
      <c r="V55" s="697"/>
      <c r="W55" s="697"/>
      <c r="AD55" s="682"/>
    </row>
    <row r="56" customFormat="false" ht="12" hidden="false" customHeight="true" outlineLevel="0" collapsed="false">
      <c r="A56" s="695" t="s">
        <v>682</v>
      </c>
      <c r="B56" s="695"/>
      <c r="C56" s="695"/>
      <c r="D56" s="695"/>
      <c r="E56" s="695"/>
      <c r="F56" s="421" t="n">
        <v>-1788845</v>
      </c>
      <c r="G56" s="416"/>
      <c r="H56" s="416"/>
      <c r="I56" s="416"/>
      <c r="N56" s="607"/>
      <c r="O56" s="697"/>
      <c r="P56" s="697"/>
      <c r="Q56" s="697"/>
      <c r="R56" s="697"/>
      <c r="S56" s="697"/>
      <c r="T56" s="415"/>
      <c r="U56" s="697"/>
      <c r="V56" s="697"/>
      <c r="W56" s="697"/>
      <c r="AD56" s="682"/>
    </row>
    <row r="57" customFormat="false" ht="12" hidden="false" customHeight="true" outlineLevel="0" collapsed="false">
      <c r="A57" s="695" t="s">
        <v>683</v>
      </c>
      <c r="B57" s="695"/>
      <c r="C57" s="695"/>
      <c r="D57" s="695"/>
      <c r="E57" s="695"/>
      <c r="F57" s="421" t="n">
        <v>1099700</v>
      </c>
      <c r="G57" s="416"/>
      <c r="H57" s="416"/>
      <c r="I57" s="416"/>
      <c r="N57" s="607"/>
      <c r="O57" s="697"/>
      <c r="P57" s="697"/>
      <c r="Q57" s="697"/>
      <c r="R57" s="697"/>
      <c r="S57" s="697"/>
      <c r="T57" s="415"/>
      <c r="U57" s="697"/>
      <c r="V57" s="697"/>
      <c r="W57" s="697"/>
      <c r="AD57" s="682"/>
    </row>
    <row r="58" customFormat="false" ht="12" hidden="false" customHeight="true" outlineLevel="0" collapsed="false">
      <c r="A58" s="448" t="s">
        <v>684</v>
      </c>
      <c r="B58" s="448"/>
      <c r="C58" s="448"/>
      <c r="D58" s="448"/>
      <c r="E58" s="448"/>
      <c r="F58" s="425"/>
      <c r="G58" s="416"/>
      <c r="H58" s="416"/>
      <c r="I58" s="416"/>
      <c r="J58" s="605"/>
      <c r="K58" s="682"/>
      <c r="L58" s="605"/>
      <c r="N58" s="607"/>
      <c r="O58" s="697"/>
      <c r="P58" s="697"/>
      <c r="Q58" s="697"/>
      <c r="R58" s="697"/>
      <c r="S58" s="697"/>
      <c r="T58" s="415"/>
      <c r="U58" s="697"/>
      <c r="V58" s="697"/>
      <c r="W58" s="697"/>
      <c r="X58" s="605"/>
      <c r="Z58" s="605"/>
      <c r="AD58" s="682"/>
    </row>
    <row r="59" customFormat="false" ht="12" hidden="false" customHeight="true" outlineLevel="0" collapsed="false">
      <c r="A59" s="698" t="s">
        <v>5</v>
      </c>
      <c r="B59" s="698"/>
      <c r="C59" s="698"/>
      <c r="D59" s="698"/>
      <c r="E59" s="698"/>
      <c r="F59" s="425" t="n">
        <v>2284473</v>
      </c>
      <c r="G59" s="416"/>
      <c r="H59" s="416"/>
      <c r="I59" s="416"/>
      <c r="J59" s="605"/>
      <c r="K59" s="682"/>
      <c r="L59" s="605"/>
      <c r="N59" s="607"/>
      <c r="O59" s="697"/>
      <c r="P59" s="697"/>
      <c r="Q59" s="697"/>
      <c r="R59" s="697"/>
      <c r="S59" s="697"/>
      <c r="T59" s="415"/>
      <c r="U59" s="697"/>
      <c r="V59" s="697"/>
      <c r="W59" s="697"/>
      <c r="X59" s="605"/>
      <c r="Z59" s="605"/>
      <c r="AD59" s="682"/>
    </row>
    <row r="60" customFormat="false" ht="12" hidden="false" customHeight="true" outlineLevel="0" collapsed="false">
      <c r="F60" s="416" t="n">
        <v>0</v>
      </c>
      <c r="G60" s="416"/>
      <c r="H60" s="416"/>
      <c r="I60" s="416"/>
      <c r="J60" s="605"/>
      <c r="K60" s="682"/>
      <c r="L60" s="605"/>
      <c r="N60" s="607"/>
      <c r="O60" s="697"/>
      <c r="P60" s="697"/>
      <c r="Q60" s="697"/>
      <c r="R60" s="697"/>
      <c r="S60" s="697"/>
      <c r="T60" s="415"/>
      <c r="U60" s="697"/>
      <c r="V60" s="697"/>
      <c r="W60" s="697"/>
      <c r="X60" s="605"/>
      <c r="Z60" s="605"/>
      <c r="AD60" s="682"/>
    </row>
    <row r="61" customFormat="false" ht="12" hidden="false" customHeight="true" outlineLevel="0" collapsed="false">
      <c r="A61" s="693" t="s">
        <v>685</v>
      </c>
      <c r="B61" s="693"/>
      <c r="C61" s="693"/>
      <c r="D61" s="693"/>
      <c r="E61" s="693"/>
      <c r="F61" s="430"/>
      <c r="G61" s="416"/>
      <c r="H61" s="416"/>
      <c r="I61" s="416"/>
      <c r="J61" s="605"/>
      <c r="K61" s="682"/>
      <c r="L61" s="605"/>
      <c r="N61" s="607"/>
      <c r="O61" s="697"/>
      <c r="P61" s="697"/>
      <c r="Q61" s="697"/>
      <c r="R61" s="697"/>
      <c r="S61" s="697"/>
      <c r="T61" s="415"/>
      <c r="U61" s="697"/>
      <c r="V61" s="697"/>
      <c r="W61" s="697"/>
      <c r="X61" s="605"/>
      <c r="Z61" s="605"/>
      <c r="AD61" s="682"/>
    </row>
    <row r="62" customFormat="false" ht="12" hidden="false" customHeight="true" outlineLevel="0" collapsed="false">
      <c r="A62" s="695" t="s">
        <v>686</v>
      </c>
      <c r="B62" s="695"/>
      <c r="C62" s="695"/>
      <c r="D62" s="695"/>
      <c r="E62" s="695"/>
      <c r="F62" s="421" t="n">
        <v>2627915</v>
      </c>
      <c r="G62" s="416"/>
      <c r="H62" s="416"/>
      <c r="I62" s="416"/>
      <c r="J62" s="605"/>
      <c r="K62" s="682"/>
      <c r="L62" s="605"/>
      <c r="O62" s="697"/>
      <c r="P62" s="697"/>
      <c r="Q62" s="697"/>
      <c r="R62" s="697"/>
      <c r="S62" s="697"/>
      <c r="T62" s="415"/>
      <c r="U62" s="697"/>
      <c r="V62" s="697"/>
      <c r="W62" s="697"/>
      <c r="X62" s="605"/>
      <c r="Z62" s="605"/>
      <c r="AD62" s="682"/>
    </row>
    <row r="63" customFormat="false" ht="12" hidden="false" customHeight="true" outlineLevel="0" collapsed="false">
      <c r="A63" s="448" t="s">
        <v>667</v>
      </c>
      <c r="B63" s="448"/>
      <c r="C63" s="448"/>
      <c r="D63" s="448"/>
      <c r="E63" s="448"/>
      <c r="F63" s="425" t="n">
        <v>-909058</v>
      </c>
      <c r="G63" s="416"/>
      <c r="H63" s="416"/>
      <c r="I63" s="416"/>
      <c r="J63" s="605"/>
      <c r="K63" s="682"/>
      <c r="L63" s="605"/>
      <c r="O63" s="697"/>
      <c r="P63" s="697"/>
      <c r="Q63" s="697"/>
      <c r="R63" s="697"/>
      <c r="S63" s="697"/>
      <c r="T63" s="415"/>
      <c r="U63" s="697"/>
      <c r="V63" s="697"/>
      <c r="W63" s="697"/>
      <c r="X63" s="605"/>
      <c r="Z63" s="605"/>
      <c r="AD63" s="682"/>
    </row>
    <row r="64" customFormat="false" ht="12" hidden="false" customHeight="true" outlineLevel="0" collapsed="false">
      <c r="A64" s="698" t="s">
        <v>5</v>
      </c>
      <c r="B64" s="698"/>
      <c r="C64" s="698"/>
      <c r="D64" s="698"/>
      <c r="E64" s="698"/>
      <c r="F64" s="425" t="n">
        <v>1718857</v>
      </c>
      <c r="G64" s="416"/>
      <c r="H64" s="416"/>
      <c r="I64" s="416"/>
      <c r="K64" s="697"/>
      <c r="O64" s="697"/>
      <c r="P64" s="697"/>
      <c r="Q64" s="697"/>
      <c r="R64" s="697"/>
      <c r="S64" s="697"/>
      <c r="T64" s="415"/>
      <c r="U64" s="697"/>
      <c r="V64" s="697"/>
      <c r="W64" s="697"/>
      <c r="AD64" s="682"/>
    </row>
    <row r="65" customFormat="false" ht="12" hidden="false" customHeight="true" outlineLevel="0" collapsed="false">
      <c r="F65" s="416" t="n">
        <v>0</v>
      </c>
      <c r="G65" s="416"/>
      <c r="H65" s="416"/>
      <c r="I65" s="416"/>
      <c r="K65" s="697"/>
      <c r="O65" s="697"/>
      <c r="P65" s="697"/>
      <c r="Q65" s="697"/>
      <c r="R65" s="697"/>
      <c r="S65" s="697"/>
      <c r="T65" s="415"/>
      <c r="U65" s="697"/>
      <c r="V65" s="697"/>
      <c r="W65" s="697"/>
      <c r="AD65" s="682"/>
    </row>
    <row r="66" customFormat="false" ht="12" hidden="false" customHeight="true" outlineLevel="0" collapsed="false">
      <c r="A66" s="693" t="s">
        <v>654</v>
      </c>
      <c r="B66" s="693"/>
      <c r="C66" s="693"/>
      <c r="D66" s="693"/>
      <c r="E66" s="693"/>
      <c r="F66" s="430"/>
      <c r="G66" s="416"/>
      <c r="H66" s="416"/>
      <c r="I66" s="416"/>
      <c r="O66" s="697"/>
      <c r="P66" s="697"/>
      <c r="Q66" s="697"/>
      <c r="R66" s="697"/>
      <c r="S66" s="697"/>
      <c r="T66" s="415"/>
      <c r="U66" s="697"/>
      <c r="V66" s="697"/>
      <c r="W66" s="697"/>
      <c r="AD66" s="682"/>
    </row>
    <row r="67" customFormat="false" ht="12" hidden="false" customHeight="true" outlineLevel="0" collapsed="false">
      <c r="A67" s="695" t="s">
        <v>687</v>
      </c>
      <c r="B67" s="695"/>
      <c r="C67" s="695"/>
      <c r="D67" s="695"/>
      <c r="E67" s="695"/>
      <c r="F67" s="421" t="n">
        <v>39210</v>
      </c>
      <c r="G67" s="416"/>
      <c r="H67" s="416"/>
      <c r="I67" s="416"/>
      <c r="O67" s="697"/>
      <c r="P67" s="697"/>
      <c r="Q67" s="697"/>
      <c r="R67" s="697"/>
      <c r="S67" s="697"/>
      <c r="T67" s="415"/>
      <c r="U67" s="697"/>
      <c r="V67" s="697"/>
      <c r="W67" s="697"/>
      <c r="AD67" s="682"/>
    </row>
    <row r="68" customFormat="false" ht="12" hidden="false" customHeight="true" outlineLevel="0" collapsed="false">
      <c r="A68" s="448" t="s">
        <v>667</v>
      </c>
      <c r="B68" s="448"/>
      <c r="C68" s="448"/>
      <c r="D68" s="448"/>
      <c r="E68" s="448"/>
      <c r="F68" s="425" t="n">
        <v>0</v>
      </c>
      <c r="G68" s="416"/>
      <c r="H68" s="416"/>
      <c r="I68" s="416"/>
      <c r="T68" s="415"/>
      <c r="AD68" s="682"/>
    </row>
    <row r="69" customFormat="false" ht="12" hidden="false" customHeight="true" outlineLevel="0" collapsed="false">
      <c r="A69" s="698" t="s">
        <v>5</v>
      </c>
      <c r="B69" s="698"/>
      <c r="C69" s="698"/>
      <c r="D69" s="698"/>
      <c r="E69" s="698"/>
      <c r="F69" s="425" t="n">
        <v>39210</v>
      </c>
      <c r="G69" s="416"/>
      <c r="H69" s="416"/>
      <c r="I69" s="416"/>
      <c r="T69" s="415"/>
      <c r="AD69" s="682"/>
    </row>
    <row r="70" customFormat="false" ht="12" hidden="false" customHeight="true" outlineLevel="0" collapsed="false">
      <c r="F70" s="416" t="n">
        <v>0</v>
      </c>
      <c r="G70" s="416"/>
      <c r="H70" s="416"/>
      <c r="I70" s="416"/>
      <c r="T70" s="415"/>
      <c r="AD70" s="682"/>
    </row>
    <row r="71" customFormat="false" ht="12" hidden="false" customHeight="true" outlineLevel="0" collapsed="false">
      <c r="A71" s="693" t="s">
        <v>688</v>
      </c>
      <c r="B71" s="693"/>
      <c r="C71" s="693"/>
      <c r="D71" s="693"/>
      <c r="E71" s="693"/>
      <c r="F71" s="431"/>
      <c r="G71" s="416"/>
      <c r="H71" s="416"/>
      <c r="I71" s="416"/>
      <c r="T71" s="415"/>
      <c r="AD71" s="682"/>
    </row>
    <row r="72" customFormat="false" ht="12" hidden="false" customHeight="true" outlineLevel="0" collapsed="false">
      <c r="A72" s="448" t="s">
        <v>689</v>
      </c>
      <c r="B72" s="448"/>
      <c r="C72" s="448"/>
      <c r="D72" s="448"/>
      <c r="E72" s="448"/>
      <c r="F72" s="421" t="n">
        <v>7566400</v>
      </c>
      <c r="T72" s="415"/>
      <c r="AD72" s="682"/>
    </row>
    <row r="73" customFormat="false" ht="12" hidden="false" customHeight="true" outlineLevel="0" collapsed="false">
      <c r="A73" s="448" t="s">
        <v>690</v>
      </c>
      <c r="B73" s="448"/>
      <c r="C73" s="448"/>
      <c r="D73" s="448"/>
      <c r="E73" s="448"/>
      <c r="F73" s="421" t="n">
        <v>-7316715</v>
      </c>
      <c r="T73" s="415"/>
      <c r="AD73" s="682"/>
    </row>
    <row r="74" customFormat="false" ht="12" hidden="false" customHeight="true" outlineLevel="0" collapsed="false">
      <c r="A74" s="448" t="s">
        <v>684</v>
      </c>
      <c r="B74" s="448"/>
      <c r="C74" s="448"/>
      <c r="D74" s="448"/>
      <c r="E74" s="448"/>
      <c r="F74" s="435" t="n">
        <v>848084</v>
      </c>
      <c r="T74" s="415"/>
      <c r="AD74" s="682"/>
    </row>
    <row r="75" customFormat="false" ht="12" hidden="false" customHeight="true" outlineLevel="0" collapsed="false">
      <c r="A75" s="698" t="s">
        <v>5</v>
      </c>
      <c r="B75" s="698"/>
      <c r="C75" s="698"/>
      <c r="D75" s="698"/>
      <c r="E75" s="698"/>
      <c r="F75" s="435" t="n">
        <v>1097769</v>
      </c>
      <c r="T75" s="415"/>
      <c r="AD75" s="682"/>
    </row>
    <row r="76" customFormat="false" ht="12" hidden="false" customHeight="true" outlineLevel="0" collapsed="false">
      <c r="F76" s="428" t="n">
        <v>0</v>
      </c>
      <c r="T76" s="415"/>
      <c r="AD76" s="682"/>
    </row>
    <row r="77" customFormat="false" ht="12" hidden="false" customHeight="true" outlineLevel="0" collapsed="false">
      <c r="A77" s="693" t="s">
        <v>691</v>
      </c>
      <c r="B77" s="693"/>
      <c r="C77" s="693"/>
      <c r="D77" s="693"/>
      <c r="E77" s="693"/>
      <c r="F77" s="431"/>
      <c r="T77" s="415"/>
      <c r="AD77" s="682"/>
    </row>
    <row r="78" customFormat="false" ht="12" hidden="false" customHeight="true" outlineLevel="0" collapsed="false">
      <c r="A78" s="448" t="s">
        <v>692</v>
      </c>
      <c r="B78" s="448"/>
      <c r="C78" s="448"/>
      <c r="D78" s="448"/>
      <c r="E78" s="448"/>
      <c r="F78" s="421" t="n">
        <v>4208157</v>
      </c>
      <c r="T78" s="415"/>
      <c r="AD78" s="682"/>
    </row>
    <row r="79" customFormat="false" ht="12" hidden="false" customHeight="true" outlineLevel="0" collapsed="false">
      <c r="A79" s="448" t="s">
        <v>693</v>
      </c>
      <c r="B79" s="448"/>
      <c r="C79" s="448"/>
      <c r="D79" s="448"/>
      <c r="E79" s="448"/>
      <c r="F79" s="449" t="n">
        <v>-2840226</v>
      </c>
      <c r="T79" s="415"/>
      <c r="AD79" s="682"/>
    </row>
    <row r="80" customFormat="false" ht="12" hidden="false" customHeight="true" outlineLevel="0" collapsed="false">
      <c r="A80" s="448" t="s">
        <v>684</v>
      </c>
      <c r="B80" s="448"/>
      <c r="C80" s="448"/>
      <c r="D80" s="448"/>
      <c r="E80" s="448"/>
      <c r="F80" s="435" t="n">
        <v>306465</v>
      </c>
      <c r="T80" s="415"/>
      <c r="AD80" s="682"/>
    </row>
    <row r="81" customFormat="false" ht="12" hidden="false" customHeight="true" outlineLevel="0" collapsed="false">
      <c r="A81" s="698" t="s">
        <v>5</v>
      </c>
      <c r="B81" s="698"/>
      <c r="C81" s="698"/>
      <c r="D81" s="698"/>
      <c r="E81" s="698"/>
      <c r="F81" s="435" t="n">
        <v>1674396</v>
      </c>
      <c r="T81" s="415"/>
      <c r="AD81" s="682"/>
    </row>
    <row r="82" customFormat="false" ht="12" hidden="false" customHeight="true" outlineLevel="0" collapsed="false">
      <c r="F82" s="428" t="n">
        <v>0</v>
      </c>
      <c r="T82" s="415"/>
      <c r="AD82" s="682"/>
    </row>
    <row r="83" customFormat="false" ht="12" hidden="false" customHeight="true" outlineLevel="0" collapsed="false">
      <c r="A83" s="693" t="s">
        <v>694</v>
      </c>
      <c r="B83" s="693"/>
      <c r="C83" s="693"/>
      <c r="D83" s="693"/>
      <c r="E83" s="693"/>
      <c r="F83" s="430"/>
      <c r="T83" s="415"/>
      <c r="AD83" s="682"/>
    </row>
    <row r="84" customFormat="false" ht="12" hidden="false" customHeight="true" outlineLevel="0" collapsed="false">
      <c r="A84" s="695" t="s">
        <v>695</v>
      </c>
      <c r="B84" s="695"/>
      <c r="C84" s="695"/>
      <c r="D84" s="695"/>
      <c r="E84" s="695"/>
      <c r="F84" s="421" t="n">
        <v>49654</v>
      </c>
      <c r="T84" s="415"/>
      <c r="AD84" s="682"/>
    </row>
    <row r="85" customFormat="false" ht="12" hidden="false" customHeight="true" outlineLevel="0" collapsed="false">
      <c r="A85" s="448" t="s">
        <v>696</v>
      </c>
      <c r="B85" s="448"/>
      <c r="C85" s="448"/>
      <c r="D85" s="448"/>
      <c r="E85" s="448"/>
      <c r="F85" s="425" t="n">
        <v>-1804677</v>
      </c>
      <c r="T85" s="415"/>
      <c r="AD85" s="682"/>
    </row>
    <row r="86" customFormat="false" ht="12" hidden="false" customHeight="true" outlineLevel="0" collapsed="false">
      <c r="A86" s="698" t="s">
        <v>5</v>
      </c>
      <c r="B86" s="698"/>
      <c r="C86" s="698"/>
      <c r="D86" s="698"/>
      <c r="E86" s="698"/>
      <c r="F86" s="425" t="n">
        <v>-1755023</v>
      </c>
      <c r="T86" s="415"/>
      <c r="AD86" s="682"/>
    </row>
    <row r="87" customFormat="false" ht="12" hidden="false" customHeight="true" outlineLevel="0" collapsed="false">
      <c r="F87" s="416" t="n">
        <v>0</v>
      </c>
      <c r="T87" s="415"/>
      <c r="AD87" s="682"/>
    </row>
    <row r="88" customFormat="false" ht="12" hidden="false" customHeight="true" outlineLevel="0" collapsed="false">
      <c r="A88" s="693" t="s">
        <v>697</v>
      </c>
      <c r="B88" s="693"/>
      <c r="C88" s="693"/>
      <c r="D88" s="693"/>
      <c r="E88" s="693"/>
      <c r="F88" s="430"/>
      <c r="T88" s="415"/>
      <c r="AD88" s="682"/>
    </row>
    <row r="89" customFormat="false" ht="12" hidden="false" customHeight="true" outlineLevel="0" collapsed="false">
      <c r="A89" s="695" t="s">
        <v>695</v>
      </c>
      <c r="B89" s="695"/>
      <c r="C89" s="695"/>
      <c r="D89" s="695"/>
      <c r="E89" s="695"/>
      <c r="F89" s="421" t="n">
        <v>1812247</v>
      </c>
      <c r="T89" s="415"/>
      <c r="AD89" s="682"/>
    </row>
    <row r="90" customFormat="false" ht="12" hidden="false" customHeight="true" outlineLevel="0" collapsed="false">
      <c r="A90" s="448" t="s">
        <v>698</v>
      </c>
      <c r="B90" s="448"/>
      <c r="C90" s="448"/>
      <c r="D90" s="448"/>
      <c r="E90" s="448"/>
      <c r="F90" s="425" t="n">
        <v>-12472591</v>
      </c>
      <c r="T90" s="415"/>
      <c r="AD90" s="682"/>
    </row>
    <row r="91" customFormat="false" ht="12" hidden="false" customHeight="true" outlineLevel="0" collapsed="false">
      <c r="A91" s="698" t="s">
        <v>5</v>
      </c>
      <c r="B91" s="698"/>
      <c r="C91" s="698"/>
      <c r="D91" s="698"/>
      <c r="E91" s="698"/>
      <c r="F91" s="425" t="n">
        <v>-10660344</v>
      </c>
      <c r="T91" s="415"/>
      <c r="AD91" s="682"/>
    </row>
    <row r="92" customFormat="false" ht="12" hidden="false" customHeight="true" outlineLevel="0" collapsed="false">
      <c r="A92" s="422"/>
      <c r="B92" s="422"/>
      <c r="C92" s="422"/>
      <c r="D92" s="422"/>
      <c r="E92" s="422"/>
      <c r="F92" s="416" t="n">
        <v>0</v>
      </c>
      <c r="G92" s="422"/>
      <c r="H92" s="422"/>
      <c r="T92" s="415"/>
      <c r="AD92" s="682"/>
    </row>
    <row r="93" customFormat="false" ht="12" hidden="false" customHeight="true" outlineLevel="0" collapsed="false">
      <c r="A93" s="693" t="s">
        <v>699</v>
      </c>
      <c r="B93" s="693"/>
      <c r="C93" s="693"/>
      <c r="D93" s="693"/>
      <c r="E93" s="693"/>
      <c r="F93" s="430"/>
      <c r="T93" s="415"/>
      <c r="AD93" s="682"/>
    </row>
    <row r="94" customFormat="false" ht="12" hidden="false" customHeight="true" outlineLevel="0" collapsed="false">
      <c r="A94" s="695" t="s">
        <v>700</v>
      </c>
      <c r="B94" s="695"/>
      <c r="C94" s="695"/>
      <c r="D94" s="695"/>
      <c r="E94" s="695"/>
      <c r="F94" s="421" t="n">
        <v>0</v>
      </c>
      <c r="T94" s="415"/>
      <c r="AD94" s="682"/>
    </row>
    <row r="95" customFormat="false" ht="12" hidden="false" customHeight="true" outlineLevel="0" collapsed="false">
      <c r="A95" s="448" t="s">
        <v>684</v>
      </c>
      <c r="B95" s="448"/>
      <c r="C95" s="448"/>
      <c r="D95" s="448"/>
      <c r="E95" s="448"/>
      <c r="F95" s="425" t="n">
        <v>-2113</v>
      </c>
    </row>
    <row r="96" customFormat="false" ht="12" hidden="false" customHeight="true" outlineLevel="0" collapsed="false">
      <c r="A96" s="698" t="s">
        <v>5</v>
      </c>
      <c r="B96" s="698"/>
      <c r="C96" s="698"/>
      <c r="D96" s="698"/>
      <c r="E96" s="698"/>
      <c r="F96" s="425" t="n">
        <v>-2113</v>
      </c>
    </row>
    <row r="97" customFormat="false" ht="12" hidden="false" customHeight="true" outlineLevel="0" collapsed="false">
      <c r="F97" s="442" t="n">
        <v>0</v>
      </c>
    </row>
    <row r="98" customFormat="false" ht="12" hidden="false" customHeight="true" outlineLevel="0" collapsed="false">
      <c r="A98" s="693" t="s">
        <v>701</v>
      </c>
      <c r="B98" s="693"/>
      <c r="C98" s="693"/>
      <c r="D98" s="693"/>
      <c r="E98" s="693"/>
      <c r="F98" s="430"/>
    </row>
    <row r="99" customFormat="false" ht="12" hidden="false" customHeight="true" outlineLevel="0" collapsed="false">
      <c r="A99" s="695" t="s">
        <v>702</v>
      </c>
      <c r="B99" s="695"/>
      <c r="C99" s="695"/>
      <c r="D99" s="695"/>
      <c r="E99" s="695"/>
      <c r="F99" s="421" t="n">
        <v>-1307540</v>
      </c>
    </row>
    <row r="100" customFormat="false" ht="12" hidden="false" customHeight="true" outlineLevel="0" collapsed="false">
      <c r="A100" s="695" t="s">
        <v>703</v>
      </c>
      <c r="B100" s="695"/>
      <c r="C100" s="695"/>
      <c r="D100" s="695"/>
      <c r="E100" s="695"/>
      <c r="F100" s="421" t="n">
        <v>5631400</v>
      </c>
    </row>
    <row r="101" customFormat="false" ht="12" hidden="false" customHeight="true" outlineLevel="0" collapsed="false">
      <c r="A101" s="448" t="s">
        <v>684</v>
      </c>
      <c r="B101" s="448"/>
      <c r="C101" s="448"/>
      <c r="D101" s="448"/>
      <c r="E101" s="448"/>
      <c r="F101" s="425" t="n">
        <v>0</v>
      </c>
    </row>
    <row r="102" customFormat="false" ht="12" hidden="false" customHeight="true" outlineLevel="0" collapsed="false">
      <c r="A102" s="698" t="s">
        <v>5</v>
      </c>
      <c r="B102" s="698"/>
      <c r="C102" s="698"/>
      <c r="D102" s="698"/>
      <c r="E102" s="698"/>
      <c r="F102" s="425" t="n">
        <v>4323860</v>
      </c>
    </row>
    <row r="103" customFormat="false" ht="12" hidden="false" customHeight="true" outlineLevel="0" collapsed="false">
      <c r="F103" s="442" t="n">
        <v>0</v>
      </c>
    </row>
    <row r="104" customFormat="false" ht="12" hidden="false" customHeight="true" outlineLevel="0" collapsed="false">
      <c r="A104" s="693" t="s">
        <v>704</v>
      </c>
      <c r="B104" s="693"/>
      <c r="C104" s="693"/>
      <c r="D104" s="693"/>
      <c r="E104" s="693"/>
      <c r="F104" s="430"/>
    </row>
    <row r="105" customFormat="false" ht="12" hidden="false" customHeight="true" outlineLevel="0" collapsed="false">
      <c r="A105" s="695" t="s">
        <v>76</v>
      </c>
      <c r="B105" s="695"/>
      <c r="C105" s="695"/>
      <c r="D105" s="695"/>
      <c r="E105" s="695"/>
      <c r="F105" s="421" t="n">
        <v>6346670</v>
      </c>
    </row>
    <row r="106" customFormat="false" ht="12" hidden="false" customHeight="true" outlineLevel="0" collapsed="false">
      <c r="A106" s="448" t="s">
        <v>684</v>
      </c>
      <c r="B106" s="448"/>
      <c r="C106" s="448"/>
      <c r="D106" s="448"/>
      <c r="E106" s="448"/>
      <c r="F106" s="425" t="n">
        <v>721539</v>
      </c>
    </row>
    <row r="107" customFormat="false" ht="12" hidden="false" customHeight="true" outlineLevel="0" collapsed="false">
      <c r="A107" s="698" t="s">
        <v>5</v>
      </c>
      <c r="B107" s="698"/>
      <c r="C107" s="698"/>
      <c r="D107" s="698"/>
      <c r="E107" s="698"/>
      <c r="F107" s="425" t="n">
        <v>7068209</v>
      </c>
    </row>
    <row r="108" customFormat="false" ht="12" hidden="false" customHeight="true" outlineLevel="0" collapsed="false">
      <c r="F108" s="442" t="n">
        <v>0</v>
      </c>
    </row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79" width="68.86"/>
    <col collapsed="false" customWidth="true" hidden="false" outlineLevel="0" max="2" min="2" style="79" width="7.29"/>
    <col collapsed="false" customWidth="true" hidden="false" outlineLevel="0" max="3" min="3" style="79" width="1"/>
    <col collapsed="false" customWidth="true" hidden="false" outlineLevel="0" max="4" min="4" style="79" width="15.15"/>
    <col collapsed="false" customWidth="true" hidden="false" outlineLevel="0" max="5" min="5" style="79" width="1.71"/>
    <col collapsed="false" customWidth="true" hidden="false" outlineLevel="0" max="6" min="6" style="79" width="16.14"/>
    <col collapsed="false" customWidth="true" hidden="false" outlineLevel="0" max="8" min="7" style="79" width="1.42"/>
    <col collapsed="false" customWidth="true" hidden="true" outlineLevel="0" max="9" min="9" style="79" width="15.42"/>
    <col collapsed="false" customWidth="false" hidden="false" outlineLevel="0" max="10" min="10" style="79" width="11.42"/>
    <col collapsed="false" customWidth="true" hidden="false" outlineLevel="0" max="11" min="11" style="79" width="14.43"/>
    <col collapsed="false" customWidth="false" hidden="false" outlineLevel="0" max="1024" min="12" style="79" width="11.42"/>
  </cols>
  <sheetData>
    <row r="1" customFormat="false" ht="11.25" hidden="false" customHeight="false" outlineLevel="0" collapsed="false">
      <c r="B1" s="80"/>
      <c r="C1" s="80"/>
      <c r="D1" s="81"/>
      <c r="E1" s="82"/>
      <c r="F1" s="83" t="s">
        <v>118</v>
      </c>
      <c r="G1" s="83"/>
    </row>
    <row r="2" customFormat="false" ht="33.75" hidden="false" customHeight="false" outlineLevel="0" collapsed="false">
      <c r="A2" s="84" t="s">
        <v>119</v>
      </c>
      <c r="B2" s="85" t="s">
        <v>120</v>
      </c>
      <c r="C2" s="80"/>
      <c r="D2" s="86" t="s">
        <v>121</v>
      </c>
      <c r="E2" s="82"/>
      <c r="F2" s="86" t="s">
        <v>122</v>
      </c>
      <c r="G2" s="82"/>
      <c r="H2" s="87"/>
    </row>
    <row r="3" customFormat="false" ht="6" hidden="false" customHeight="true" outlineLevel="0" collapsed="false">
      <c r="A3" s="87"/>
      <c r="B3" s="88"/>
      <c r="C3" s="89"/>
      <c r="E3" s="89"/>
      <c r="G3" s="89"/>
      <c r="H3" s="89"/>
    </row>
    <row r="4" customFormat="false" ht="11.25" hidden="false" customHeight="false" outlineLevel="0" collapsed="false">
      <c r="A4" s="90" t="s">
        <v>123</v>
      </c>
      <c r="B4" s="88"/>
      <c r="C4" s="89"/>
      <c r="E4" s="89"/>
      <c r="G4" s="89"/>
      <c r="H4" s="89"/>
    </row>
    <row r="5" customFormat="false" ht="11.25" hidden="false" customHeight="false" outlineLevel="0" collapsed="false">
      <c r="A5" s="91" t="s">
        <v>35</v>
      </c>
      <c r="B5" s="92" t="n">
        <v>6</v>
      </c>
      <c r="C5" s="89"/>
      <c r="D5" s="88" t="n">
        <v>10796157</v>
      </c>
      <c r="E5" s="89"/>
      <c r="F5" s="88" t="n">
        <v>2860714</v>
      </c>
      <c r="G5" s="89"/>
      <c r="H5" s="89"/>
    </row>
    <row r="6" customFormat="false" ht="11.25" hidden="false" customHeight="false" outlineLevel="0" collapsed="false">
      <c r="A6" s="91" t="s">
        <v>124</v>
      </c>
      <c r="B6" s="92" t="n">
        <v>7</v>
      </c>
      <c r="C6" s="89"/>
      <c r="D6" s="88" t="n">
        <v>5930789</v>
      </c>
      <c r="E6" s="89"/>
      <c r="F6" s="88" t="n">
        <f aca="false">6451966-2177033</f>
        <v>4274933</v>
      </c>
      <c r="G6" s="89"/>
      <c r="H6" s="89"/>
    </row>
    <row r="7" customFormat="false" ht="11.25" hidden="false" customHeight="false" outlineLevel="0" collapsed="false">
      <c r="A7" s="91" t="s">
        <v>36</v>
      </c>
      <c r="B7" s="92" t="n">
        <v>8</v>
      </c>
      <c r="C7" s="89"/>
      <c r="D7" s="88" t="n">
        <v>2050592</v>
      </c>
      <c r="E7" s="89"/>
      <c r="F7" s="88" t="n">
        <f aca="false">8326743-6451966</f>
        <v>1874777</v>
      </c>
      <c r="G7" s="89"/>
      <c r="H7" s="89"/>
    </row>
    <row r="8" customFormat="false" ht="11.25" hidden="false" customHeight="false" outlineLevel="0" collapsed="false">
      <c r="A8" s="91" t="s">
        <v>38</v>
      </c>
      <c r="B8" s="92" t="n">
        <v>9</v>
      </c>
      <c r="C8" s="89"/>
      <c r="D8" s="88" t="n">
        <f aca="false">15475559-75667-741007+24485</f>
        <v>14683370</v>
      </c>
      <c r="E8" s="89"/>
      <c r="F8" s="88" t="n">
        <v>18690745</v>
      </c>
      <c r="G8" s="89"/>
      <c r="H8" s="89"/>
      <c r="I8" s="79" t="s">
        <v>125</v>
      </c>
    </row>
    <row r="9" customFormat="false" ht="11.25" hidden="false" customHeight="false" outlineLevel="0" collapsed="false">
      <c r="A9" s="91" t="s">
        <v>126</v>
      </c>
      <c r="B9" s="92" t="n">
        <v>21</v>
      </c>
      <c r="C9" s="89"/>
      <c r="D9" s="88" t="n">
        <f aca="false">13533602-176970</f>
        <v>13356632</v>
      </c>
      <c r="E9" s="89"/>
      <c r="F9" s="88" t="n">
        <v>3629981</v>
      </c>
      <c r="G9" s="89"/>
      <c r="H9" s="89"/>
    </row>
    <row r="10" customFormat="false" ht="11.25" hidden="false" customHeight="false" outlineLevel="0" collapsed="false">
      <c r="A10" s="91" t="s">
        <v>42</v>
      </c>
      <c r="B10" s="92" t="n">
        <v>10</v>
      </c>
      <c r="C10" s="89"/>
      <c r="D10" s="88" t="n">
        <f aca="false">1782651+75667+741007-24485</f>
        <v>2574840</v>
      </c>
      <c r="E10" s="89"/>
      <c r="F10" s="88" t="n">
        <v>7066072</v>
      </c>
      <c r="G10" s="89"/>
      <c r="H10" s="89"/>
    </row>
    <row r="11" customFormat="false" ht="11.25" hidden="false" customHeight="false" outlineLevel="0" collapsed="false">
      <c r="A11" s="91" t="s">
        <v>43</v>
      </c>
      <c r="B11" s="92" t="n">
        <v>23</v>
      </c>
      <c r="C11" s="89"/>
      <c r="D11" s="88" t="n">
        <v>1809821</v>
      </c>
      <c r="E11" s="88"/>
      <c r="F11" s="88" t="n">
        <v>1863806</v>
      </c>
      <c r="G11" s="89"/>
      <c r="H11" s="89"/>
    </row>
    <row r="12" customFormat="false" ht="11.25" hidden="false" customHeight="false" outlineLevel="0" collapsed="false">
      <c r="A12" s="93" t="s">
        <v>45</v>
      </c>
      <c r="B12" s="88"/>
      <c r="D12" s="88" t="n">
        <v>2370903</v>
      </c>
      <c r="E12" s="88"/>
      <c r="F12" s="88" t="n">
        <v>2140317</v>
      </c>
      <c r="G12" s="89"/>
      <c r="H12" s="89"/>
    </row>
    <row r="13" customFormat="false" ht="11.25" hidden="false" customHeight="false" outlineLevel="0" collapsed="false">
      <c r="A13" s="91" t="s">
        <v>46</v>
      </c>
      <c r="B13" s="92" t="n">
        <v>11</v>
      </c>
      <c r="D13" s="88" t="n">
        <v>18940616</v>
      </c>
      <c r="E13" s="88"/>
      <c r="F13" s="88" t="n">
        <v>19594268</v>
      </c>
      <c r="G13" s="89"/>
      <c r="H13" s="89"/>
    </row>
    <row r="14" customFormat="false" ht="11.25" hidden="false" customHeight="false" outlineLevel="0" collapsed="false">
      <c r="A14" s="91" t="s">
        <v>47</v>
      </c>
      <c r="B14" s="92" t="n">
        <v>15</v>
      </c>
      <c r="C14" s="89"/>
      <c r="D14" s="94" t="n">
        <v>0</v>
      </c>
      <c r="E14" s="88"/>
      <c r="F14" s="88" t="n">
        <v>11189237</v>
      </c>
      <c r="G14" s="89"/>
      <c r="H14" s="89"/>
    </row>
    <row r="15" customFormat="false" ht="11.25" hidden="false" customHeight="false" outlineLevel="0" collapsed="false">
      <c r="A15" s="90" t="s">
        <v>127</v>
      </c>
      <c r="B15" s="88"/>
      <c r="C15" s="89"/>
      <c r="D15" s="95" t="n">
        <f aca="false">SUM(D5:D14)</f>
        <v>72513720</v>
      </c>
      <c r="E15" s="96" t="s">
        <v>44</v>
      </c>
      <c r="F15" s="97" t="n">
        <f aca="false">SUM(F5:F14)</f>
        <v>73184850</v>
      </c>
      <c r="G15" s="96" t="s">
        <v>44</v>
      </c>
      <c r="H15" s="96" t="s">
        <v>44</v>
      </c>
    </row>
    <row r="16" customFormat="false" ht="7.5" hidden="false" customHeight="true" outlineLevel="0" collapsed="false">
      <c r="A16" s="90"/>
      <c r="B16" s="88"/>
      <c r="C16" s="89"/>
      <c r="D16" s="94"/>
      <c r="E16" s="96"/>
      <c r="F16" s="96"/>
      <c r="G16" s="96"/>
      <c r="H16" s="96"/>
    </row>
    <row r="17" customFormat="false" ht="11.25" hidden="false" customHeight="false" outlineLevel="0" collapsed="false">
      <c r="A17" s="90" t="s">
        <v>128</v>
      </c>
      <c r="B17" s="88"/>
      <c r="C17" s="89"/>
      <c r="D17" s="98" t="n">
        <v>0</v>
      </c>
      <c r="E17" s="96"/>
      <c r="F17" s="98" t="n">
        <v>0</v>
      </c>
      <c r="G17" s="96"/>
      <c r="H17" s="96"/>
    </row>
    <row r="18" customFormat="false" ht="11.25" hidden="false" customHeight="false" outlineLevel="0" collapsed="false">
      <c r="A18" s="87"/>
      <c r="B18" s="88"/>
      <c r="C18" s="89"/>
      <c r="D18" s="88"/>
      <c r="E18" s="88"/>
      <c r="F18" s="88"/>
      <c r="G18" s="89"/>
      <c r="H18" s="89"/>
    </row>
    <row r="19" customFormat="false" ht="11.25" hidden="false" customHeight="false" outlineLevel="0" collapsed="false">
      <c r="A19" s="99" t="s">
        <v>129</v>
      </c>
      <c r="B19" s="88"/>
      <c r="C19" s="100"/>
      <c r="D19" s="88"/>
      <c r="E19" s="88"/>
      <c r="F19" s="88"/>
      <c r="G19" s="100"/>
      <c r="H19" s="100"/>
    </row>
    <row r="20" customFormat="false" ht="11.25" hidden="false" customHeight="false" outlineLevel="0" collapsed="false">
      <c r="A20" s="91" t="s">
        <v>126</v>
      </c>
      <c r="B20" s="92" t="n">
        <v>21</v>
      </c>
      <c r="C20" s="100"/>
      <c r="D20" s="101" t="n">
        <v>0</v>
      </c>
      <c r="E20" s="88"/>
      <c r="F20" s="94" t="n">
        <v>0</v>
      </c>
      <c r="G20" s="100"/>
      <c r="H20" s="100"/>
    </row>
    <row r="21" customFormat="false" ht="11.25" hidden="false" customHeight="false" outlineLevel="0" collapsed="false">
      <c r="A21" s="91" t="s">
        <v>42</v>
      </c>
      <c r="B21" s="92" t="n">
        <v>10</v>
      </c>
      <c r="C21" s="89"/>
      <c r="D21" s="88" t="n">
        <f aca="false">2830934-1610+176970</f>
        <v>3006294</v>
      </c>
      <c r="E21" s="89"/>
      <c r="F21" s="94" t="n">
        <v>2899664</v>
      </c>
      <c r="G21" s="102"/>
      <c r="H21" s="89"/>
    </row>
    <row r="22" customFormat="false" ht="11.25" hidden="false" customHeight="false" outlineLevel="0" collapsed="false">
      <c r="A22" s="91" t="s">
        <v>50</v>
      </c>
      <c r="B22" s="92" t="n">
        <v>12</v>
      </c>
      <c r="C22" s="89"/>
      <c r="D22" s="88" t="n">
        <v>115482884</v>
      </c>
      <c r="E22" s="89"/>
      <c r="F22" s="94" t="n">
        <v>61835159</v>
      </c>
      <c r="G22" s="102"/>
      <c r="H22" s="89"/>
      <c r="I22" s="79" t="s">
        <v>130</v>
      </c>
    </row>
    <row r="23" customFormat="false" ht="11.25" hidden="false" customHeight="false" outlineLevel="0" collapsed="false">
      <c r="A23" s="91" t="s">
        <v>131</v>
      </c>
      <c r="B23" s="92" t="n">
        <v>13</v>
      </c>
      <c r="C23" s="89"/>
      <c r="D23" s="88" t="n">
        <v>700965</v>
      </c>
      <c r="E23" s="89"/>
      <c r="F23" s="94" t="n">
        <v>860466</v>
      </c>
      <c r="G23" s="102"/>
      <c r="H23" s="89"/>
    </row>
    <row r="24" customFormat="false" ht="11.25" hidden="false" customHeight="false" outlineLevel="0" collapsed="false">
      <c r="A24" s="91" t="s">
        <v>54</v>
      </c>
      <c r="B24" s="92" t="n">
        <v>14</v>
      </c>
      <c r="C24" s="89"/>
      <c r="D24" s="88" t="n">
        <v>12117453</v>
      </c>
      <c r="E24" s="89"/>
      <c r="F24" s="94" t="n">
        <v>12384735</v>
      </c>
      <c r="G24" s="102"/>
      <c r="H24" s="89"/>
    </row>
    <row r="25" customFormat="false" ht="11.25" hidden="false" customHeight="false" outlineLevel="0" collapsed="false">
      <c r="A25" s="91" t="s">
        <v>47</v>
      </c>
      <c r="B25" s="92" t="n">
        <v>15</v>
      </c>
      <c r="C25" s="89"/>
      <c r="D25" s="94" t="n">
        <v>3030143</v>
      </c>
      <c r="E25" s="89"/>
      <c r="F25" s="94" t="n">
        <v>40281700</v>
      </c>
      <c r="G25" s="102"/>
      <c r="H25" s="89"/>
      <c r="I25" s="79" t="s">
        <v>132</v>
      </c>
    </row>
    <row r="26" customFormat="false" ht="11.25" hidden="false" customHeight="false" outlineLevel="0" collapsed="false">
      <c r="A26" s="91" t="s">
        <v>56</v>
      </c>
      <c r="B26" s="92" t="n">
        <v>16</v>
      </c>
      <c r="C26" s="89"/>
      <c r="D26" s="88" t="n">
        <v>1422229</v>
      </c>
      <c r="E26" s="89"/>
      <c r="F26" s="94" t="n">
        <v>1297229</v>
      </c>
      <c r="G26" s="102"/>
      <c r="H26" s="89"/>
    </row>
    <row r="27" customFormat="false" ht="11.25" hidden="false" customHeight="false" outlineLevel="0" collapsed="false">
      <c r="A27" s="91" t="s">
        <v>57</v>
      </c>
      <c r="B27" s="92" t="n">
        <v>17</v>
      </c>
      <c r="C27" s="89"/>
      <c r="D27" s="88" t="n">
        <f aca="false">5314208+1231351</f>
        <v>6545559</v>
      </c>
      <c r="E27" s="89"/>
      <c r="F27" s="94" t="n">
        <v>5317430</v>
      </c>
      <c r="G27" s="102"/>
      <c r="H27" s="89"/>
    </row>
    <row r="28" customFormat="false" ht="11.25" hidden="false" customHeight="false" outlineLevel="0" collapsed="false">
      <c r="A28" s="91" t="s">
        <v>61</v>
      </c>
      <c r="B28" s="92"/>
      <c r="C28" s="89"/>
      <c r="D28" s="103" t="n">
        <f aca="false">104399+1610</f>
        <v>106009</v>
      </c>
      <c r="E28" s="89"/>
      <c r="F28" s="94" t="n">
        <f aca="false">104394+1501</f>
        <v>105895</v>
      </c>
      <c r="G28" s="102"/>
      <c r="H28" s="89"/>
    </row>
    <row r="29" customFormat="false" ht="11.25" hidden="false" customHeight="false" outlineLevel="0" collapsed="false">
      <c r="A29" s="90" t="s">
        <v>133</v>
      </c>
      <c r="B29" s="88"/>
      <c r="C29" s="89"/>
      <c r="D29" s="104" t="n">
        <f aca="false">SUM(D20:D28)</f>
        <v>142411536</v>
      </c>
      <c r="E29" s="88"/>
      <c r="F29" s="105" t="n">
        <f aca="false">SUM(F20:F28)</f>
        <v>124982278</v>
      </c>
      <c r="G29" s="100"/>
      <c r="H29" s="100"/>
    </row>
    <row r="30" customFormat="false" ht="12" hidden="false" customHeight="false" outlineLevel="0" collapsed="false">
      <c r="A30" s="90" t="s">
        <v>63</v>
      </c>
      <c r="B30" s="88"/>
      <c r="C30" s="89"/>
      <c r="D30" s="106" t="n">
        <f aca="false">+D15+D29+D17</f>
        <v>214925256</v>
      </c>
      <c r="E30" s="88"/>
      <c r="F30" s="106" t="n">
        <f aca="false">+F15+F29+F17</f>
        <v>198167128</v>
      </c>
      <c r="G30" s="100"/>
      <c r="H30" s="100"/>
    </row>
    <row r="31" customFormat="false" ht="8.25" hidden="false" customHeight="true" outlineLevel="0" collapsed="false">
      <c r="A31" s="90"/>
      <c r="B31" s="88"/>
      <c r="C31" s="89"/>
      <c r="D31" s="96"/>
      <c r="E31" s="88"/>
      <c r="F31" s="96"/>
      <c r="G31" s="100"/>
      <c r="H31" s="100"/>
    </row>
    <row r="32" customFormat="false" ht="11.25" hidden="false" customHeight="false" outlineLevel="0" collapsed="false">
      <c r="A32" s="90"/>
      <c r="B32" s="88"/>
      <c r="C32" s="89"/>
      <c r="D32" s="96"/>
      <c r="E32" s="88"/>
      <c r="F32" s="96"/>
      <c r="G32" s="100"/>
      <c r="H32" s="100"/>
    </row>
    <row r="33" customFormat="false" ht="11.25" hidden="false" customHeight="false" outlineLevel="0" collapsed="false">
      <c r="B33" s="107"/>
      <c r="C33" s="107"/>
      <c r="D33" s="107"/>
      <c r="E33" s="108"/>
      <c r="F33" s="109" t="s">
        <v>118</v>
      </c>
    </row>
    <row r="34" customFormat="false" ht="33.75" hidden="false" customHeight="false" outlineLevel="0" collapsed="false">
      <c r="A34" s="110" t="s">
        <v>134</v>
      </c>
      <c r="B34" s="111" t="s">
        <v>120</v>
      </c>
      <c r="C34" s="107"/>
      <c r="D34" s="112" t="s">
        <v>121</v>
      </c>
      <c r="E34" s="113"/>
      <c r="F34" s="112" t="s">
        <v>122</v>
      </c>
    </row>
    <row r="35" customFormat="false" ht="3.75" hidden="false" customHeight="true" outlineLevel="0" collapsed="false">
      <c r="A35" s="114"/>
      <c r="B35" s="88"/>
      <c r="C35" s="89"/>
      <c r="D35" s="88"/>
      <c r="E35" s="88"/>
      <c r="F35" s="88"/>
    </row>
    <row r="36" customFormat="false" ht="11.25" hidden="false" customHeight="false" outlineLevel="0" collapsed="false">
      <c r="A36" s="110" t="s">
        <v>135</v>
      </c>
      <c r="B36" s="88"/>
      <c r="C36" s="89"/>
      <c r="D36" s="88"/>
      <c r="E36" s="88"/>
      <c r="F36" s="88"/>
    </row>
    <row r="37" customFormat="false" ht="11.25" hidden="false" customHeight="false" outlineLevel="0" collapsed="false">
      <c r="A37" s="110"/>
      <c r="B37" s="88"/>
      <c r="C37" s="89"/>
      <c r="D37" s="88"/>
      <c r="E37" s="88"/>
      <c r="F37" s="88"/>
    </row>
    <row r="38" customFormat="false" ht="11.25" hidden="false" customHeight="false" outlineLevel="0" collapsed="false">
      <c r="A38" s="115" t="s">
        <v>136</v>
      </c>
      <c r="B38" s="88"/>
      <c r="C38" s="89"/>
      <c r="D38" s="88"/>
      <c r="E38" s="88"/>
      <c r="F38" s="88"/>
    </row>
    <row r="39" customFormat="false" ht="11.25" hidden="false" customHeight="false" outlineLevel="0" collapsed="false">
      <c r="A39" s="116" t="s">
        <v>137</v>
      </c>
      <c r="B39" s="117" t="n">
        <v>18</v>
      </c>
      <c r="C39" s="89"/>
      <c r="D39" s="94" t="n">
        <v>31524342</v>
      </c>
      <c r="E39" s="94"/>
      <c r="F39" s="94" t="n">
        <v>25934358</v>
      </c>
      <c r="I39" s="101"/>
    </row>
    <row r="40" customFormat="false" ht="11.25" hidden="false" customHeight="false" outlineLevel="0" collapsed="false">
      <c r="A40" s="116" t="s">
        <v>138</v>
      </c>
      <c r="B40" s="117" t="n">
        <v>19</v>
      </c>
      <c r="C40" s="89"/>
      <c r="D40" s="94" t="n">
        <v>18525384</v>
      </c>
      <c r="E40" s="94"/>
      <c r="F40" s="94" t="n">
        <v>24674706</v>
      </c>
      <c r="I40" s="101"/>
    </row>
    <row r="41" customFormat="false" ht="11.25" hidden="false" customHeight="false" outlineLevel="0" collapsed="false">
      <c r="A41" s="116" t="s">
        <v>139</v>
      </c>
      <c r="B41" s="117" t="n">
        <v>21</v>
      </c>
      <c r="C41" s="89"/>
      <c r="D41" s="94" t="n">
        <f aca="false">348539-86149</f>
        <v>262390</v>
      </c>
      <c r="E41" s="94"/>
      <c r="F41" s="94" t="n">
        <v>805431</v>
      </c>
      <c r="I41" s="101"/>
    </row>
    <row r="42" customFormat="false" ht="11.25" hidden="false" customHeight="false" outlineLevel="0" collapsed="false">
      <c r="A42" s="116" t="s">
        <v>70</v>
      </c>
      <c r="B42" s="117" t="n">
        <v>22</v>
      </c>
      <c r="C42" s="89"/>
      <c r="D42" s="94" t="n">
        <v>0</v>
      </c>
      <c r="E42" s="94"/>
      <c r="F42" s="94" t="n">
        <v>0</v>
      </c>
      <c r="I42" s="101"/>
    </row>
    <row r="43" customFormat="false" ht="11.25" hidden="false" customHeight="false" outlineLevel="0" collapsed="false">
      <c r="A43" s="116" t="s">
        <v>71</v>
      </c>
      <c r="B43" s="117" t="n">
        <v>23</v>
      </c>
      <c r="C43" s="89"/>
      <c r="D43" s="94" t="n">
        <v>4144395</v>
      </c>
      <c r="E43" s="94"/>
      <c r="F43" s="94" t="n">
        <v>2516445</v>
      </c>
      <c r="I43" s="101"/>
    </row>
    <row r="44" customFormat="false" ht="11.25" hidden="false" customHeight="false" outlineLevel="0" collapsed="false">
      <c r="A44" s="116" t="s">
        <v>72</v>
      </c>
      <c r="B44" s="88"/>
      <c r="C44" s="89"/>
      <c r="D44" s="94" t="n">
        <f aca="false">783153</f>
        <v>783153</v>
      </c>
      <c r="E44" s="102"/>
      <c r="F44" s="94" t="n">
        <v>926219</v>
      </c>
      <c r="I44" s="101"/>
    </row>
    <row r="45" customFormat="false" ht="11.25" hidden="false" customHeight="false" outlineLevel="0" collapsed="false">
      <c r="A45" s="116" t="s">
        <v>74</v>
      </c>
      <c r="B45" s="117" t="n">
        <v>20</v>
      </c>
      <c r="C45" s="89"/>
      <c r="D45" s="94" t="n">
        <v>4358272</v>
      </c>
      <c r="E45" s="102"/>
      <c r="F45" s="94" t="n">
        <v>10350691</v>
      </c>
    </row>
    <row r="46" customFormat="false" ht="11.25" hidden="false" customHeight="false" outlineLevel="0" collapsed="false">
      <c r="A46" s="116" t="s">
        <v>140</v>
      </c>
      <c r="B46" s="117" t="n">
        <v>24</v>
      </c>
      <c r="C46" s="89"/>
      <c r="D46" s="94" t="n">
        <v>4375344</v>
      </c>
      <c r="E46" s="94"/>
      <c r="F46" s="94" t="n">
        <v>4604646</v>
      </c>
      <c r="I46" s="101"/>
    </row>
    <row r="47" customFormat="false" ht="11.25" hidden="false" customHeight="false" outlineLevel="0" collapsed="false">
      <c r="A47" s="116" t="s">
        <v>76</v>
      </c>
      <c r="B47" s="117" t="n">
        <v>26</v>
      </c>
      <c r="C47" s="89"/>
      <c r="D47" s="94" t="n">
        <v>4225160</v>
      </c>
      <c r="E47" s="94"/>
      <c r="F47" s="94" t="n">
        <v>3530956</v>
      </c>
      <c r="I47" s="101"/>
    </row>
    <row r="48" customFormat="false" ht="11.25" hidden="false" customHeight="false" outlineLevel="0" collapsed="false">
      <c r="A48" s="115" t="s">
        <v>141</v>
      </c>
      <c r="B48" s="88"/>
      <c r="C48" s="89"/>
      <c r="D48" s="95" t="n">
        <f aca="false">SUM(D39:D47)</f>
        <v>68198440</v>
      </c>
      <c r="E48" s="94"/>
      <c r="F48" s="95" t="n">
        <f aca="false">SUM(F39:F47)</f>
        <v>73343452</v>
      </c>
    </row>
    <row r="49" customFormat="false" ht="11.25" hidden="false" customHeight="false" outlineLevel="0" collapsed="false">
      <c r="B49" s="88"/>
      <c r="C49" s="88"/>
      <c r="D49" s="94" t="s">
        <v>44</v>
      </c>
      <c r="E49" s="94"/>
      <c r="F49" s="94" t="s">
        <v>44</v>
      </c>
    </row>
    <row r="50" customFormat="false" ht="11.25" hidden="false" customHeight="false" outlineLevel="0" collapsed="false">
      <c r="A50" s="115" t="s">
        <v>142</v>
      </c>
      <c r="B50" s="88"/>
      <c r="C50" s="89"/>
      <c r="D50" s="94"/>
      <c r="E50" s="94"/>
      <c r="F50" s="94"/>
    </row>
    <row r="51" customFormat="false" ht="11.25" hidden="false" customHeight="false" outlineLevel="0" collapsed="false">
      <c r="A51" s="116" t="s">
        <v>137</v>
      </c>
      <c r="B51" s="117" t="n">
        <v>18</v>
      </c>
      <c r="C51" s="89"/>
      <c r="D51" s="94" t="n">
        <v>23039030</v>
      </c>
      <c r="E51" s="94"/>
      <c r="F51" s="94" t="n">
        <v>18334913</v>
      </c>
      <c r="I51" s="101"/>
      <c r="K51" s="118"/>
    </row>
    <row r="52" customFormat="false" ht="11.25" hidden="false" customHeight="false" outlineLevel="0" collapsed="false">
      <c r="A52" s="116" t="s">
        <v>138</v>
      </c>
      <c r="B52" s="117" t="n">
        <v>19</v>
      </c>
      <c r="C52" s="89"/>
      <c r="D52" s="94" t="n">
        <v>5713210</v>
      </c>
      <c r="E52" s="94"/>
      <c r="F52" s="94" t="n">
        <v>0</v>
      </c>
      <c r="I52" s="101"/>
    </row>
    <row r="53" customFormat="false" ht="11.25" hidden="false" customHeight="false" outlineLevel="0" collapsed="false">
      <c r="A53" s="116" t="s">
        <v>139</v>
      </c>
      <c r="B53" s="117" t="n">
        <v>21</v>
      </c>
      <c r="C53" s="89"/>
      <c r="D53" s="94" t="n">
        <v>10628878</v>
      </c>
      <c r="E53" s="94"/>
      <c r="F53" s="94" t="n">
        <v>14282894</v>
      </c>
      <c r="I53" s="101"/>
    </row>
    <row r="54" customFormat="false" ht="11.25" hidden="false" customHeight="false" outlineLevel="0" collapsed="false">
      <c r="A54" s="116" t="s">
        <v>72</v>
      </c>
      <c r="B54" s="117"/>
      <c r="C54" s="89"/>
      <c r="D54" s="94" t="n">
        <f aca="false">2680000+86149</f>
        <v>2766149</v>
      </c>
      <c r="E54" s="94"/>
      <c r="F54" s="94" t="n">
        <v>0</v>
      </c>
      <c r="I54" s="101"/>
      <c r="J54" s="119"/>
      <c r="K54" s="118"/>
    </row>
    <row r="55" customFormat="false" ht="11.25" hidden="false" customHeight="false" outlineLevel="0" collapsed="false">
      <c r="A55" s="116" t="s">
        <v>140</v>
      </c>
      <c r="B55" s="117" t="n">
        <v>25</v>
      </c>
      <c r="C55" s="89"/>
      <c r="D55" s="94" t="n">
        <v>5796127</v>
      </c>
      <c r="E55" s="94"/>
      <c r="F55" s="94" t="n">
        <v>4471614</v>
      </c>
      <c r="I55" s="101"/>
    </row>
    <row r="56" customFormat="false" ht="11.25" hidden="false" customHeight="false" outlineLevel="0" collapsed="false">
      <c r="A56" s="116" t="s">
        <v>74</v>
      </c>
      <c r="B56" s="117"/>
      <c r="C56" s="89"/>
      <c r="D56" s="94" t="n">
        <v>27717</v>
      </c>
      <c r="E56" s="94"/>
      <c r="F56" s="94" t="n">
        <v>0</v>
      </c>
      <c r="I56" s="94"/>
    </row>
    <row r="57" customFormat="false" ht="11.25" hidden="false" customHeight="false" outlineLevel="0" collapsed="false">
      <c r="A57" s="116" t="s">
        <v>143</v>
      </c>
      <c r="B57" s="117" t="n">
        <v>26</v>
      </c>
      <c r="C57" s="89"/>
      <c r="D57" s="94" t="n">
        <v>17696327</v>
      </c>
      <c r="E57" s="94"/>
      <c r="F57" s="94" t="n">
        <v>13213506</v>
      </c>
      <c r="I57" s="101"/>
    </row>
    <row r="58" customFormat="false" ht="11.25" hidden="false" customHeight="false" outlineLevel="0" collapsed="false">
      <c r="A58" s="116" t="s">
        <v>85</v>
      </c>
      <c r="B58" s="117" t="n">
        <v>27</v>
      </c>
      <c r="C58" s="89"/>
      <c r="D58" s="94" t="n">
        <v>3572443</v>
      </c>
      <c r="E58" s="94"/>
      <c r="F58" s="94" t="n">
        <v>5938109</v>
      </c>
      <c r="I58" s="101"/>
    </row>
    <row r="59" customFormat="false" ht="11.25" hidden="false" customHeight="false" outlineLevel="0" collapsed="false">
      <c r="A59" s="115" t="s">
        <v>144</v>
      </c>
      <c r="B59" s="88"/>
      <c r="C59" s="89"/>
      <c r="D59" s="95" t="n">
        <f aca="false">SUM(D51:D58)</f>
        <v>69239881</v>
      </c>
      <c r="E59" s="94"/>
      <c r="F59" s="95" t="n">
        <f aca="false">SUM(F51:F58)</f>
        <v>56241036</v>
      </c>
    </row>
    <row r="60" customFormat="false" ht="11.25" hidden="false" customHeight="false" outlineLevel="0" collapsed="false">
      <c r="A60" s="115" t="s">
        <v>86</v>
      </c>
      <c r="B60" s="88"/>
      <c r="C60" s="89"/>
      <c r="D60" s="95" t="n">
        <f aca="false">+D48+D59</f>
        <v>137438321</v>
      </c>
      <c r="E60" s="94"/>
      <c r="F60" s="95" t="n">
        <f aca="false">+F48+F59</f>
        <v>129584488</v>
      </c>
    </row>
    <row r="61" customFormat="false" ht="11.25" hidden="false" customHeight="false" outlineLevel="0" collapsed="false">
      <c r="A61" s="115"/>
      <c r="B61" s="88"/>
      <c r="C61" s="89"/>
      <c r="D61" s="94"/>
      <c r="E61" s="94"/>
      <c r="F61" s="94"/>
    </row>
    <row r="62" customFormat="false" ht="11.25" hidden="false" customHeight="false" outlineLevel="0" collapsed="false">
      <c r="A62" s="110" t="s">
        <v>145</v>
      </c>
      <c r="B62" s="88"/>
      <c r="C62" s="89"/>
      <c r="D62" s="94"/>
      <c r="E62" s="94"/>
      <c r="F62" s="94"/>
    </row>
    <row r="63" customFormat="false" ht="11.25" hidden="false" customHeight="false" outlineLevel="0" collapsed="false">
      <c r="A63" s="116" t="s">
        <v>146</v>
      </c>
      <c r="B63" s="117" t="n">
        <v>28</v>
      </c>
      <c r="C63" s="89"/>
      <c r="D63" s="94" t="n">
        <v>23879352</v>
      </c>
      <c r="E63" s="94"/>
      <c r="F63" s="94" t="n">
        <v>23879352</v>
      </c>
    </row>
    <row r="64" customFormat="false" ht="11.25" hidden="false" customHeight="false" outlineLevel="0" collapsed="false">
      <c r="A64" s="116" t="s">
        <v>147</v>
      </c>
      <c r="B64" s="117" t="n">
        <v>28</v>
      </c>
      <c r="C64" s="89"/>
      <c r="D64" s="94" t="n">
        <v>705936</v>
      </c>
      <c r="E64" s="94"/>
      <c r="F64" s="94" t="n">
        <v>705936</v>
      </c>
    </row>
    <row r="65" customFormat="false" ht="11.25" hidden="false" customHeight="false" outlineLevel="0" collapsed="false">
      <c r="A65" s="116" t="s">
        <v>148</v>
      </c>
      <c r="B65" s="88"/>
      <c r="C65" s="89"/>
      <c r="D65" s="94" t="n">
        <v>4016935</v>
      </c>
      <c r="E65" s="94"/>
      <c r="F65" s="94" t="n">
        <v>2675050</v>
      </c>
    </row>
    <row r="66" customFormat="false" ht="11.25" hidden="false" customHeight="false" outlineLevel="0" collapsed="false">
      <c r="A66" s="116" t="s">
        <v>149</v>
      </c>
      <c r="B66" s="88"/>
      <c r="C66" s="89"/>
      <c r="D66" s="103" t="n">
        <v>37723453</v>
      </c>
      <c r="E66" s="94"/>
      <c r="F66" s="103" t="n">
        <v>31964783</v>
      </c>
    </row>
    <row r="67" customFormat="false" ht="11.25" hidden="false" customHeight="false" outlineLevel="0" collapsed="false">
      <c r="A67" s="116"/>
      <c r="B67" s="88"/>
      <c r="C67" s="89"/>
      <c r="D67" s="94" t="n">
        <f aca="false">SUM(D63:D66)</f>
        <v>66325676</v>
      </c>
      <c r="E67" s="94"/>
      <c r="F67" s="94" t="n">
        <f aca="false">SUM(F63:F66)</f>
        <v>59225121</v>
      </c>
    </row>
    <row r="68" s="125" customFormat="true" ht="11.25" hidden="false" customHeight="false" outlineLevel="0" collapsed="false">
      <c r="A68" s="120" t="s">
        <v>150</v>
      </c>
      <c r="B68" s="121"/>
      <c r="C68" s="122"/>
      <c r="D68" s="123" t="n">
        <v>11161259</v>
      </c>
      <c r="E68" s="124"/>
      <c r="F68" s="123" t="n">
        <v>9357519</v>
      </c>
    </row>
    <row r="69" s="125" customFormat="true" ht="7.5" hidden="false" customHeight="true" outlineLevel="0" collapsed="false">
      <c r="A69" s="120"/>
      <c r="B69" s="121"/>
      <c r="C69" s="122"/>
      <c r="D69" s="124"/>
      <c r="E69" s="124"/>
      <c r="F69" s="124"/>
    </row>
    <row r="70" s="125" customFormat="true" ht="11.25" hidden="false" customHeight="false" outlineLevel="0" collapsed="false">
      <c r="A70" s="126" t="s">
        <v>100</v>
      </c>
      <c r="B70" s="121"/>
      <c r="C70" s="122"/>
      <c r="D70" s="123" t="n">
        <f aca="false">SUM(D67:D68)</f>
        <v>77486935</v>
      </c>
      <c r="E70" s="124"/>
      <c r="F70" s="123" t="n">
        <f aca="false">SUM(F67:F68)</f>
        <v>68582640</v>
      </c>
    </row>
    <row r="71" s="125" customFormat="true" ht="3" hidden="false" customHeight="true" outlineLevel="0" collapsed="false">
      <c r="A71" s="126"/>
      <c r="B71" s="121"/>
      <c r="C71" s="122"/>
      <c r="D71" s="124"/>
      <c r="E71" s="124"/>
      <c r="F71" s="124"/>
    </row>
    <row r="72" s="125" customFormat="true" ht="12" hidden="false" customHeight="false" outlineLevel="0" collapsed="false">
      <c r="A72" s="126" t="s">
        <v>151</v>
      </c>
      <c r="B72" s="121"/>
      <c r="C72" s="122"/>
      <c r="D72" s="127" t="n">
        <f aca="false">+D60+D70</f>
        <v>214925256</v>
      </c>
      <c r="E72" s="124"/>
      <c r="F72" s="127" t="n">
        <f aca="false">+F60+F70</f>
        <v>198167128</v>
      </c>
    </row>
    <row r="73" customFormat="false" ht="12" hidden="false" customHeight="false" outlineLevel="0" collapsed="false">
      <c r="D73" s="88"/>
      <c r="E73" s="88"/>
      <c r="F73" s="88"/>
    </row>
    <row r="74" customFormat="false" ht="11.25" hidden="false" customHeight="false" outlineLevel="0" collapsed="false">
      <c r="D74" s="88"/>
      <c r="E74" s="88"/>
      <c r="F74" s="88"/>
    </row>
    <row r="75" customFormat="false" ht="11.25" hidden="false" customHeight="false" outlineLevel="0" collapsed="false">
      <c r="D75" s="101" t="n">
        <f aca="false">D72-D30</f>
        <v>0</v>
      </c>
      <c r="E75" s="101"/>
      <c r="F75" s="101" t="n">
        <f aca="false">F72-F30</f>
        <v>0</v>
      </c>
    </row>
    <row r="76" customFormat="false" ht="11.25" hidden="false" customHeight="false" outlineLevel="0" collapsed="false">
      <c r="D76" s="88"/>
      <c r="E76" s="88"/>
      <c r="F76" s="88"/>
    </row>
    <row r="77" customFormat="false" ht="11.25" hidden="false" customHeight="false" outlineLevel="0" collapsed="false">
      <c r="D77" s="88"/>
      <c r="E77" s="88"/>
      <c r="F77" s="88"/>
    </row>
    <row r="78" customFormat="false" ht="11.25" hidden="false" customHeight="false" outlineLevel="0" collapsed="false">
      <c r="D78" s="88"/>
      <c r="E78" s="88"/>
      <c r="F78" s="88"/>
    </row>
    <row r="79" customFormat="false" ht="11.25" hidden="false" customHeight="false" outlineLevel="0" collapsed="false">
      <c r="D79" s="88"/>
      <c r="E79" s="88"/>
      <c r="F79" s="88"/>
    </row>
    <row r="80" customFormat="false" ht="11.25" hidden="false" customHeight="false" outlineLevel="0" collapsed="false">
      <c r="D80" s="88"/>
      <c r="E80" s="88"/>
      <c r="F80" s="88"/>
    </row>
    <row r="81" customFormat="false" ht="11.25" hidden="false" customHeight="false" outlineLevel="0" collapsed="false">
      <c r="D81" s="88"/>
      <c r="E81" s="88"/>
      <c r="F81" s="88"/>
    </row>
    <row r="82" customFormat="false" ht="11.25" hidden="false" customHeight="false" outlineLevel="0" collapsed="false">
      <c r="D82" s="88"/>
      <c r="E82" s="88"/>
      <c r="F82" s="88"/>
    </row>
    <row r="83" customFormat="false" ht="11.25" hidden="false" customHeight="false" outlineLevel="0" collapsed="false">
      <c r="D83" s="88"/>
      <c r="E83" s="88"/>
      <c r="F83" s="88"/>
    </row>
    <row r="84" customFormat="false" ht="11.25" hidden="false" customHeight="false" outlineLevel="0" collapsed="false">
      <c r="D84" s="88"/>
      <c r="E84" s="88"/>
      <c r="F84" s="88"/>
    </row>
    <row r="85" customFormat="false" ht="11.25" hidden="false" customHeight="false" outlineLevel="0" collapsed="false">
      <c r="D85" s="88"/>
      <c r="E85" s="88"/>
      <c r="F85" s="88"/>
    </row>
    <row r="86" customFormat="false" ht="11.25" hidden="false" customHeight="false" outlineLevel="0" collapsed="false">
      <c r="D86" s="88"/>
      <c r="E86" s="88"/>
      <c r="F86" s="8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Q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03" width="2.49"/>
    <col collapsed="false" customWidth="true" hidden="false" outlineLevel="0" max="2" min="2" style="703" width="35.98"/>
    <col collapsed="false" customWidth="true" hidden="false" outlineLevel="0" max="3" min="3" style="703" width="9.91"/>
    <col collapsed="false" customWidth="true" hidden="false" outlineLevel="0" max="4" min="4" style="703" width="12.27"/>
    <col collapsed="false" customWidth="false" hidden="false" outlineLevel="0" max="5" min="5" style="703" width="11.52"/>
    <col collapsed="false" customWidth="true" hidden="false" outlineLevel="0" max="6" min="6" style="703" width="12.27"/>
    <col collapsed="false" customWidth="false" hidden="false" outlineLevel="0" max="7" min="7" style="703" width="11.52"/>
    <col collapsed="false" customWidth="true" hidden="true" outlineLevel="0" max="8" min="8" style="703" width="12.27"/>
    <col collapsed="false" customWidth="false" hidden="true" outlineLevel="0" max="9" min="9" style="703" width="11.52"/>
    <col collapsed="false" customWidth="true" hidden="true" outlineLevel="0" max="10" min="10" style="703" width="12.68"/>
    <col collapsed="false" customWidth="false" hidden="true" outlineLevel="0" max="11" min="11" style="703" width="11.52"/>
    <col collapsed="false" customWidth="true" hidden="true" outlineLevel="0" max="12" min="12" style="703" width="11.99"/>
    <col collapsed="false" customWidth="false" hidden="false" outlineLevel="0" max="13" min="13" style="704" width="11.52"/>
    <col collapsed="false" customWidth="false" hidden="false" outlineLevel="0" max="1024" min="14" style="703" width="11.52"/>
  </cols>
  <sheetData>
    <row r="1" s="711" customFormat="true" ht="12.8" hidden="false" customHeight="false" outlineLevel="0" collapsed="false">
      <c r="A1" s="705"/>
      <c r="B1" s="706"/>
      <c r="C1" s="707" t="s">
        <v>631</v>
      </c>
      <c r="D1" s="707" t="n">
        <v>2020</v>
      </c>
      <c r="E1" s="707"/>
      <c r="F1" s="708" t="n">
        <v>2019</v>
      </c>
      <c r="G1" s="706"/>
      <c r="H1" s="708" t="n">
        <v>2018</v>
      </c>
      <c r="I1" s="709"/>
      <c r="J1" s="710" t="n">
        <v>2017</v>
      </c>
      <c r="K1" s="710"/>
      <c r="L1" s="710" t="n">
        <v>2016</v>
      </c>
      <c r="M1" s="705"/>
    </row>
    <row r="2" customFormat="false" ht="12" hidden="false" customHeight="true" outlineLevel="0" collapsed="false">
      <c r="A2" s="704"/>
      <c r="B2" s="712"/>
      <c r="C2" s="609" t="s">
        <v>633</v>
      </c>
      <c r="D2" s="609"/>
      <c r="E2" s="609"/>
      <c r="F2" s="712"/>
      <c r="G2" s="712"/>
      <c r="H2" s="712"/>
      <c r="I2" s="709"/>
      <c r="J2" s="710"/>
      <c r="K2" s="710"/>
      <c r="L2" s="710"/>
    </row>
    <row r="3" customFormat="false" ht="13.8" hidden="false" customHeight="false" outlineLevel="0" collapsed="false">
      <c r="A3" s="713" t="s">
        <v>705</v>
      </c>
      <c r="C3" s="714"/>
      <c r="D3" s="714" t="n">
        <f aca="false">'Planilla final'!Q61</f>
        <v>206615942.68</v>
      </c>
      <c r="E3" s="714"/>
      <c r="F3" s="713" t="n">
        <v>191805258</v>
      </c>
      <c r="G3" s="713"/>
      <c r="H3" s="713" t="n">
        <v>159845498</v>
      </c>
      <c r="I3" s="715"/>
      <c r="J3" s="716" t="n">
        <v>155656071.42</v>
      </c>
      <c r="K3" s="717"/>
      <c r="L3" s="716" t="n">
        <v>146349769</v>
      </c>
      <c r="O3" s="718"/>
    </row>
    <row r="4" customFormat="false" ht="12.8" hidden="false" customHeight="false" outlineLevel="0" collapsed="false">
      <c r="A4" s="713" t="s">
        <v>706</v>
      </c>
      <c r="C4" s="714" t="n">
        <v>33</v>
      </c>
      <c r="D4" s="714" t="n">
        <f aca="false">'Planilla final'!Q62</f>
        <v>-93692605.9</v>
      </c>
      <c r="E4" s="714"/>
      <c r="F4" s="713" t="n">
        <v>-121049688</v>
      </c>
      <c r="G4" s="713"/>
      <c r="H4" s="713" t="n">
        <v>-106153033</v>
      </c>
      <c r="I4" s="715"/>
      <c r="J4" s="719" t="n">
        <v>-103315253</v>
      </c>
      <c r="K4" s="717"/>
      <c r="L4" s="719" t="n">
        <v>-96949966</v>
      </c>
    </row>
    <row r="5" customFormat="false" ht="5.1" hidden="false" customHeight="true" outlineLevel="0" collapsed="false">
      <c r="A5" s="704"/>
      <c r="C5" s="705"/>
      <c r="D5" s="705"/>
      <c r="E5" s="705"/>
      <c r="F5" s="704"/>
      <c r="G5" s="704"/>
      <c r="H5" s="704"/>
    </row>
    <row r="6" customFormat="false" ht="12.8" hidden="false" customHeight="false" outlineLevel="0" collapsed="false">
      <c r="A6" s="713" t="s">
        <v>707</v>
      </c>
      <c r="C6" s="714"/>
      <c r="D6" s="720" t="n">
        <f aca="false">D3+D4</f>
        <v>112923336.78</v>
      </c>
      <c r="E6" s="714"/>
      <c r="F6" s="720" t="n">
        <v>70755570</v>
      </c>
      <c r="G6" s="717"/>
      <c r="H6" s="720" t="n">
        <v>53692465</v>
      </c>
      <c r="I6" s="715"/>
      <c r="J6" s="717" t="n">
        <v>52340818.42</v>
      </c>
      <c r="K6" s="717"/>
      <c r="L6" s="717" t="n">
        <v>49399803</v>
      </c>
    </row>
    <row r="7" customFormat="false" ht="5.1" hidden="false" customHeight="true" outlineLevel="0" collapsed="false">
      <c r="A7" s="713"/>
      <c r="C7" s="714"/>
      <c r="D7" s="714"/>
      <c r="E7" s="714"/>
      <c r="F7" s="713"/>
      <c r="G7" s="713"/>
      <c r="H7" s="713"/>
      <c r="I7" s="713"/>
      <c r="J7" s="717"/>
      <c r="K7" s="717"/>
      <c r="L7" s="717"/>
    </row>
    <row r="8" customFormat="false" ht="12.8" hidden="false" customHeight="false" outlineLevel="0" collapsed="false">
      <c r="A8" s="712" t="s">
        <v>708</v>
      </c>
      <c r="C8" s="706"/>
      <c r="D8" s="706"/>
      <c r="E8" s="706"/>
      <c r="F8" s="712"/>
      <c r="G8" s="712"/>
      <c r="H8" s="712"/>
      <c r="I8" s="713"/>
      <c r="J8" s="717"/>
      <c r="K8" s="717"/>
      <c r="L8" s="717"/>
    </row>
    <row r="9" customFormat="false" ht="12.8" hidden="false" customHeight="false" outlineLevel="0" collapsed="false">
      <c r="A9" s="713" t="s">
        <v>709</v>
      </c>
      <c r="C9" s="714" t="n">
        <v>33</v>
      </c>
      <c r="D9" s="714" t="n">
        <f aca="false">'Planilla final'!N64</f>
        <v>-80647953.34</v>
      </c>
      <c r="E9" s="714"/>
      <c r="F9" s="713" t="n">
        <v>-44400771</v>
      </c>
      <c r="G9" s="713"/>
      <c r="H9" s="713" t="n">
        <v>-37329669</v>
      </c>
      <c r="I9" s="713"/>
      <c r="J9" s="721" t="n">
        <v>-35713851.42</v>
      </c>
      <c r="K9" s="717"/>
      <c r="L9" s="721" t="n">
        <v>-31216849</v>
      </c>
    </row>
    <row r="10" customFormat="false" ht="5.1" hidden="false" customHeight="true" outlineLevel="0" collapsed="false">
      <c r="A10" s="713"/>
      <c r="C10" s="714"/>
      <c r="D10" s="714"/>
      <c r="E10" s="714"/>
      <c r="F10" s="713"/>
      <c r="G10" s="713"/>
      <c r="H10" s="713"/>
      <c r="I10" s="713"/>
      <c r="J10" s="717"/>
      <c r="K10" s="717"/>
      <c r="L10" s="717"/>
    </row>
    <row r="11" customFormat="false" ht="12.8" hidden="false" customHeight="false" outlineLevel="0" collapsed="false">
      <c r="A11" s="713" t="s">
        <v>710</v>
      </c>
      <c r="C11" s="714"/>
      <c r="D11" s="720" t="n">
        <f aca="false">D6+D9</f>
        <v>32275383.44</v>
      </c>
      <c r="E11" s="714"/>
      <c r="F11" s="720" t="n">
        <v>26354799</v>
      </c>
      <c r="G11" s="717"/>
      <c r="H11" s="720" t="n">
        <v>16362796</v>
      </c>
      <c r="I11" s="713"/>
      <c r="J11" s="717" t="n">
        <v>16626967</v>
      </c>
      <c r="K11" s="717"/>
      <c r="L11" s="717" t="n">
        <v>18182954</v>
      </c>
    </row>
    <row r="12" customFormat="false" ht="5.1" hidden="false" customHeight="true" outlineLevel="0" collapsed="false">
      <c r="A12" s="713"/>
      <c r="C12" s="714"/>
      <c r="D12" s="714"/>
      <c r="E12" s="714"/>
      <c r="F12" s="713"/>
      <c r="G12" s="713"/>
      <c r="H12" s="713"/>
      <c r="I12" s="713"/>
      <c r="J12" s="717"/>
      <c r="K12" s="717"/>
      <c r="L12" s="717"/>
    </row>
    <row r="13" customFormat="false" ht="12.8" hidden="false" customHeight="false" outlineLevel="0" collapsed="false">
      <c r="A13" s="722" t="s">
        <v>711</v>
      </c>
      <c r="C13" s="723"/>
      <c r="D13" s="723" t="n">
        <f aca="false">'Planilla final'!N67</f>
        <v>-172548.13</v>
      </c>
      <c r="E13" s="723"/>
      <c r="F13" s="722" t="n">
        <v>-2329066</v>
      </c>
      <c r="G13" s="722"/>
      <c r="H13" s="713" t="n">
        <v>-3672120</v>
      </c>
      <c r="I13" s="713"/>
      <c r="J13" s="717" t="n">
        <v>-5201733</v>
      </c>
      <c r="K13" s="717"/>
      <c r="L13" s="717" t="n">
        <v>-4584126</v>
      </c>
    </row>
    <row r="14" customFormat="false" ht="13.8" hidden="false" customHeight="false" outlineLevel="0" collapsed="false">
      <c r="A14" s="713" t="s">
        <v>712</v>
      </c>
      <c r="C14" s="714"/>
      <c r="D14" s="714" t="n">
        <f aca="false">'Planilla final'!N65</f>
        <v>-501686.9</v>
      </c>
      <c r="E14" s="714"/>
      <c r="F14" s="713" t="n">
        <v>219694.47</v>
      </c>
      <c r="G14" s="713"/>
      <c r="H14" s="713" t="n">
        <v>-1111670</v>
      </c>
      <c r="I14" s="713"/>
      <c r="J14" s="717" t="n">
        <v>-2320429.95</v>
      </c>
      <c r="K14" s="717"/>
      <c r="L14" s="717" t="n">
        <v>-507141</v>
      </c>
      <c r="N14" s="718"/>
      <c r="O14" s="718"/>
    </row>
    <row r="15" customFormat="false" ht="5.45" hidden="false" customHeight="true" outlineLevel="0" collapsed="false">
      <c r="A15" s="713"/>
      <c r="C15" s="714"/>
      <c r="D15" s="714"/>
      <c r="E15" s="714"/>
      <c r="F15" s="713"/>
      <c r="G15" s="713"/>
      <c r="H15" s="713"/>
      <c r="I15" s="713"/>
      <c r="J15" s="721"/>
      <c r="K15" s="717"/>
      <c r="L15" s="721"/>
    </row>
    <row r="16" customFormat="false" ht="27.6" hidden="false" customHeight="true" outlineLevel="0" collapsed="false">
      <c r="B16" s="724" t="s">
        <v>713</v>
      </c>
      <c r="C16" s="725"/>
      <c r="D16" s="720" t="n">
        <f aca="false">D11+D13+D14</f>
        <v>31601148.41</v>
      </c>
      <c r="E16" s="725"/>
      <c r="F16" s="720" t="n">
        <v>24245427.47</v>
      </c>
      <c r="G16" s="717"/>
      <c r="H16" s="720" t="n">
        <v>11579006</v>
      </c>
      <c r="I16" s="713"/>
      <c r="J16" s="717" t="n">
        <v>9104804.04999999</v>
      </c>
      <c r="K16" s="717"/>
      <c r="L16" s="717" t="n">
        <v>13091687</v>
      </c>
    </row>
    <row r="17" customFormat="false" ht="5.1" hidden="false" customHeight="true" outlineLevel="0" collapsed="false">
      <c r="A17" s="713"/>
      <c r="C17" s="714"/>
      <c r="D17" s="714"/>
      <c r="E17" s="714"/>
      <c r="F17" s="713"/>
      <c r="G17" s="713"/>
      <c r="H17" s="713"/>
      <c r="I17" s="713"/>
      <c r="J17" s="717"/>
      <c r="K17" s="717"/>
      <c r="L17" s="717"/>
    </row>
    <row r="18" customFormat="false" ht="12.8" hidden="false" customHeight="false" outlineLevel="0" collapsed="false">
      <c r="A18" s="713" t="s">
        <v>110</v>
      </c>
      <c r="C18" s="714"/>
      <c r="D18" s="714" t="n">
        <f aca="false">'Planilla final'!N69</f>
        <v>0</v>
      </c>
      <c r="E18" s="714"/>
      <c r="F18" s="713" t="n">
        <v>-4208157</v>
      </c>
      <c r="G18" s="713"/>
      <c r="H18" s="713" t="n">
        <v>-2417615</v>
      </c>
      <c r="I18" s="713"/>
      <c r="J18" s="716" t="n">
        <v>-1591304</v>
      </c>
      <c r="K18" s="715"/>
      <c r="L18" s="716" t="n">
        <v>-1759101</v>
      </c>
    </row>
    <row r="19" customFormat="false" ht="5.45" hidden="false" customHeight="true" outlineLevel="0" collapsed="false">
      <c r="A19" s="713"/>
      <c r="C19" s="714"/>
      <c r="D19" s="714"/>
      <c r="E19" s="714"/>
      <c r="F19" s="713"/>
      <c r="G19" s="713"/>
      <c r="H19" s="713"/>
      <c r="I19" s="713"/>
      <c r="J19" s="717"/>
      <c r="K19" s="717"/>
      <c r="L19" s="717"/>
    </row>
    <row r="20" customFormat="false" ht="12.8" hidden="false" customHeight="false" outlineLevel="0" collapsed="false">
      <c r="A20" s="713" t="s">
        <v>714</v>
      </c>
      <c r="C20" s="714" t="n">
        <v>27</v>
      </c>
      <c r="D20" s="714" t="n">
        <f aca="false">'Planilla final'!M70</f>
        <v>0</v>
      </c>
      <c r="E20" s="714"/>
      <c r="F20" s="713" t="n">
        <v>-7566400</v>
      </c>
      <c r="G20" s="713"/>
      <c r="H20" s="713" t="n">
        <v>-4254413</v>
      </c>
      <c r="J20" s="717" t="n">
        <v>-3475906</v>
      </c>
      <c r="L20" s="717" t="n">
        <v>-3198548</v>
      </c>
    </row>
    <row r="21" customFormat="false" ht="5.1" hidden="false" customHeight="true" outlineLevel="0" collapsed="false">
      <c r="A21" s="726"/>
      <c r="C21" s="725"/>
      <c r="D21" s="726"/>
      <c r="E21" s="725"/>
      <c r="F21" s="726"/>
      <c r="G21" s="726"/>
      <c r="H21" s="726"/>
      <c r="J21" s="704"/>
      <c r="L21" s="704"/>
    </row>
    <row r="22" customFormat="false" ht="12.8" hidden="false" customHeight="false" outlineLevel="0" collapsed="false">
      <c r="B22" s="713" t="s">
        <v>194</v>
      </c>
      <c r="C22" s="714"/>
      <c r="D22" s="727" t="n">
        <f aca="false">D16+D18+D20</f>
        <v>31601148.41</v>
      </c>
      <c r="E22" s="714"/>
      <c r="F22" s="727" t="n">
        <v>12470870.47</v>
      </c>
      <c r="G22" s="717"/>
      <c r="H22" s="727" t="n">
        <v>4906978</v>
      </c>
      <c r="J22" s="727" t="n">
        <v>4037594.04999999</v>
      </c>
      <c r="K22" s="717"/>
      <c r="L22" s="727" t="n">
        <v>8134038</v>
      </c>
      <c r="M22" s="717"/>
      <c r="N22" s="728"/>
      <c r="O22" s="729"/>
      <c r="P22" s="730"/>
      <c r="Q22" s="731"/>
    </row>
    <row r="23" customFormat="false" ht="12.8" hidden="false" customHeight="false" outlineLevel="0" collapsed="false">
      <c r="A23" s="704"/>
      <c r="C23" s="705"/>
      <c r="D23" s="704"/>
      <c r="E23" s="705"/>
      <c r="F23" s="704"/>
      <c r="G23" s="704"/>
      <c r="H23" s="704"/>
    </row>
    <row r="24" customFormat="false" ht="12.8" hidden="false" customHeight="false" outlineLevel="0" collapsed="false">
      <c r="A24" s="712" t="s">
        <v>715</v>
      </c>
      <c r="C24" s="706"/>
      <c r="D24" s="706"/>
      <c r="E24" s="706"/>
      <c r="F24" s="712"/>
      <c r="G24" s="712"/>
      <c r="H24" s="712"/>
    </row>
    <row r="25" customFormat="false" ht="5.1" hidden="false" customHeight="true" outlineLevel="0" collapsed="false">
      <c r="A25" s="726"/>
      <c r="C25" s="725"/>
      <c r="D25" s="725"/>
      <c r="E25" s="725"/>
      <c r="F25" s="726"/>
      <c r="G25" s="726"/>
      <c r="H25" s="726"/>
      <c r="J25" s="704"/>
      <c r="L25" s="704"/>
    </row>
    <row r="26" customFormat="false" ht="25.5" hidden="false" customHeight="true" outlineLevel="0" collapsed="false">
      <c r="B26" s="732" t="s">
        <v>716</v>
      </c>
      <c r="C26" s="714"/>
      <c r="D26" s="733" t="n">
        <f aca="false">'Planilla final'!M72</f>
        <v>0</v>
      </c>
      <c r="E26" s="714"/>
      <c r="F26" s="733" t="n">
        <v>-1099700</v>
      </c>
      <c r="G26" s="733"/>
      <c r="H26" s="733" t="n">
        <v>70086</v>
      </c>
      <c r="J26" s="719" t="n">
        <v>1849659</v>
      </c>
      <c r="L26" s="719" t="n">
        <v>-495802</v>
      </c>
    </row>
    <row r="27" customFormat="false" ht="5.1" hidden="false" customHeight="true" outlineLevel="0" collapsed="false">
      <c r="A27" s="726"/>
      <c r="C27" s="725"/>
      <c r="D27" s="726"/>
      <c r="E27" s="725"/>
      <c r="F27" s="726"/>
      <c r="G27" s="726"/>
      <c r="H27" s="726"/>
      <c r="J27" s="704"/>
      <c r="L27" s="704"/>
    </row>
    <row r="28" customFormat="false" ht="12.8" hidden="false" customHeight="false" outlineLevel="0" collapsed="false">
      <c r="A28" s="713" t="s">
        <v>98</v>
      </c>
      <c r="C28" s="714"/>
      <c r="D28" s="734" t="n">
        <f aca="false">D22+D26</f>
        <v>31601148.41</v>
      </c>
      <c r="E28" s="714"/>
      <c r="F28" s="734" t="n">
        <v>11371170.47</v>
      </c>
      <c r="G28" s="735"/>
      <c r="H28" s="734" t="n">
        <v>4977064</v>
      </c>
      <c r="J28" s="736" t="n">
        <v>5887253.04999999</v>
      </c>
      <c r="L28" s="736" t="n">
        <v>7638236</v>
      </c>
    </row>
    <row r="29" customFormat="false" ht="5.1" hidden="false" customHeight="true" outlineLevel="0" collapsed="false">
      <c r="A29" s="713"/>
      <c r="C29" s="714"/>
      <c r="D29" s="713"/>
      <c r="E29" s="714"/>
      <c r="F29" s="713"/>
      <c r="G29" s="713"/>
      <c r="H29" s="713"/>
    </row>
    <row r="30" s="703" customFormat="true" ht="12.8" hidden="true" customHeight="false" outlineLevel="0" collapsed="false">
      <c r="A30" s="704" t="s">
        <v>717</v>
      </c>
      <c r="C30" s="705"/>
      <c r="D30" s="642"/>
      <c r="E30" s="705"/>
      <c r="F30" s="642" t="n">
        <v>12631217.7185968</v>
      </c>
      <c r="G30" s="642"/>
      <c r="H30" s="717" t="n">
        <v>6002231</v>
      </c>
      <c r="J30" s="721" t="n">
        <v>6447471.99522262</v>
      </c>
      <c r="K30" s="717"/>
      <c r="L30" s="721" t="n">
        <v>7246588</v>
      </c>
    </row>
    <row r="31" s="703" customFormat="true" ht="5.1" hidden="true" customHeight="true" outlineLevel="0" collapsed="false">
      <c r="A31" s="704"/>
      <c r="C31" s="705"/>
      <c r="D31" s="642"/>
      <c r="E31" s="705"/>
      <c r="F31" s="642"/>
      <c r="G31" s="642"/>
      <c r="H31" s="704"/>
      <c r="J31" s="737"/>
      <c r="K31" s="738"/>
      <c r="L31" s="737"/>
    </row>
    <row r="32" s="703" customFormat="true" ht="12.8" hidden="true" customHeight="false" outlineLevel="0" collapsed="false">
      <c r="A32" s="704" t="s">
        <v>718</v>
      </c>
      <c r="C32" s="705"/>
      <c r="D32" s="642"/>
      <c r="E32" s="705"/>
      <c r="F32" s="642" t="n">
        <v>-1260047.24859683</v>
      </c>
      <c r="G32" s="642"/>
      <c r="H32" s="716" t="n">
        <v>-1025167</v>
      </c>
      <c r="J32" s="719" t="n">
        <v>-560218.945222625</v>
      </c>
      <c r="L32" s="739" t="n">
        <v>391648</v>
      </c>
    </row>
    <row r="33" s="703" customFormat="true" ht="5.1" hidden="false" customHeight="true" outlineLevel="0" collapsed="false">
      <c r="A33" s="704"/>
      <c r="C33" s="705"/>
      <c r="D33" s="704"/>
      <c r="E33" s="705"/>
      <c r="F33" s="704"/>
      <c r="G33" s="704"/>
      <c r="H33" s="704"/>
    </row>
    <row r="34" customFormat="false" ht="12.8" hidden="false" customHeight="false" outlineLevel="0" collapsed="false">
      <c r="A34" s="704" t="s">
        <v>719</v>
      </c>
      <c r="C34" s="705"/>
      <c r="D34" s="544" t="n">
        <v>37143362</v>
      </c>
      <c r="E34" s="705"/>
      <c r="F34" s="544" t="n">
        <v>37143362</v>
      </c>
      <c r="G34" s="544"/>
      <c r="H34" s="544" t="n">
        <v>35042687</v>
      </c>
    </row>
    <row r="35" customFormat="false" ht="12.8" hidden="false" customHeight="false" outlineLevel="0" collapsed="false">
      <c r="A35" s="704" t="s">
        <v>720</v>
      </c>
      <c r="C35" s="704"/>
      <c r="D35" s="740" t="n">
        <f aca="false">D28/D34</f>
        <v>0.850788585319768</v>
      </c>
      <c r="E35" s="704"/>
      <c r="F35" s="740" t="n">
        <v>0.306142736082964</v>
      </c>
      <c r="G35" s="704"/>
      <c r="H35" s="740" t="n">
        <v>0.142028606425072</v>
      </c>
      <c r="J35" s="741"/>
      <c r="L35" s="741"/>
    </row>
    <row r="37" s="703" customFormat="true" ht="12.8" hidden="false" customHeight="false" outlineLevel="0" collapsed="false"/>
    <row r="38" s="703" customFormat="true" ht="12.8" hidden="false" customHeight="false" outlineLevel="0" collapsed="false">
      <c r="F38" s="742"/>
    </row>
    <row r="39" s="703" customFormat="tru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4" activePane="bottomRight" state="frozen"/>
      <selection pane="topLeft" activeCell="A1" activeCellId="0" sqref="A1"/>
      <selection pane="topRight" activeCell="B1" activeCellId="0" sqref="B1"/>
      <selection pane="bottomLeft" activeCell="A54" activeCellId="0" sqref="A54"/>
      <selection pane="bottomRight" activeCell="P67" activeCellId="0" sqref="P67"/>
    </sheetView>
  </sheetViews>
  <sheetFormatPr defaultColWidth="11.43359375" defaultRowHeight="12.8" zeroHeight="false" outlineLevelRow="0" outlineLevelCol="0"/>
  <cols>
    <col collapsed="false" customWidth="true" hidden="false" outlineLevel="0" max="1" min="1" style="743" width="32.87"/>
    <col collapsed="false" customWidth="true" hidden="false" outlineLevel="0" max="2" min="2" style="743" width="10.58"/>
    <col collapsed="false" customWidth="true" hidden="false" outlineLevel="0" max="3" min="3" style="743" width="1"/>
    <col collapsed="false" customWidth="true" hidden="false" outlineLevel="0" max="4" min="4" style="743" width="12.86"/>
    <col collapsed="false" customWidth="true" hidden="false" outlineLevel="0" max="5" min="5" style="743" width="0.71"/>
    <col collapsed="false" customWidth="true" hidden="false" outlineLevel="0" max="6" min="6" style="743" width="9.71"/>
    <col collapsed="false" customWidth="true" hidden="false" outlineLevel="0" max="7" min="7" style="743" width="0.86"/>
    <col collapsed="false" customWidth="true" hidden="false" outlineLevel="0" max="8" min="8" style="743" width="10.42"/>
    <col collapsed="false" customWidth="true" hidden="false" outlineLevel="0" max="9" min="9" style="743" width="1"/>
    <col collapsed="false" customWidth="true" hidden="false" outlineLevel="0" max="10" min="10" style="743" width="10.58"/>
    <col collapsed="false" customWidth="true" hidden="false" outlineLevel="0" max="11" min="11" style="743" width="1"/>
    <col collapsed="false" customWidth="true" hidden="false" outlineLevel="0" max="12" min="12" style="743" width="8.57"/>
    <col collapsed="false" customWidth="true" hidden="false" outlineLevel="0" max="13" min="13" style="743" width="0.71"/>
    <col collapsed="false" customWidth="true" hidden="false" outlineLevel="0" max="14" min="14" style="743" width="10.58"/>
    <col collapsed="false" customWidth="true" hidden="false" outlineLevel="0" max="15" min="15" style="743" width="0.86"/>
    <col collapsed="false" customWidth="true" hidden="false" outlineLevel="0" max="16" min="16" style="743" width="10.99"/>
    <col collapsed="false" customWidth="true" hidden="false" outlineLevel="0" max="17" min="17" style="743" width="0.71"/>
    <col collapsed="false" customWidth="false" hidden="false" outlineLevel="0" max="18" min="18" style="743" width="11.42"/>
    <col collapsed="false" customWidth="true" hidden="false" outlineLevel="0" max="19" min="19" style="743" width="0.71"/>
    <col collapsed="false" customWidth="true" hidden="false" outlineLevel="0" max="20" min="20" style="743" width="11.71"/>
    <col collapsed="false" customWidth="true" hidden="false" outlineLevel="0" max="21" min="21" style="743" width="4.71"/>
    <col collapsed="false" customWidth="false" hidden="false" outlineLevel="0" max="1024" min="22" style="743" width="11.42"/>
  </cols>
  <sheetData>
    <row r="1" s="745" customFormat="true" ht="12.8" hidden="false" customHeight="false" outlineLevel="0" collapsed="false">
      <c r="A1" s="744" t="s">
        <v>390</v>
      </c>
    </row>
    <row r="2" s="745" customFormat="true" ht="22.35" hidden="false" customHeight="false" outlineLevel="0" collapsed="false">
      <c r="A2" s="746" t="s">
        <v>721</v>
      </c>
    </row>
    <row r="3" s="747" customFormat="true" ht="14.25" hidden="false" customHeight="true" outlineLevel="0" collapsed="false">
      <c r="B3" s="748"/>
      <c r="C3" s="748"/>
      <c r="D3" s="749"/>
      <c r="E3" s="749"/>
      <c r="F3" s="749"/>
      <c r="G3" s="749"/>
      <c r="H3" s="749"/>
      <c r="I3" s="749"/>
      <c r="J3" s="749"/>
      <c r="K3" s="749"/>
      <c r="L3" s="750" t="s">
        <v>149</v>
      </c>
      <c r="M3" s="751"/>
      <c r="N3" s="751"/>
      <c r="O3" s="751"/>
      <c r="P3" s="751"/>
      <c r="Q3" s="751"/>
      <c r="R3" s="748"/>
      <c r="S3" s="748"/>
      <c r="T3" s="748"/>
    </row>
    <row r="4" s="747" customFormat="true" ht="32.8" hidden="false" customHeight="false" outlineLevel="0" collapsed="false">
      <c r="B4" s="751" t="s">
        <v>172</v>
      </c>
      <c r="C4" s="751"/>
      <c r="D4" s="751" t="s">
        <v>722</v>
      </c>
      <c r="E4" s="751"/>
      <c r="F4" s="751" t="s">
        <v>541</v>
      </c>
      <c r="G4" s="751"/>
      <c r="H4" s="751" t="s">
        <v>723</v>
      </c>
      <c r="I4" s="751"/>
      <c r="J4" s="751" t="s">
        <v>94</v>
      </c>
      <c r="K4" s="751"/>
      <c r="L4" s="751" t="s">
        <v>436</v>
      </c>
      <c r="M4" s="751"/>
      <c r="N4" s="751" t="s">
        <v>724</v>
      </c>
      <c r="O4" s="751"/>
      <c r="P4" s="751" t="s">
        <v>149</v>
      </c>
      <c r="Q4" s="751"/>
      <c r="R4" s="751" t="s">
        <v>725</v>
      </c>
      <c r="S4" s="751"/>
      <c r="T4" s="751" t="s">
        <v>259</v>
      </c>
    </row>
    <row r="5" customFormat="false" ht="12.8" hidden="false" customHeight="false" outlineLevel="0" collapsed="false">
      <c r="B5" s="752"/>
      <c r="C5" s="752"/>
      <c r="D5" s="752"/>
      <c r="E5" s="752"/>
      <c r="F5" s="752"/>
      <c r="G5" s="752"/>
      <c r="H5" s="752"/>
      <c r="I5" s="752"/>
      <c r="J5" s="752"/>
      <c r="K5" s="752"/>
      <c r="L5" s="752"/>
      <c r="M5" s="752"/>
      <c r="N5" s="752"/>
      <c r="O5" s="752"/>
      <c r="P5" s="752"/>
      <c r="Q5" s="752"/>
      <c r="R5" s="752"/>
      <c r="S5" s="752"/>
      <c r="T5" s="752"/>
    </row>
    <row r="6" customFormat="false" ht="12.8" hidden="false" customHeight="false" outlineLevel="0" collapsed="false">
      <c r="A6" s="753" t="s">
        <v>726</v>
      </c>
      <c r="B6" s="754" t="n">
        <v>23879352</v>
      </c>
      <c r="C6" s="754"/>
      <c r="D6" s="754" t="n">
        <v>705936</v>
      </c>
      <c r="E6" s="754"/>
      <c r="F6" s="754" t="n">
        <v>2640253</v>
      </c>
      <c r="G6" s="754"/>
      <c r="H6" s="754" t="n">
        <v>34797</v>
      </c>
      <c r="I6" s="754"/>
      <c r="J6" s="754" t="n">
        <v>0</v>
      </c>
      <c r="K6" s="754"/>
      <c r="L6" s="754" t="n">
        <v>227072</v>
      </c>
      <c r="M6" s="754"/>
      <c r="N6" s="754" t="n">
        <v>-3202431</v>
      </c>
      <c r="O6" s="754"/>
      <c r="P6" s="754" t="n">
        <v>34940142</v>
      </c>
      <c r="Q6" s="754"/>
      <c r="R6" s="754" t="n">
        <v>9357519</v>
      </c>
      <c r="S6" s="754"/>
      <c r="T6" s="754" t="n">
        <v>68582640</v>
      </c>
    </row>
    <row r="7" customFormat="false" ht="12.8" hidden="false" customHeight="false" outlineLevel="0" collapsed="false">
      <c r="B7" s="755"/>
      <c r="C7" s="755"/>
      <c r="D7" s="755"/>
      <c r="E7" s="755"/>
      <c r="F7" s="755"/>
      <c r="G7" s="755"/>
      <c r="H7" s="755"/>
      <c r="I7" s="755"/>
      <c r="J7" s="755"/>
      <c r="K7" s="755"/>
      <c r="L7" s="755"/>
      <c r="M7" s="755"/>
      <c r="N7" s="755"/>
      <c r="O7" s="755"/>
      <c r="P7" s="755"/>
      <c r="Q7" s="755"/>
      <c r="R7" s="755"/>
      <c r="S7" s="755"/>
      <c r="T7" s="755"/>
    </row>
    <row r="8" customFormat="false" ht="22.35" hidden="false" customHeight="false" outlineLevel="0" collapsed="false">
      <c r="A8" s="753" t="s">
        <v>727</v>
      </c>
      <c r="B8" s="754"/>
      <c r="C8" s="754"/>
      <c r="D8" s="754"/>
      <c r="E8" s="754"/>
      <c r="F8" s="754"/>
      <c r="G8" s="754"/>
      <c r="H8" s="754"/>
      <c r="I8" s="754"/>
      <c r="J8" s="754"/>
      <c r="K8" s="754"/>
      <c r="L8" s="754"/>
      <c r="M8" s="754"/>
      <c r="N8" s="754"/>
      <c r="O8" s="754"/>
      <c r="P8" s="754" t="n">
        <v>-2936828</v>
      </c>
      <c r="Q8" s="754"/>
      <c r="R8" s="754" t="n">
        <v>0</v>
      </c>
      <c r="S8" s="754"/>
      <c r="T8" s="754" t="n">
        <v>-2936828</v>
      </c>
    </row>
    <row r="9" customFormat="false" ht="12.8" hidden="false" customHeight="false" outlineLevel="0" collapsed="false">
      <c r="B9" s="755"/>
      <c r="C9" s="755"/>
      <c r="D9" s="755"/>
      <c r="E9" s="755"/>
      <c r="F9" s="755"/>
      <c r="G9" s="755"/>
      <c r="H9" s="755"/>
      <c r="I9" s="755"/>
      <c r="J9" s="755"/>
      <c r="K9" s="755"/>
      <c r="L9" s="755"/>
      <c r="M9" s="755"/>
      <c r="N9" s="755"/>
      <c r="O9" s="755"/>
      <c r="P9" s="755"/>
      <c r="Q9" s="755"/>
      <c r="R9" s="755"/>
      <c r="S9" s="755"/>
      <c r="T9" s="755"/>
    </row>
    <row r="10" customFormat="false" ht="12.8" hidden="false" customHeight="false" outlineLevel="0" collapsed="false">
      <c r="B10" s="755"/>
      <c r="C10" s="755"/>
      <c r="D10" s="755"/>
      <c r="E10" s="755"/>
      <c r="F10" s="755"/>
      <c r="G10" s="755"/>
      <c r="H10" s="755"/>
      <c r="I10" s="755"/>
      <c r="J10" s="755"/>
      <c r="K10" s="755"/>
      <c r="L10" s="755"/>
      <c r="M10" s="755"/>
      <c r="N10" s="755"/>
      <c r="O10" s="755"/>
      <c r="P10" s="755"/>
      <c r="Q10" s="755"/>
      <c r="R10" s="755"/>
      <c r="S10" s="755"/>
      <c r="T10" s="755"/>
    </row>
    <row r="11" customFormat="false" ht="22.35" hidden="false" customHeight="false" outlineLevel="0" collapsed="false">
      <c r="A11" s="753" t="s">
        <v>728</v>
      </c>
      <c r="B11" s="754" t="n">
        <v>23879352</v>
      </c>
      <c r="C11" s="754"/>
      <c r="D11" s="754" t="n">
        <v>705936</v>
      </c>
      <c r="E11" s="754"/>
      <c r="F11" s="754" t="n">
        <v>2640253</v>
      </c>
      <c r="G11" s="754"/>
      <c r="H11" s="754" t="n">
        <v>34797</v>
      </c>
      <c r="I11" s="754"/>
      <c r="J11" s="754" t="n">
        <v>0</v>
      </c>
      <c r="K11" s="754"/>
      <c r="L11" s="754" t="n">
        <v>227072</v>
      </c>
      <c r="M11" s="754"/>
      <c r="N11" s="754" t="n">
        <v>-3202431</v>
      </c>
      <c r="O11" s="754"/>
      <c r="P11" s="754" t="n">
        <v>32003314</v>
      </c>
      <c r="Q11" s="754"/>
      <c r="R11" s="754" t="n">
        <v>9357519</v>
      </c>
      <c r="S11" s="754"/>
      <c r="T11" s="754" t="n">
        <v>65645812</v>
      </c>
    </row>
    <row r="12" customFormat="false" ht="12.8" hidden="false" customHeight="false" outlineLevel="0" collapsed="false">
      <c r="B12" s="755"/>
      <c r="C12" s="755"/>
      <c r="D12" s="755"/>
      <c r="E12" s="755"/>
      <c r="F12" s="755"/>
      <c r="G12" s="755"/>
      <c r="H12" s="755"/>
      <c r="I12" s="755"/>
      <c r="J12" s="755"/>
      <c r="K12" s="755"/>
      <c r="L12" s="755"/>
      <c r="M12" s="755"/>
      <c r="N12" s="755"/>
      <c r="O12" s="755"/>
      <c r="P12" s="755"/>
      <c r="Q12" s="755"/>
      <c r="R12" s="755"/>
      <c r="S12" s="755"/>
      <c r="T12" s="755"/>
    </row>
    <row r="13" customFormat="false" ht="12.8" hidden="false" customHeight="false" outlineLevel="0" collapsed="false">
      <c r="A13" s="753" t="s">
        <v>729</v>
      </c>
      <c r="B13" s="755"/>
      <c r="C13" s="755"/>
      <c r="D13" s="755"/>
      <c r="E13" s="755"/>
      <c r="F13" s="755"/>
      <c r="G13" s="755"/>
      <c r="H13" s="755"/>
      <c r="I13" s="755"/>
      <c r="J13" s="755"/>
      <c r="K13" s="755"/>
      <c r="L13" s="755"/>
      <c r="M13" s="755"/>
      <c r="N13" s="755"/>
      <c r="O13" s="755"/>
      <c r="P13" s="755"/>
      <c r="Q13" s="755"/>
      <c r="R13" s="754" t="n">
        <v>1412099</v>
      </c>
      <c r="S13" s="754"/>
      <c r="T13" s="754" t="n">
        <v>1412099</v>
      </c>
    </row>
    <row r="14" customFormat="false" ht="12.8" hidden="false" customHeight="false" outlineLevel="0" collapsed="false">
      <c r="B14" s="755"/>
      <c r="C14" s="755"/>
      <c r="D14" s="755"/>
      <c r="E14" s="755"/>
      <c r="F14" s="755"/>
      <c r="G14" s="755"/>
      <c r="H14" s="755"/>
      <c r="I14" s="755"/>
      <c r="J14" s="755"/>
      <c r="K14" s="755"/>
      <c r="L14" s="755"/>
      <c r="M14" s="755"/>
      <c r="N14" s="755"/>
      <c r="O14" s="755"/>
      <c r="P14" s="755"/>
      <c r="Q14" s="755"/>
      <c r="R14" s="755"/>
      <c r="S14" s="755"/>
      <c r="T14" s="755"/>
    </row>
    <row r="15" customFormat="false" ht="32.8" hidden="false" customHeight="false" outlineLevel="0" collapsed="false">
      <c r="A15" s="753" t="s">
        <v>730</v>
      </c>
      <c r="B15" s="754"/>
      <c r="C15" s="754"/>
      <c r="D15" s="754"/>
      <c r="E15" s="754"/>
      <c r="F15" s="754" t="n">
        <v>1341885</v>
      </c>
      <c r="G15" s="754"/>
      <c r="H15" s="754"/>
      <c r="I15" s="754"/>
      <c r="J15" s="754"/>
      <c r="K15" s="754"/>
      <c r="L15" s="754"/>
      <c r="M15" s="754"/>
      <c r="N15" s="754"/>
      <c r="O15" s="754"/>
      <c r="P15" s="754" t="n">
        <v>-1341885</v>
      </c>
      <c r="Q15" s="754"/>
      <c r="R15" s="754"/>
      <c r="S15" s="754"/>
      <c r="T15" s="754" t="n">
        <v>0</v>
      </c>
    </row>
    <row r="16" customFormat="false" ht="12.8" hidden="false" customHeight="false" outlineLevel="0" collapsed="false">
      <c r="B16" s="755"/>
      <c r="C16" s="755"/>
      <c r="D16" s="755"/>
      <c r="E16" s="755"/>
      <c r="F16" s="755"/>
      <c r="G16" s="755"/>
      <c r="H16" s="755"/>
      <c r="I16" s="755"/>
      <c r="J16" s="755"/>
      <c r="K16" s="755"/>
      <c r="L16" s="755"/>
      <c r="M16" s="755"/>
      <c r="N16" s="755"/>
      <c r="O16" s="755"/>
      <c r="P16" s="755"/>
      <c r="Q16" s="755"/>
      <c r="R16" s="755"/>
      <c r="S16" s="755"/>
      <c r="T16" s="755"/>
    </row>
    <row r="17" customFormat="false" ht="12.8" hidden="false" customHeight="false" outlineLevel="0" collapsed="false">
      <c r="A17" s="753" t="s">
        <v>731</v>
      </c>
      <c r="B17" s="756"/>
      <c r="C17" s="756"/>
      <c r="D17" s="754"/>
      <c r="E17" s="754"/>
      <c r="F17" s="754"/>
      <c r="G17" s="754"/>
      <c r="H17" s="754"/>
      <c r="I17" s="754"/>
      <c r="J17" s="754" t="n">
        <v>-495802</v>
      </c>
      <c r="K17" s="754"/>
      <c r="L17" s="754"/>
      <c r="M17" s="754"/>
      <c r="N17" s="754"/>
      <c r="O17" s="754"/>
      <c r="P17" s="754" t="n">
        <v>7742390</v>
      </c>
      <c r="Q17" s="754"/>
      <c r="R17" s="754" t="n">
        <v>391648</v>
      </c>
      <c r="S17" s="754"/>
      <c r="T17" s="754" t="n">
        <v>7638236</v>
      </c>
    </row>
    <row r="18" customFormat="false" ht="12.8" hidden="false" customHeight="false" outlineLevel="0" collapsed="false">
      <c r="B18" s="755"/>
      <c r="C18" s="755"/>
      <c r="D18" s="755"/>
      <c r="E18" s="755"/>
      <c r="F18" s="755"/>
      <c r="G18" s="755"/>
      <c r="H18" s="755"/>
      <c r="I18" s="755"/>
      <c r="J18" s="755"/>
      <c r="K18" s="755"/>
      <c r="L18" s="755"/>
      <c r="M18" s="755"/>
      <c r="N18" s="755"/>
      <c r="O18" s="755"/>
      <c r="P18" s="755"/>
      <c r="Q18" s="755"/>
      <c r="R18" s="755"/>
      <c r="S18" s="755"/>
      <c r="T18" s="755"/>
    </row>
    <row r="19" customFormat="false" ht="12.8" hidden="false" customHeight="false" outlineLevel="0" collapsed="false">
      <c r="A19" s="753" t="s">
        <v>197</v>
      </c>
      <c r="B19" s="752" t="n">
        <v>23879352</v>
      </c>
      <c r="C19" s="752"/>
      <c r="D19" s="752" t="n">
        <v>705936</v>
      </c>
      <c r="E19" s="752"/>
      <c r="F19" s="752" t="n">
        <v>3982138</v>
      </c>
      <c r="G19" s="752"/>
      <c r="H19" s="752" t="n">
        <v>34797</v>
      </c>
      <c r="I19" s="752"/>
      <c r="J19" s="754" t="n">
        <v>-495802</v>
      </c>
      <c r="K19" s="754"/>
      <c r="L19" s="752" t="n">
        <v>227072</v>
      </c>
      <c r="M19" s="752"/>
      <c r="N19" s="754" t="n">
        <v>-3202431</v>
      </c>
      <c r="O19" s="754"/>
      <c r="P19" s="752" t="n">
        <v>38403819</v>
      </c>
      <c r="Q19" s="752"/>
      <c r="R19" s="752" t="n">
        <v>11161266</v>
      </c>
      <c r="S19" s="752"/>
      <c r="T19" s="752" t="n">
        <v>74696147</v>
      </c>
      <c r="U19" s="757"/>
    </row>
    <row r="20" customFormat="false" ht="12.8" hidden="false" customHeight="false" outlineLevel="0" collapsed="false">
      <c r="A20" s="758"/>
      <c r="B20" s="758"/>
      <c r="C20" s="758"/>
      <c r="D20" s="758"/>
      <c r="E20" s="758"/>
      <c r="F20" s="758"/>
      <c r="G20" s="758"/>
      <c r="H20" s="758"/>
      <c r="I20" s="758"/>
      <c r="J20" s="758"/>
      <c r="K20" s="758"/>
      <c r="L20" s="758"/>
      <c r="M20" s="758"/>
      <c r="N20" s="758"/>
      <c r="O20" s="758"/>
      <c r="P20" s="758"/>
      <c r="Q20" s="758"/>
      <c r="R20" s="758"/>
      <c r="S20" s="758"/>
      <c r="T20" s="758"/>
    </row>
    <row r="21" customFormat="false" ht="22.35" hidden="false" customHeight="false" outlineLevel="0" collapsed="false">
      <c r="A21" s="759" t="s">
        <v>732</v>
      </c>
      <c r="B21" s="754" t="n">
        <v>6127345</v>
      </c>
      <c r="C21" s="754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 t="n">
        <v>-6127345</v>
      </c>
      <c r="Q21" s="760"/>
      <c r="R21" s="760" t="n">
        <v>0</v>
      </c>
      <c r="S21" s="760"/>
      <c r="T21" s="760" t="n">
        <v>0</v>
      </c>
    </row>
    <row r="22" customFormat="false" ht="12.8" hidden="false" customHeight="false" outlineLevel="0" collapsed="false">
      <c r="A22" s="758"/>
      <c r="B22" s="758"/>
      <c r="C22" s="758"/>
      <c r="D22" s="758"/>
      <c r="E22" s="758"/>
      <c r="F22" s="758"/>
      <c r="G22" s="758"/>
      <c r="H22" s="758"/>
      <c r="I22" s="758"/>
      <c r="J22" s="758"/>
      <c r="K22" s="758"/>
      <c r="L22" s="758"/>
      <c r="M22" s="758"/>
      <c r="N22" s="758"/>
      <c r="O22" s="758"/>
      <c r="P22" s="758"/>
      <c r="Q22" s="758"/>
      <c r="R22" s="758"/>
      <c r="S22" s="758"/>
      <c r="T22" s="758"/>
    </row>
    <row r="23" customFormat="false" ht="12.8" hidden="false" customHeight="false" outlineLevel="0" collapsed="false">
      <c r="A23" s="753" t="s">
        <v>733</v>
      </c>
      <c r="B23" s="756"/>
      <c r="C23" s="756"/>
      <c r="D23" s="754"/>
      <c r="E23" s="754"/>
      <c r="F23" s="754" t="n">
        <v>680816</v>
      </c>
      <c r="G23" s="754"/>
      <c r="H23" s="754"/>
      <c r="I23" s="754"/>
      <c r="J23" s="754"/>
      <c r="K23" s="754"/>
      <c r="L23" s="754"/>
      <c r="M23" s="754"/>
      <c r="N23" s="754"/>
      <c r="O23" s="754"/>
      <c r="P23" s="754" t="n">
        <v>-680816</v>
      </c>
      <c r="Q23" s="754"/>
      <c r="R23" s="754" t="n">
        <v>0</v>
      </c>
      <c r="S23" s="754"/>
      <c r="T23" s="760" t="n">
        <v>0</v>
      </c>
    </row>
    <row r="24" customFormat="false" ht="12.8" hidden="false" customHeight="false" outlineLevel="0" collapsed="false">
      <c r="B24" s="754"/>
      <c r="C24" s="754"/>
      <c r="D24" s="754"/>
      <c r="E24" s="754"/>
      <c r="F24" s="756"/>
      <c r="G24" s="756"/>
      <c r="H24" s="756"/>
      <c r="I24" s="756"/>
      <c r="J24" s="756"/>
      <c r="K24" s="756"/>
      <c r="L24" s="756"/>
      <c r="M24" s="756"/>
      <c r="N24" s="756"/>
      <c r="O24" s="756"/>
      <c r="P24" s="756"/>
      <c r="Q24" s="756"/>
      <c r="R24" s="752"/>
      <c r="S24" s="752"/>
      <c r="T24" s="752"/>
    </row>
    <row r="25" customFormat="false" ht="12.8" hidden="false" customHeight="false" outlineLevel="0" collapsed="false">
      <c r="A25" s="753" t="s">
        <v>674</v>
      </c>
      <c r="B25" s="756"/>
      <c r="C25" s="756"/>
      <c r="D25" s="754"/>
      <c r="E25" s="754"/>
      <c r="F25" s="754"/>
      <c r="G25" s="754"/>
      <c r="H25" s="754"/>
      <c r="I25" s="754"/>
      <c r="J25" s="754"/>
      <c r="K25" s="754"/>
      <c r="L25" s="754"/>
      <c r="M25" s="754"/>
      <c r="N25" s="754"/>
      <c r="O25" s="754"/>
      <c r="P25" s="754" t="n">
        <v>446968</v>
      </c>
      <c r="Q25" s="754"/>
      <c r="R25" s="754" t="n">
        <v>0</v>
      </c>
      <c r="S25" s="754"/>
      <c r="T25" s="760" t="n">
        <v>446968</v>
      </c>
    </row>
    <row r="26" customFormat="false" ht="12.8" hidden="false" customHeight="false" outlineLevel="0" collapsed="false">
      <c r="B26" s="754"/>
      <c r="C26" s="754"/>
      <c r="D26" s="754"/>
      <c r="E26" s="754"/>
      <c r="F26" s="756"/>
      <c r="G26" s="756"/>
      <c r="H26" s="756"/>
      <c r="I26" s="756"/>
      <c r="J26" s="756"/>
      <c r="K26" s="756"/>
      <c r="L26" s="756"/>
      <c r="M26" s="756"/>
      <c r="N26" s="756"/>
      <c r="O26" s="756"/>
      <c r="P26" s="756"/>
      <c r="Q26" s="756"/>
      <c r="R26" s="752"/>
      <c r="S26" s="752"/>
      <c r="T26" s="752"/>
    </row>
    <row r="27" customFormat="false" ht="43.25" hidden="false" customHeight="false" outlineLevel="0" collapsed="false">
      <c r="A27" s="759" t="s">
        <v>734</v>
      </c>
      <c r="B27" s="756"/>
      <c r="C27" s="756"/>
      <c r="D27" s="754" t="n">
        <v>-705015</v>
      </c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4"/>
      <c r="P27" s="754"/>
      <c r="Q27" s="754"/>
      <c r="R27" s="754" t="n">
        <v>0</v>
      </c>
      <c r="S27" s="754"/>
      <c r="T27" s="760" t="n">
        <v>-705015</v>
      </c>
    </row>
    <row r="28" customFormat="false" ht="12.8" hidden="false" customHeight="false" outlineLevel="0" collapsed="false">
      <c r="A28" s="759"/>
      <c r="B28" s="754"/>
      <c r="C28" s="754"/>
      <c r="D28" s="754"/>
      <c r="E28" s="754"/>
      <c r="F28" s="756"/>
      <c r="G28" s="756"/>
      <c r="H28" s="756"/>
      <c r="I28" s="756"/>
      <c r="J28" s="756"/>
      <c r="K28" s="756"/>
      <c r="L28" s="756"/>
      <c r="M28" s="756"/>
      <c r="N28" s="756"/>
      <c r="O28" s="756"/>
      <c r="P28" s="756"/>
      <c r="Q28" s="756"/>
      <c r="R28" s="752"/>
      <c r="S28" s="752"/>
      <c r="T28" s="752"/>
    </row>
    <row r="29" customFormat="false" ht="12.8" hidden="false" customHeight="false" outlineLevel="0" collapsed="false">
      <c r="A29" s="759" t="s">
        <v>731</v>
      </c>
      <c r="B29" s="754"/>
      <c r="C29" s="754"/>
      <c r="D29" s="754"/>
      <c r="E29" s="754"/>
      <c r="F29" s="754"/>
      <c r="G29" s="754"/>
      <c r="H29" s="754"/>
      <c r="I29" s="754"/>
      <c r="J29" s="754" t="n">
        <v>1849659</v>
      </c>
      <c r="K29" s="754"/>
      <c r="L29" s="754"/>
      <c r="M29" s="754"/>
      <c r="N29" s="754"/>
      <c r="O29" s="754"/>
      <c r="P29" s="754" t="n">
        <v>4597812.99522262</v>
      </c>
      <c r="Q29" s="754"/>
      <c r="R29" s="754" t="n">
        <v>-560218.945222625</v>
      </c>
      <c r="S29" s="754"/>
      <c r="T29" s="760" t="n">
        <v>5887253.05</v>
      </c>
    </row>
    <row r="30" customFormat="false" ht="12.8" hidden="false" customHeight="false" outlineLevel="0" collapsed="false">
      <c r="A30" s="759"/>
      <c r="B30" s="755"/>
      <c r="C30" s="755"/>
      <c r="D30" s="755"/>
      <c r="E30" s="755"/>
      <c r="F30" s="755"/>
      <c r="G30" s="755"/>
      <c r="H30" s="755"/>
      <c r="I30" s="755"/>
      <c r="J30" s="755"/>
      <c r="K30" s="755"/>
      <c r="L30" s="755"/>
      <c r="M30" s="755"/>
      <c r="N30" s="755"/>
      <c r="O30" s="755"/>
      <c r="P30" s="755"/>
      <c r="Q30" s="755"/>
      <c r="R30" s="755"/>
      <c r="S30" s="755"/>
      <c r="T30" s="755"/>
    </row>
    <row r="31" customFormat="false" ht="12.8" hidden="false" customHeight="false" outlineLevel="0" collapsed="false">
      <c r="A31" s="759" t="s">
        <v>735</v>
      </c>
      <c r="B31" s="754" t="n">
        <v>30006697</v>
      </c>
      <c r="C31" s="754"/>
      <c r="D31" s="754" t="n">
        <v>921</v>
      </c>
      <c r="E31" s="754"/>
      <c r="F31" s="754" t="n">
        <v>4662954</v>
      </c>
      <c r="G31" s="754"/>
      <c r="H31" s="754" t="n">
        <v>34797</v>
      </c>
      <c r="I31" s="754"/>
      <c r="J31" s="754" t="n">
        <v>1353857</v>
      </c>
      <c r="K31" s="754"/>
      <c r="L31" s="754" t="n">
        <v>227072</v>
      </c>
      <c r="M31" s="754"/>
      <c r="N31" s="754" t="n">
        <v>-3202431</v>
      </c>
      <c r="O31" s="754"/>
      <c r="P31" s="752" t="n">
        <v>36640438.9952226</v>
      </c>
      <c r="Q31" s="752"/>
      <c r="R31" s="752" t="n">
        <v>10601047.0547774</v>
      </c>
      <c r="S31" s="752"/>
      <c r="T31" s="752" t="n">
        <v>80325353.05</v>
      </c>
    </row>
    <row r="32" customFormat="false" ht="12.8" hidden="false" customHeight="false" outlineLevel="0" collapsed="false">
      <c r="A32" s="759"/>
      <c r="B32" s="754"/>
      <c r="C32" s="754"/>
      <c r="D32" s="754"/>
      <c r="E32" s="754"/>
      <c r="F32" s="754"/>
      <c r="G32" s="754"/>
      <c r="H32" s="754"/>
      <c r="I32" s="754"/>
      <c r="J32" s="754"/>
      <c r="K32" s="754"/>
      <c r="L32" s="754"/>
      <c r="M32" s="754"/>
      <c r="N32" s="754"/>
      <c r="O32" s="754"/>
      <c r="P32" s="752"/>
      <c r="Q32" s="752"/>
      <c r="R32" s="752"/>
      <c r="S32" s="752"/>
      <c r="T32" s="752"/>
    </row>
    <row r="33" customFormat="false" ht="12.8" hidden="false" customHeight="false" outlineLevel="0" collapsed="false">
      <c r="A33" s="759" t="s">
        <v>736</v>
      </c>
      <c r="B33" s="761"/>
      <c r="C33" s="761"/>
      <c r="D33" s="761"/>
      <c r="E33" s="761"/>
      <c r="F33" s="761"/>
      <c r="G33" s="761"/>
      <c r="H33" s="761"/>
      <c r="I33" s="761"/>
      <c r="J33" s="761"/>
      <c r="K33" s="761"/>
      <c r="L33" s="761"/>
      <c r="M33" s="761"/>
      <c r="N33" s="761"/>
      <c r="O33" s="761"/>
      <c r="P33" s="761" t="n">
        <v>854455</v>
      </c>
      <c r="Q33" s="761"/>
      <c r="R33" s="761"/>
      <c r="S33" s="761"/>
      <c r="T33" s="761" t="n">
        <v>854455</v>
      </c>
    </row>
    <row r="34" customFormat="false" ht="3" hidden="false" customHeight="true" outlineLevel="0" collapsed="false">
      <c r="A34" s="759"/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</row>
    <row r="35" customFormat="false" ht="32.8" hidden="false" customHeight="false" outlineLevel="0" collapsed="false">
      <c r="A35" s="759" t="s">
        <v>737</v>
      </c>
      <c r="B35" s="761" t="n">
        <v>5035990</v>
      </c>
      <c r="C35" s="761"/>
      <c r="D35" s="761"/>
      <c r="E35" s="761"/>
      <c r="F35" s="761"/>
      <c r="G35" s="761"/>
      <c r="H35" s="761"/>
      <c r="I35" s="761"/>
      <c r="J35" s="761"/>
      <c r="K35" s="761"/>
      <c r="L35" s="761"/>
      <c r="M35" s="761"/>
      <c r="N35" s="761"/>
      <c r="O35" s="761"/>
      <c r="P35" s="761" t="n">
        <v>-5035990</v>
      </c>
      <c r="Q35" s="761"/>
      <c r="R35" s="761"/>
      <c r="S35" s="761"/>
      <c r="T35" s="761" t="n">
        <v>0</v>
      </c>
    </row>
    <row r="36" customFormat="false" ht="3" hidden="false" customHeight="true" outlineLevel="0" collapsed="false">
      <c r="A36" s="759"/>
      <c r="B36" s="761"/>
      <c r="C36" s="761"/>
      <c r="D36" s="761"/>
      <c r="E36" s="761"/>
      <c r="F36" s="761"/>
      <c r="G36" s="761"/>
      <c r="H36" s="761"/>
      <c r="I36" s="761"/>
      <c r="J36" s="761"/>
      <c r="K36" s="761"/>
      <c r="L36" s="761"/>
      <c r="M36" s="761"/>
      <c r="N36" s="761"/>
      <c r="O36" s="761"/>
      <c r="P36" s="761"/>
      <c r="Q36" s="761"/>
      <c r="R36" s="761"/>
      <c r="S36" s="761"/>
      <c r="T36" s="761"/>
    </row>
    <row r="37" customFormat="false" ht="22.35" hidden="false" customHeight="false" outlineLevel="0" collapsed="false">
      <c r="A37" s="759" t="s">
        <v>738</v>
      </c>
      <c r="B37" s="761"/>
      <c r="C37" s="761"/>
      <c r="D37" s="761"/>
      <c r="E37" s="761"/>
      <c r="F37" s="761"/>
      <c r="G37" s="761"/>
      <c r="H37" s="761"/>
      <c r="I37" s="761"/>
      <c r="J37" s="761"/>
      <c r="K37" s="761"/>
      <c r="L37" s="761"/>
      <c r="M37" s="761"/>
      <c r="N37" s="761"/>
      <c r="O37" s="761"/>
      <c r="P37" s="761"/>
      <c r="Q37" s="761"/>
      <c r="R37" s="761" t="n">
        <v>-1560840</v>
      </c>
      <c r="S37" s="761"/>
      <c r="T37" s="761" t="n">
        <v>-1560840</v>
      </c>
    </row>
    <row r="38" customFormat="false" ht="3" hidden="false" customHeight="true" outlineLevel="0" collapsed="false">
      <c r="A38" s="759"/>
      <c r="B38" s="761"/>
      <c r="C38" s="761"/>
      <c r="D38" s="761"/>
      <c r="E38" s="761"/>
      <c r="F38" s="761"/>
      <c r="G38" s="761"/>
      <c r="H38" s="761"/>
      <c r="I38" s="761"/>
      <c r="J38" s="761"/>
      <c r="K38" s="761"/>
      <c r="L38" s="761"/>
      <c r="M38" s="761"/>
      <c r="N38" s="761"/>
      <c r="O38" s="761"/>
      <c r="P38" s="761"/>
      <c r="Q38" s="761"/>
      <c r="R38" s="761"/>
      <c r="S38" s="761"/>
      <c r="T38" s="761"/>
    </row>
    <row r="39" customFormat="false" ht="12.8" hidden="false" customHeight="false" outlineLevel="0" collapsed="false">
      <c r="A39" s="759" t="s">
        <v>733</v>
      </c>
      <c r="B39" s="761"/>
      <c r="C39" s="761"/>
      <c r="D39" s="761"/>
      <c r="E39" s="761"/>
      <c r="F39" s="761" t="n">
        <v>559554.56</v>
      </c>
      <c r="G39" s="761"/>
      <c r="H39" s="761"/>
      <c r="I39" s="761"/>
      <c r="J39" s="761"/>
      <c r="K39" s="761"/>
      <c r="L39" s="761"/>
      <c r="M39" s="761"/>
      <c r="N39" s="761"/>
      <c r="O39" s="761"/>
      <c r="P39" s="761" t="n">
        <v>-559554.56</v>
      </c>
      <c r="Q39" s="761"/>
      <c r="R39" s="761"/>
      <c r="S39" s="761"/>
      <c r="T39" s="761" t="n">
        <v>0</v>
      </c>
    </row>
    <row r="40" customFormat="false" ht="3" hidden="false" customHeight="true" outlineLevel="0" collapsed="false">
      <c r="A40" s="759"/>
      <c r="B40" s="761"/>
      <c r="C40" s="761"/>
      <c r="D40" s="761"/>
      <c r="E40" s="761"/>
      <c r="F40" s="761"/>
      <c r="G40" s="761"/>
      <c r="H40" s="761"/>
      <c r="I40" s="761"/>
      <c r="J40" s="761"/>
      <c r="K40" s="761"/>
      <c r="L40" s="761"/>
      <c r="M40" s="761"/>
      <c r="N40" s="761"/>
      <c r="O40" s="761"/>
      <c r="P40" s="761"/>
      <c r="Q40" s="761"/>
      <c r="R40" s="761"/>
      <c r="S40" s="761"/>
      <c r="T40" s="761"/>
    </row>
    <row r="41" customFormat="false" ht="32.8" hidden="false" customHeight="false" outlineLevel="0" collapsed="false">
      <c r="A41" s="759" t="s">
        <v>739</v>
      </c>
      <c r="B41" s="761"/>
      <c r="C41" s="761"/>
      <c r="D41" s="761"/>
      <c r="E41" s="761"/>
      <c r="F41" s="761"/>
      <c r="G41" s="761"/>
      <c r="H41" s="761"/>
      <c r="I41" s="761"/>
      <c r="J41" s="761"/>
      <c r="K41" s="761"/>
      <c r="L41" s="761"/>
      <c r="M41" s="761"/>
      <c r="N41" s="761"/>
      <c r="O41" s="761"/>
      <c r="P41" s="761" t="n">
        <v>-1644668.365</v>
      </c>
      <c r="Q41" s="761"/>
      <c r="R41" s="761" t="n">
        <v>-341647.635</v>
      </c>
      <c r="S41" s="761"/>
      <c r="T41" s="761" t="n">
        <v>-1986316</v>
      </c>
    </row>
    <row r="42" customFormat="false" ht="3" hidden="false" customHeight="true" outlineLevel="0" collapsed="false">
      <c r="A42" s="759"/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</row>
    <row r="43" customFormat="false" ht="12.8" hidden="false" customHeight="false" outlineLevel="0" collapsed="false">
      <c r="A43" s="759" t="s">
        <v>740</v>
      </c>
      <c r="B43" s="761"/>
      <c r="C43" s="761"/>
      <c r="D43" s="761"/>
      <c r="E43" s="761"/>
      <c r="F43" s="761"/>
      <c r="G43" s="761"/>
      <c r="H43" s="761"/>
      <c r="I43" s="761"/>
      <c r="J43" s="761"/>
      <c r="K43" s="761"/>
      <c r="L43" s="761"/>
      <c r="M43" s="761"/>
      <c r="N43" s="761"/>
      <c r="O43" s="761"/>
      <c r="P43" s="761" t="n">
        <v>368434</v>
      </c>
      <c r="Q43" s="761"/>
      <c r="R43" s="761"/>
      <c r="S43" s="761"/>
      <c r="T43" s="761" t="n">
        <v>368434</v>
      </c>
    </row>
    <row r="44" customFormat="false" ht="3" hidden="false" customHeight="true" outlineLevel="0" collapsed="false">
      <c r="A44" s="759"/>
      <c r="B44" s="761"/>
      <c r="C44" s="761"/>
      <c r="D44" s="761"/>
      <c r="E44" s="761"/>
      <c r="F44" s="761"/>
      <c r="G44" s="761"/>
      <c r="H44" s="761"/>
      <c r="I44" s="761"/>
      <c r="J44" s="761"/>
      <c r="K44" s="761"/>
      <c r="L44" s="761"/>
      <c r="M44" s="761"/>
      <c r="N44" s="761"/>
      <c r="O44" s="761"/>
      <c r="P44" s="761"/>
      <c r="Q44" s="761"/>
      <c r="R44" s="761"/>
      <c r="S44" s="761"/>
      <c r="T44" s="761"/>
    </row>
    <row r="45" customFormat="false" ht="12.8" hidden="false" customHeight="false" outlineLevel="0" collapsed="false">
      <c r="A45" s="759" t="s">
        <v>731</v>
      </c>
      <c r="B45" s="761"/>
      <c r="C45" s="761"/>
      <c r="D45" s="761"/>
      <c r="E45" s="761"/>
      <c r="F45" s="761"/>
      <c r="G45" s="761"/>
      <c r="H45" s="761"/>
      <c r="I45" s="761"/>
      <c r="J45" s="761" t="n">
        <v>70086</v>
      </c>
      <c r="K45" s="761"/>
      <c r="L45" s="761"/>
      <c r="M45" s="761"/>
      <c r="N45" s="761"/>
      <c r="O45" s="761"/>
      <c r="P45" s="761" t="n">
        <v>5932145</v>
      </c>
      <c r="Q45" s="761"/>
      <c r="R45" s="761" t="n">
        <v>-1025167</v>
      </c>
      <c r="S45" s="761"/>
      <c r="T45" s="761" t="n">
        <v>4977064</v>
      </c>
    </row>
    <row r="46" customFormat="false" ht="12.8" hidden="false" customHeight="false" outlineLevel="0" collapsed="false">
      <c r="A46" s="759"/>
      <c r="B46" s="761"/>
      <c r="C46" s="761"/>
      <c r="D46" s="761"/>
      <c r="E46" s="761"/>
      <c r="F46" s="761"/>
      <c r="G46" s="761"/>
      <c r="H46" s="761"/>
      <c r="I46" s="761"/>
      <c r="J46" s="761"/>
      <c r="K46" s="761"/>
      <c r="L46" s="761"/>
      <c r="M46" s="761"/>
      <c r="N46" s="761"/>
      <c r="O46" s="761"/>
      <c r="P46" s="761"/>
      <c r="Q46" s="761"/>
      <c r="R46" s="761"/>
      <c r="S46" s="761"/>
      <c r="T46" s="761"/>
    </row>
    <row r="47" customFormat="false" ht="12.8" hidden="false" customHeight="false" outlineLevel="0" collapsed="false">
      <c r="A47" s="759" t="s">
        <v>741</v>
      </c>
      <c r="B47" s="762" t="n">
        <v>35042687</v>
      </c>
      <c r="C47" s="763"/>
      <c r="D47" s="762" t="n">
        <v>921</v>
      </c>
      <c r="E47" s="763"/>
      <c r="F47" s="762" t="n">
        <v>5222508.56</v>
      </c>
      <c r="G47" s="763"/>
      <c r="H47" s="762" t="n">
        <v>34797</v>
      </c>
      <c r="I47" s="763"/>
      <c r="J47" s="762" t="n">
        <v>1423943</v>
      </c>
      <c r="K47" s="763"/>
      <c r="L47" s="762" t="n">
        <v>227072</v>
      </c>
      <c r="M47" s="763"/>
      <c r="N47" s="762" t="n">
        <v>-3202431</v>
      </c>
      <c r="O47" s="763"/>
      <c r="P47" s="762" t="n">
        <v>36555260.0702226</v>
      </c>
      <c r="Q47" s="763"/>
      <c r="R47" s="762" t="n">
        <v>7673392.41977738</v>
      </c>
      <c r="S47" s="763"/>
      <c r="T47" s="762" t="n">
        <v>82978150.05</v>
      </c>
      <c r="U47" s="753"/>
      <c r="V47" s="753"/>
      <c r="W47" s="753"/>
    </row>
    <row r="48" customFormat="false" ht="12.8" hidden="false" customHeight="false" outlineLevel="0" collapsed="false">
      <c r="B48" s="755"/>
      <c r="C48" s="755"/>
      <c r="D48" s="755"/>
      <c r="E48" s="755"/>
      <c r="F48" s="755"/>
      <c r="G48" s="755"/>
      <c r="H48" s="755"/>
      <c r="I48" s="755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</row>
    <row r="49" customFormat="false" ht="12.8" hidden="false" customHeight="false" outlineLevel="0" collapsed="false">
      <c r="A49" s="743" t="s">
        <v>742</v>
      </c>
      <c r="B49" s="755"/>
      <c r="C49" s="755"/>
      <c r="D49" s="755"/>
      <c r="E49" s="755"/>
      <c r="F49" s="755"/>
      <c r="G49" s="755"/>
      <c r="H49" s="755"/>
      <c r="I49" s="755"/>
      <c r="J49" s="764"/>
      <c r="K49" s="764"/>
      <c r="L49" s="764"/>
      <c r="M49" s="764"/>
      <c r="N49" s="764"/>
      <c r="O49" s="764"/>
      <c r="P49" s="765" t="n">
        <v>-1770198</v>
      </c>
      <c r="Q49" s="765"/>
      <c r="R49" s="764"/>
      <c r="S49" s="764"/>
      <c r="T49" s="766" t="n">
        <v>-1770198</v>
      </c>
    </row>
    <row r="50" customFormat="false" ht="3" hidden="false" customHeight="true" outlineLevel="0" collapsed="false">
      <c r="B50" s="755"/>
      <c r="C50" s="755"/>
      <c r="D50" s="755"/>
      <c r="E50" s="755"/>
      <c r="F50" s="755"/>
      <c r="G50" s="755"/>
      <c r="H50" s="755"/>
      <c r="I50" s="755"/>
      <c r="J50" s="764"/>
      <c r="K50" s="764"/>
      <c r="L50" s="764"/>
      <c r="M50" s="764"/>
      <c r="N50" s="764"/>
      <c r="O50" s="764"/>
      <c r="P50" s="765"/>
      <c r="Q50" s="765"/>
      <c r="R50" s="764"/>
      <c r="S50" s="764"/>
      <c r="T50" s="766"/>
    </row>
    <row r="51" customFormat="false" ht="22.35" hidden="false" customHeight="false" outlineLevel="0" collapsed="false">
      <c r="A51" s="759" t="s">
        <v>743</v>
      </c>
      <c r="B51" s="761" t="n">
        <v>8215675</v>
      </c>
      <c r="C51" s="761"/>
      <c r="D51" s="761"/>
      <c r="E51" s="761"/>
      <c r="F51" s="761"/>
      <c r="G51" s="761"/>
      <c r="H51" s="761"/>
      <c r="I51" s="761"/>
      <c r="J51" s="766"/>
      <c r="K51" s="766"/>
      <c r="L51" s="766"/>
      <c r="M51" s="766"/>
      <c r="N51" s="766"/>
      <c r="O51" s="766"/>
      <c r="P51" s="766" t="n">
        <v>-8215675</v>
      </c>
      <c r="Q51" s="766"/>
      <c r="R51" s="766"/>
      <c r="S51" s="766"/>
      <c r="T51" s="766" t="n">
        <v>0</v>
      </c>
    </row>
    <row r="52" customFormat="false" ht="3" hidden="false" customHeight="true" outlineLevel="0" collapsed="false">
      <c r="A52" s="759"/>
      <c r="B52" s="761"/>
      <c r="C52" s="761"/>
      <c r="D52" s="761"/>
      <c r="E52" s="761"/>
      <c r="F52" s="761"/>
      <c r="G52" s="761"/>
      <c r="H52" s="761"/>
      <c r="I52" s="761"/>
      <c r="J52" s="766"/>
      <c r="K52" s="766"/>
      <c r="L52" s="766"/>
      <c r="M52" s="766"/>
      <c r="N52" s="766"/>
      <c r="O52" s="766"/>
      <c r="P52" s="766"/>
      <c r="Q52" s="766"/>
      <c r="R52" s="766"/>
      <c r="S52" s="766"/>
      <c r="T52" s="766"/>
    </row>
    <row r="53" customFormat="false" ht="12.8" hidden="false" customHeight="false" outlineLevel="0" collapsed="false">
      <c r="A53" s="759" t="s">
        <v>744</v>
      </c>
      <c r="B53" s="761"/>
      <c r="C53" s="761"/>
      <c r="D53" s="755"/>
      <c r="E53" s="755"/>
      <c r="F53" s="761"/>
      <c r="G53" s="761"/>
      <c r="H53" s="761"/>
      <c r="I53" s="761"/>
      <c r="J53" s="766"/>
      <c r="K53" s="766"/>
      <c r="L53" s="766"/>
      <c r="M53" s="766"/>
      <c r="N53" s="766"/>
      <c r="O53" s="766"/>
      <c r="P53" s="766"/>
      <c r="Q53" s="766"/>
      <c r="R53" s="766" t="n">
        <v>1188714</v>
      </c>
      <c r="S53" s="766"/>
      <c r="T53" s="766" t="n">
        <v>1188714</v>
      </c>
      <c r="U53" s="767"/>
    </row>
    <row r="54" customFormat="false" ht="3" hidden="false" customHeight="true" outlineLevel="0" collapsed="false">
      <c r="A54" s="759"/>
      <c r="B54" s="761"/>
      <c r="C54" s="761"/>
      <c r="D54" s="755"/>
      <c r="E54" s="755"/>
      <c r="F54" s="761"/>
      <c r="G54" s="761"/>
      <c r="H54" s="761"/>
      <c r="I54" s="761"/>
      <c r="J54" s="766"/>
      <c r="K54" s="766"/>
      <c r="L54" s="766"/>
      <c r="M54" s="766"/>
      <c r="N54" s="766"/>
      <c r="O54" s="766"/>
      <c r="P54" s="766"/>
      <c r="Q54" s="766"/>
      <c r="R54" s="766"/>
      <c r="S54" s="766"/>
      <c r="T54" s="766"/>
      <c r="U54" s="767"/>
    </row>
    <row r="55" customFormat="false" ht="22.35" hidden="false" customHeight="false" outlineLevel="0" collapsed="false">
      <c r="A55" s="759" t="s">
        <v>745</v>
      </c>
      <c r="B55" s="761" t="n">
        <v>-6115000</v>
      </c>
      <c r="C55" s="761"/>
      <c r="D55" s="761" t="n">
        <v>6115000</v>
      </c>
      <c r="E55" s="761"/>
      <c r="F55" s="761"/>
      <c r="G55" s="761"/>
      <c r="H55" s="761"/>
      <c r="I55" s="761"/>
      <c r="J55" s="766"/>
      <c r="K55" s="766"/>
      <c r="L55" s="766"/>
      <c r="M55" s="766"/>
      <c r="N55" s="766"/>
      <c r="O55" s="766"/>
      <c r="P55" s="766"/>
      <c r="Q55" s="766"/>
      <c r="S55" s="766"/>
      <c r="T55" s="766" t="n">
        <v>0</v>
      </c>
    </row>
    <row r="56" customFormat="false" ht="3" hidden="false" customHeight="true" outlineLevel="0" collapsed="false">
      <c r="A56" s="759"/>
      <c r="B56" s="761"/>
      <c r="C56" s="761"/>
      <c r="D56" s="761"/>
      <c r="E56" s="761"/>
      <c r="F56" s="761"/>
      <c r="G56" s="761"/>
      <c r="H56" s="761"/>
      <c r="I56" s="761"/>
      <c r="J56" s="766"/>
      <c r="K56" s="766"/>
      <c r="L56" s="766"/>
      <c r="M56" s="766"/>
      <c r="N56" s="766"/>
      <c r="O56" s="766"/>
      <c r="P56" s="766"/>
      <c r="Q56" s="766"/>
      <c r="R56" s="766"/>
      <c r="S56" s="766"/>
      <c r="T56" s="766"/>
    </row>
    <row r="57" customFormat="false" ht="22.35" hidden="false" customHeight="false" outlineLevel="0" collapsed="false">
      <c r="A57" s="759" t="s">
        <v>746</v>
      </c>
      <c r="B57" s="755"/>
      <c r="C57" s="755"/>
      <c r="D57" s="761"/>
      <c r="E57" s="761"/>
      <c r="F57" s="761"/>
      <c r="G57" s="761"/>
      <c r="H57" s="761"/>
      <c r="I57" s="761"/>
      <c r="J57" s="766"/>
      <c r="K57" s="766"/>
      <c r="L57" s="766"/>
      <c r="M57" s="766"/>
      <c r="N57" s="766"/>
      <c r="O57" s="766"/>
      <c r="P57" s="766"/>
      <c r="Q57" s="766"/>
      <c r="R57" s="766"/>
      <c r="S57" s="766"/>
      <c r="T57" s="766"/>
    </row>
    <row r="58" customFormat="false" ht="3" hidden="false" customHeight="true" outlineLevel="0" collapsed="false">
      <c r="A58" s="759"/>
      <c r="B58" s="755"/>
      <c r="C58" s="755"/>
      <c r="D58" s="761"/>
      <c r="E58" s="761"/>
      <c r="F58" s="761"/>
      <c r="G58" s="761"/>
      <c r="H58" s="761"/>
      <c r="I58" s="761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</row>
    <row r="59" customFormat="false" ht="12.8" hidden="false" customHeight="false" outlineLevel="0" collapsed="false">
      <c r="A59" s="759" t="s">
        <v>747</v>
      </c>
      <c r="B59" s="755"/>
      <c r="C59" s="755"/>
      <c r="D59" s="761"/>
      <c r="E59" s="761"/>
      <c r="F59" s="761"/>
      <c r="G59" s="761"/>
      <c r="H59" s="761"/>
      <c r="I59" s="761"/>
      <c r="J59" s="766"/>
      <c r="K59" s="766"/>
      <c r="L59" s="766"/>
      <c r="M59" s="766"/>
      <c r="N59" s="766"/>
      <c r="O59" s="766"/>
      <c r="P59" s="766" t="n">
        <v>-5488035</v>
      </c>
      <c r="Q59" s="766"/>
      <c r="R59" s="766"/>
      <c r="S59" s="766"/>
      <c r="T59" s="766" t="n">
        <v>-5488035</v>
      </c>
    </row>
    <row r="60" customFormat="false" ht="3" hidden="false" customHeight="true" outlineLevel="0" collapsed="false">
      <c r="A60" s="759"/>
      <c r="B60" s="755"/>
      <c r="C60" s="755"/>
      <c r="D60" s="761"/>
      <c r="E60" s="761"/>
      <c r="F60" s="761"/>
      <c r="G60" s="761"/>
      <c r="H60" s="761"/>
      <c r="I60" s="761"/>
      <c r="J60" s="766"/>
      <c r="K60" s="766"/>
      <c r="L60" s="766"/>
      <c r="M60" s="766"/>
      <c r="N60" s="766"/>
      <c r="O60" s="766"/>
      <c r="P60" s="766"/>
      <c r="Q60" s="766"/>
      <c r="R60" s="766"/>
      <c r="S60" s="766"/>
      <c r="T60" s="766"/>
    </row>
    <row r="61" customFormat="false" ht="12.8" hidden="false" customHeight="false" outlineLevel="0" collapsed="false">
      <c r="A61" s="759" t="s">
        <v>748</v>
      </c>
      <c r="B61" s="761"/>
      <c r="C61" s="761"/>
      <c r="D61" s="761"/>
      <c r="E61" s="761"/>
      <c r="F61" s="761" t="n">
        <v>912853</v>
      </c>
      <c r="G61" s="761"/>
      <c r="H61" s="761"/>
      <c r="I61" s="761"/>
      <c r="J61" s="766"/>
      <c r="K61" s="766"/>
      <c r="L61" s="766"/>
      <c r="M61" s="766"/>
      <c r="N61" s="766"/>
      <c r="O61" s="766"/>
      <c r="P61" s="766" t="n">
        <v>-912853</v>
      </c>
      <c r="Q61" s="766"/>
      <c r="R61" s="766"/>
      <c r="S61" s="766"/>
      <c r="T61" s="766" t="n">
        <v>0</v>
      </c>
    </row>
    <row r="62" customFormat="false" ht="3" hidden="false" customHeight="true" outlineLevel="0" collapsed="false">
      <c r="A62" s="759"/>
      <c r="B62" s="761"/>
      <c r="C62" s="761"/>
      <c r="D62" s="761"/>
      <c r="E62" s="761"/>
      <c r="F62" s="761"/>
      <c r="G62" s="761"/>
      <c r="H62" s="761"/>
      <c r="I62" s="761"/>
      <c r="J62" s="766"/>
      <c r="K62" s="766"/>
      <c r="L62" s="766"/>
      <c r="M62" s="766"/>
      <c r="N62" s="766"/>
      <c r="O62" s="766"/>
      <c r="P62" s="766"/>
      <c r="Q62" s="766"/>
      <c r="R62" s="766"/>
      <c r="S62" s="766"/>
      <c r="T62" s="766"/>
    </row>
    <row r="63" customFormat="false" ht="22.35" hidden="false" customHeight="false" outlineLevel="0" collapsed="false">
      <c r="A63" s="759" t="s">
        <v>749</v>
      </c>
      <c r="B63" s="761" t="n">
        <v>0</v>
      </c>
      <c r="C63" s="761"/>
      <c r="D63" s="761"/>
      <c r="E63" s="761"/>
      <c r="F63" s="766" t="n">
        <v>0</v>
      </c>
      <c r="G63" s="766"/>
      <c r="H63" s="766"/>
      <c r="I63" s="766"/>
      <c r="J63" s="766"/>
      <c r="K63" s="766"/>
      <c r="L63" s="766" t="n">
        <v>0</v>
      </c>
      <c r="M63" s="766"/>
      <c r="N63" s="766"/>
      <c r="O63" s="766"/>
      <c r="P63" s="766" t="n">
        <v>221095</v>
      </c>
      <c r="Q63" s="766"/>
      <c r="R63" s="766" t="n">
        <v>0</v>
      </c>
      <c r="S63" s="766"/>
      <c r="T63" s="766" t="n">
        <v>221095</v>
      </c>
    </row>
    <row r="64" customFormat="false" ht="3" hidden="false" customHeight="true" outlineLevel="0" collapsed="false">
      <c r="A64" s="759"/>
      <c r="B64" s="761"/>
      <c r="C64" s="761"/>
      <c r="D64" s="761"/>
      <c r="E64" s="761"/>
      <c r="F64" s="766"/>
      <c r="G64" s="766"/>
      <c r="H64" s="766"/>
      <c r="I64" s="766"/>
      <c r="J64" s="766"/>
      <c r="K64" s="766"/>
      <c r="L64" s="766"/>
      <c r="M64" s="766"/>
      <c r="N64" s="766"/>
      <c r="O64" s="766"/>
      <c r="P64" s="766"/>
      <c r="Q64" s="766"/>
      <c r="R64" s="766"/>
      <c r="S64" s="766"/>
      <c r="T64" s="766"/>
    </row>
    <row r="65" customFormat="false" ht="12.8" hidden="false" customHeight="false" outlineLevel="0" collapsed="false">
      <c r="A65" s="759" t="s">
        <v>731</v>
      </c>
      <c r="B65" s="761"/>
      <c r="C65" s="761"/>
      <c r="D65" s="761"/>
      <c r="E65" s="761"/>
      <c r="F65" s="766"/>
      <c r="G65" s="766"/>
      <c r="H65" s="766"/>
      <c r="I65" s="766"/>
      <c r="J65" s="766" t="n">
        <v>-1099700</v>
      </c>
      <c r="K65" s="766"/>
      <c r="L65" s="766"/>
      <c r="M65" s="766"/>
      <c r="N65" s="766"/>
      <c r="O65" s="766"/>
      <c r="P65" s="766" t="n">
        <v>13730917.76366</v>
      </c>
      <c r="Q65" s="766"/>
      <c r="R65" s="766" t="n">
        <v>-1260047.29366</v>
      </c>
      <c r="S65" s="766"/>
      <c r="T65" s="766" t="n">
        <v>11371170.47</v>
      </c>
    </row>
    <row r="66" customFormat="false" ht="12.8" hidden="false" customHeight="false" outlineLevel="0" collapsed="false">
      <c r="B66" s="755"/>
      <c r="C66" s="755"/>
      <c r="D66" s="755"/>
      <c r="E66" s="755"/>
      <c r="F66" s="755"/>
      <c r="G66" s="755"/>
      <c r="H66" s="755"/>
      <c r="I66" s="755"/>
      <c r="J66" s="755"/>
      <c r="K66" s="755"/>
      <c r="L66" s="755"/>
      <c r="M66" s="755"/>
      <c r="N66" s="755"/>
      <c r="O66" s="755"/>
      <c r="P66" s="755"/>
      <c r="Q66" s="755"/>
      <c r="R66" s="755"/>
      <c r="S66" s="755"/>
      <c r="T66" s="755"/>
    </row>
    <row r="67" customFormat="false" ht="12.8" hidden="false" customHeight="false" outlineLevel="0" collapsed="false">
      <c r="A67" s="759" t="s">
        <v>750</v>
      </c>
      <c r="B67" s="768" t="n">
        <v>37143362</v>
      </c>
      <c r="C67" s="763"/>
      <c r="D67" s="768" t="n">
        <v>6115921</v>
      </c>
      <c r="E67" s="763"/>
      <c r="F67" s="768" t="n">
        <v>6135361.56</v>
      </c>
      <c r="G67" s="763"/>
      <c r="H67" s="768" t="n">
        <v>34797</v>
      </c>
      <c r="I67" s="763"/>
      <c r="J67" s="768" t="n">
        <v>324243</v>
      </c>
      <c r="K67" s="763"/>
      <c r="L67" s="768" t="n">
        <v>227072</v>
      </c>
      <c r="M67" s="763"/>
      <c r="N67" s="768" t="n">
        <v>-3202431</v>
      </c>
      <c r="O67" s="763"/>
      <c r="P67" s="768" t="n">
        <v>34120511.8338826</v>
      </c>
      <c r="Q67" s="763"/>
      <c r="R67" s="768" t="n">
        <v>7602059.12611738</v>
      </c>
      <c r="S67" s="763"/>
      <c r="T67" s="768" t="n">
        <v>88500896.52</v>
      </c>
      <c r="U67" s="753"/>
      <c r="V67" s="753"/>
      <c r="W67" s="753"/>
    </row>
    <row r="68" customFormat="false" ht="12.8" hidden="false" customHeight="false" outlineLevel="0" collapsed="false">
      <c r="B68" s="755"/>
      <c r="C68" s="755"/>
      <c r="D68" s="755"/>
      <c r="E68" s="755"/>
      <c r="F68" s="755"/>
      <c r="G68" s="755"/>
      <c r="H68" s="755"/>
      <c r="I68" s="755"/>
      <c r="J68" s="755"/>
      <c r="K68" s="755"/>
      <c r="L68" s="755"/>
      <c r="M68" s="755"/>
      <c r="N68" s="755"/>
      <c r="O68" s="755"/>
      <c r="P68" s="755"/>
      <c r="Q68" s="755"/>
      <c r="R68" s="755"/>
      <c r="S68" s="755"/>
      <c r="T68" s="769"/>
    </row>
    <row r="69" customFormat="false" ht="12" hidden="false" customHeight="true" outlineLevel="0" collapsed="false">
      <c r="B69" s="770" t="s">
        <v>663</v>
      </c>
      <c r="C69" s="748"/>
      <c r="D69" s="748"/>
      <c r="E69" s="748"/>
      <c r="F69" s="748"/>
      <c r="G69" s="748"/>
      <c r="H69" s="748"/>
      <c r="I69" s="748"/>
      <c r="J69" s="748"/>
      <c r="K69" s="748"/>
      <c r="L69" s="748"/>
      <c r="M69" s="748"/>
      <c r="N69" s="748"/>
      <c r="O69" s="748"/>
      <c r="P69" s="748"/>
      <c r="Q69" s="748"/>
      <c r="R69" s="748"/>
      <c r="S69" s="755"/>
      <c r="T69" s="7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1" topLeftCell="K67" activePane="bottomRight" state="frozen"/>
      <selection pane="topLeft" activeCell="A4" activeCellId="0" sqref="A4"/>
      <selection pane="topRight" activeCell="K4" activeCellId="0" sqref="K4"/>
      <selection pane="bottomLeft" activeCell="A67" activeCellId="0" sqref="A67"/>
      <selection pane="bottomRight" activeCell="Q76" activeCellId="0" sqref="Q76"/>
    </sheetView>
  </sheetViews>
  <sheetFormatPr defaultColWidth="9.13671875" defaultRowHeight="15" zeroHeight="false" outlineLevelRow="0" outlineLevelCol="1"/>
  <cols>
    <col collapsed="false" customWidth="true" hidden="false" outlineLevel="0" max="1" min="1" style="411" width="37.71"/>
    <col collapsed="false" customWidth="true" hidden="false" outlineLevel="1" max="2" min="2" style="411" width="12.57"/>
    <col collapsed="false" customWidth="true" hidden="false" outlineLevel="1" max="3" min="3" style="411" width="11.42"/>
    <col collapsed="false" customWidth="true" hidden="false" outlineLevel="1" max="4" min="4" style="411" width="11.14"/>
    <col collapsed="false" customWidth="true" hidden="false" outlineLevel="1" max="5" min="5" style="411" width="10.29"/>
    <col collapsed="false" customWidth="true" hidden="false" outlineLevel="1" max="6" min="6" style="411" width="11.3"/>
    <col collapsed="false" customWidth="true" hidden="false" outlineLevel="1" max="7" min="7" style="411" width="10"/>
    <col collapsed="false" customWidth="true" hidden="false" outlineLevel="1" max="8" min="8" style="411" width="11.14"/>
    <col collapsed="false" customWidth="true" hidden="false" outlineLevel="1" max="9" min="9" style="411" width="10.29"/>
    <col collapsed="false" customWidth="true" hidden="false" outlineLevel="1" max="10" min="10" style="411" width="10.99"/>
    <col collapsed="false" customWidth="true" hidden="false" outlineLevel="1" max="13" min="11" style="411" width="11.3"/>
    <col collapsed="false" customWidth="true" hidden="false" outlineLevel="0" max="14" min="14" style="411" width="12.57"/>
    <col collapsed="false" customWidth="true" hidden="false" outlineLevel="0" max="15" min="15" style="411" width="12.29"/>
    <col collapsed="false" customWidth="true" hidden="false" outlineLevel="0" max="16" min="16" style="411" width="11.57"/>
    <col collapsed="false" customWidth="true" hidden="false" outlineLevel="0" max="17" min="17" style="411" width="12.57"/>
    <col collapsed="false" customWidth="true" hidden="false" outlineLevel="0" max="18" min="18" style="771" width="9.44"/>
    <col collapsed="false" customWidth="true" hidden="false" outlineLevel="0" max="19" min="19" style="411" width="10.58"/>
    <col collapsed="false" customWidth="false" hidden="false" outlineLevel="0" max="1024" min="20" style="411" width="9.13"/>
  </cols>
  <sheetData>
    <row r="1" customFormat="false" ht="15" hidden="false" customHeight="false" outlineLevel="0" collapsed="false">
      <c r="A1" s="410" t="s">
        <v>390</v>
      </c>
    </row>
    <row r="2" customFormat="false" ht="15" hidden="false" customHeight="false" outlineLevel="0" collapsed="false">
      <c r="A2" s="412" t="s">
        <v>751</v>
      </c>
    </row>
    <row r="3" customFormat="false" ht="15" hidden="false" customHeight="false" outlineLevel="0" collapsed="false">
      <c r="A3" s="412" t="s">
        <v>457</v>
      </c>
    </row>
    <row r="4" customFormat="false" ht="60" hidden="false" customHeight="false" outlineLevel="0" collapsed="false">
      <c r="B4" s="772" t="s">
        <v>752</v>
      </c>
      <c r="C4" s="772" t="s">
        <v>753</v>
      </c>
      <c r="D4" s="772" t="s">
        <v>754</v>
      </c>
      <c r="E4" s="772" t="s">
        <v>755</v>
      </c>
      <c r="F4" s="772" t="s">
        <v>756</v>
      </c>
      <c r="G4" s="772" t="s">
        <v>757</v>
      </c>
      <c r="H4" s="772" t="s">
        <v>758</v>
      </c>
      <c r="I4" s="772" t="s">
        <v>759</v>
      </c>
      <c r="J4" s="772" t="s">
        <v>760</v>
      </c>
      <c r="K4" s="772" t="s">
        <v>761</v>
      </c>
      <c r="L4" s="772" t="s">
        <v>762</v>
      </c>
      <c r="M4" s="772" t="s">
        <v>763</v>
      </c>
      <c r="N4" s="772" t="s">
        <v>501</v>
      </c>
      <c r="O4" s="773" t="s">
        <v>200</v>
      </c>
      <c r="P4" s="773" t="s">
        <v>201</v>
      </c>
      <c r="Q4" s="773" t="s">
        <v>454</v>
      </c>
    </row>
    <row r="5" customFormat="false" ht="15" hidden="false" customHeight="false" outlineLevel="0" collapsed="false">
      <c r="A5" s="774" t="s">
        <v>764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</row>
    <row r="6" customFormat="false" ht="15" hidden="false" customHeight="false" outlineLevel="0" collapsed="false">
      <c r="A6" s="589" t="s">
        <v>765</v>
      </c>
      <c r="B6" s="775" t="n">
        <v>35042687</v>
      </c>
      <c r="C6" s="775" t="n">
        <v>5000</v>
      </c>
      <c r="D6" s="775" t="n">
        <v>1105000</v>
      </c>
      <c r="E6" s="775" t="n">
        <v>10000</v>
      </c>
      <c r="F6" s="775" t="n">
        <v>1000</v>
      </c>
      <c r="G6" s="775" t="n">
        <v>1000</v>
      </c>
      <c r="H6" s="775" t="n">
        <v>5000</v>
      </c>
      <c r="I6" s="775" t="n">
        <v>10000</v>
      </c>
      <c r="J6" s="775" t="n">
        <v>800</v>
      </c>
      <c r="K6" s="775" t="n">
        <v>800</v>
      </c>
      <c r="L6" s="775" t="n">
        <v>3661400</v>
      </c>
      <c r="M6" s="775" t="n">
        <v>10000</v>
      </c>
      <c r="N6" s="775" t="n">
        <f aca="false">SUM(B6:M6)</f>
        <v>39852687</v>
      </c>
      <c r="O6" s="775" t="n">
        <f aca="false">+'AD ESF'!D137+'AD ESF'!D161+'AD ESF'!D199</f>
        <v>4810000</v>
      </c>
      <c r="P6" s="775"/>
      <c r="Q6" s="450" t="n">
        <f aca="false">+N6+P6-O6</f>
        <v>35042687</v>
      </c>
      <c r="R6" s="776" t="n">
        <f aca="false">+Q6-ECP19!B47</f>
        <v>0</v>
      </c>
    </row>
    <row r="7" customFormat="false" ht="15" hidden="false" customHeight="false" outlineLevel="0" collapsed="false">
      <c r="A7" s="589" t="s">
        <v>766</v>
      </c>
      <c r="B7" s="775" t="n">
        <v>-6115000</v>
      </c>
      <c r="C7" s="775"/>
      <c r="D7" s="775"/>
      <c r="E7" s="775" t="n">
        <v>-3200</v>
      </c>
      <c r="F7" s="775"/>
      <c r="G7" s="775"/>
      <c r="H7" s="775"/>
      <c r="I7" s="775"/>
      <c r="J7" s="775"/>
      <c r="K7" s="775"/>
      <c r="L7" s="775"/>
      <c r="M7" s="775"/>
      <c r="N7" s="775" t="n">
        <f aca="false">SUM(B7:M7)</f>
        <v>-6118200</v>
      </c>
      <c r="O7" s="775"/>
      <c r="P7" s="775" t="n">
        <f aca="false">+'AD ESF'!E189</f>
        <v>3200</v>
      </c>
      <c r="Q7" s="450" t="n">
        <f aca="false">+N7+P7-O7</f>
        <v>-6115000</v>
      </c>
      <c r="R7" s="776"/>
    </row>
    <row r="8" customFormat="false" ht="15" hidden="false" customHeight="false" outlineLevel="0" collapsed="false">
      <c r="A8" s="589" t="s">
        <v>767</v>
      </c>
      <c r="B8" s="775"/>
      <c r="C8" s="775"/>
      <c r="D8" s="775"/>
      <c r="E8" s="775" t="n">
        <v>-6800</v>
      </c>
      <c r="F8" s="775"/>
      <c r="G8" s="775"/>
      <c r="H8" s="775"/>
      <c r="I8" s="775"/>
      <c r="J8" s="775"/>
      <c r="K8" s="775"/>
      <c r="L8" s="775"/>
      <c r="M8" s="775"/>
      <c r="N8" s="775" t="n">
        <f aca="false">SUM(B8:M8)</f>
        <v>-6800</v>
      </c>
      <c r="O8" s="775"/>
      <c r="P8" s="775" t="n">
        <f aca="false">+'AD ESF'!E225</f>
        <v>6800</v>
      </c>
      <c r="Q8" s="450" t="n">
        <f aca="false">+N8+P8-O8</f>
        <v>0</v>
      </c>
      <c r="R8" s="776"/>
    </row>
    <row r="9" customFormat="false" ht="30" hidden="false" customHeight="false" outlineLevel="0" collapsed="false">
      <c r="A9" s="777" t="s">
        <v>768</v>
      </c>
      <c r="B9" s="775" t="n">
        <v>8215675</v>
      </c>
      <c r="C9" s="775"/>
      <c r="D9" s="775"/>
      <c r="E9" s="775"/>
      <c r="F9" s="775"/>
      <c r="G9" s="775"/>
      <c r="H9" s="775"/>
      <c r="I9" s="775"/>
      <c r="J9" s="775"/>
      <c r="K9" s="775"/>
      <c r="L9" s="775"/>
      <c r="M9" s="775"/>
      <c r="N9" s="775" t="n">
        <f aca="false">SUM(B9:M9)</f>
        <v>8215675</v>
      </c>
      <c r="O9" s="775"/>
      <c r="P9" s="775"/>
      <c r="Q9" s="450" t="n">
        <f aca="false">+N9+P9-O9</f>
        <v>8215675</v>
      </c>
    </row>
    <row r="10" customFormat="false" ht="15" hidden="false" customHeight="false" outlineLevel="0" collapsed="false">
      <c r="A10" s="778" t="s">
        <v>769</v>
      </c>
      <c r="B10" s="779" t="n">
        <f aca="false">SUM(B6:B9)</f>
        <v>37143362</v>
      </c>
      <c r="C10" s="779" t="n">
        <f aca="false">SUM(C6:C9)</f>
        <v>5000</v>
      </c>
      <c r="D10" s="779" t="n">
        <f aca="false">SUM(D6:D9)</f>
        <v>1105000</v>
      </c>
      <c r="E10" s="779" t="n">
        <f aca="false">SUM(E6:E9)</f>
        <v>0</v>
      </c>
      <c r="F10" s="779" t="n">
        <f aca="false">SUM(F6:F9)</f>
        <v>1000</v>
      </c>
      <c r="G10" s="779" t="n">
        <f aca="false">SUM(G6:G9)</f>
        <v>1000</v>
      </c>
      <c r="H10" s="779" t="n">
        <f aca="false">SUM(H6:H9)</f>
        <v>5000</v>
      </c>
      <c r="I10" s="779" t="n">
        <f aca="false">SUM(I6:I9)</f>
        <v>10000</v>
      </c>
      <c r="J10" s="779" t="n">
        <f aca="false">SUM(J6:J9)</f>
        <v>800</v>
      </c>
      <c r="K10" s="779" t="n">
        <f aca="false">SUM(K6:K9)</f>
        <v>800</v>
      </c>
      <c r="L10" s="779" t="n">
        <f aca="false">SUM(L6:L9)</f>
        <v>3661400</v>
      </c>
      <c r="M10" s="779" t="n">
        <f aca="false">SUM(M6:M9)</f>
        <v>10000</v>
      </c>
      <c r="N10" s="779" t="n">
        <f aca="false">SUM(N6:N9)</f>
        <v>41943362</v>
      </c>
      <c r="O10" s="779" t="n">
        <f aca="false">SUM(O6:O9)</f>
        <v>4810000</v>
      </c>
      <c r="P10" s="779" t="n">
        <f aca="false">SUM(P6:P9)</f>
        <v>10000</v>
      </c>
      <c r="Q10" s="779" t="n">
        <f aca="false">SUM(Q6:Q9)</f>
        <v>37143362</v>
      </c>
      <c r="R10" s="776" t="n">
        <f aca="false">+Q10-ECP19!B67</f>
        <v>0</v>
      </c>
    </row>
    <row r="11" customFormat="false" ht="15" hidden="false" customHeight="false" outlineLevel="0" collapsed="false">
      <c r="B11" s="780" t="n">
        <f aca="false">+B10-'Planilla final'!B47</f>
        <v>15514180.82</v>
      </c>
      <c r="C11" s="780" t="n">
        <f aca="false">+C10-'Planilla final'!C47</f>
        <v>5000</v>
      </c>
      <c r="D11" s="780" t="n">
        <f aca="false">+D10-'Planilla final'!D47</f>
        <v>1105000</v>
      </c>
      <c r="E11" s="780" t="n">
        <f aca="false">+E10-'Planilla final'!E47</f>
        <v>0</v>
      </c>
      <c r="F11" s="780" t="n">
        <f aca="false">+F10-'Planilla final'!F47</f>
        <v>1000</v>
      </c>
      <c r="G11" s="780" t="n">
        <f aca="false">+G10-'Planilla final'!G47</f>
        <v>1000</v>
      </c>
      <c r="H11" s="780" t="n">
        <f aca="false">+H10-'Planilla final'!H47</f>
        <v>5000</v>
      </c>
      <c r="I11" s="780" t="n">
        <f aca="false">+I10-'Planilla final'!I47</f>
        <v>10000</v>
      </c>
      <c r="J11" s="780" t="n">
        <f aca="false">+J10-'Planilla final'!J47</f>
        <v>800</v>
      </c>
      <c r="K11" s="780" t="n">
        <f aca="false">+K10-'Planilla final'!K47</f>
        <v>800</v>
      </c>
      <c r="L11" s="780" t="n">
        <f aca="false">+L10-'Planilla final'!L47</f>
        <v>0</v>
      </c>
      <c r="M11" s="780" t="n">
        <f aca="false">+M10-'Planilla final'!M47</f>
        <v>10000</v>
      </c>
      <c r="N11" s="780" t="n">
        <f aca="false">+N10-'Planilla final'!N47</f>
        <v>16652780.82</v>
      </c>
      <c r="O11" s="780" t="n">
        <f aca="false">+O10-'Planilla final'!O47</f>
        <v>4810000</v>
      </c>
      <c r="P11" s="780" t="n">
        <f aca="false">+P10-'Planilla final'!P47</f>
        <v>10000</v>
      </c>
      <c r="Q11" s="780" t="n">
        <f aca="false">+Q10-'Planilla final'!Q47</f>
        <v>11852780.82</v>
      </c>
    </row>
    <row r="12" customFormat="false" ht="15" hidden="false" customHeight="false" outlineLevel="0" collapsed="false">
      <c r="A12" s="774" t="s">
        <v>770</v>
      </c>
      <c r="B12" s="781"/>
      <c r="C12" s="781"/>
      <c r="D12" s="781"/>
      <c r="E12" s="781"/>
      <c r="F12" s="781"/>
      <c r="G12" s="781"/>
      <c r="H12" s="781"/>
      <c r="I12" s="781"/>
      <c r="J12" s="781"/>
      <c r="K12" s="781"/>
      <c r="L12" s="781"/>
      <c r="M12" s="781"/>
      <c r="N12" s="781"/>
      <c r="O12" s="781"/>
      <c r="P12" s="781"/>
      <c r="Q12" s="447"/>
    </row>
    <row r="13" customFormat="false" ht="15" hidden="false" customHeight="false" outlineLevel="0" collapsed="false">
      <c r="A13" s="589" t="s">
        <v>765</v>
      </c>
      <c r="B13" s="775" t="n">
        <v>920</v>
      </c>
      <c r="C13" s="775" t="n">
        <v>37142894.46</v>
      </c>
      <c r="D13" s="775" t="n">
        <v>877313.05</v>
      </c>
      <c r="E13" s="775" t="n">
        <v>0</v>
      </c>
      <c r="F13" s="775" t="n">
        <v>49015</v>
      </c>
      <c r="G13" s="775" t="n">
        <v>330450</v>
      </c>
      <c r="H13" s="775" t="n">
        <v>0</v>
      </c>
      <c r="I13" s="775" t="n">
        <v>0</v>
      </c>
      <c r="J13" s="775" t="n">
        <v>0</v>
      </c>
      <c r="K13" s="775" t="n">
        <v>1833417.66</v>
      </c>
      <c r="L13" s="775" t="n">
        <v>406799.86</v>
      </c>
      <c r="M13" s="775" t="n">
        <v>0</v>
      </c>
      <c r="N13" s="775" t="n">
        <f aca="false">SUM(B13:M13)</f>
        <v>40640810.03</v>
      </c>
      <c r="O13" s="775" t="n">
        <f aca="false">+'AD ESF'!D140+'AD ESF'!D162</f>
        <v>40639889</v>
      </c>
      <c r="P13" s="775"/>
      <c r="Q13" s="450" t="n">
        <f aca="false">+N13+P13-O13</f>
        <v>921.029999993742</v>
      </c>
    </row>
    <row r="14" customFormat="false" ht="30" hidden="false" customHeight="false" outlineLevel="0" collapsed="false">
      <c r="A14" s="777" t="s">
        <v>771</v>
      </c>
      <c r="B14" s="775" t="n">
        <v>6115000</v>
      </c>
      <c r="C14" s="775" t="n">
        <v>4797300</v>
      </c>
      <c r="D14" s="775"/>
      <c r="E14" s="775"/>
      <c r="F14" s="775"/>
      <c r="G14" s="775"/>
      <c r="H14" s="775"/>
      <c r="I14" s="775"/>
      <c r="J14" s="775"/>
      <c r="K14" s="775"/>
      <c r="L14" s="775"/>
      <c r="M14" s="775"/>
      <c r="N14" s="775" t="n">
        <f aca="false">SUM(B14:M14)</f>
        <v>10912300</v>
      </c>
      <c r="O14" s="775" t="n">
        <f aca="false">+'AD ESF'!D169+'AD ESF'!D197</f>
        <v>4797299</v>
      </c>
      <c r="P14" s="775"/>
      <c r="Q14" s="450" t="n">
        <f aca="false">+N14+P14-O14</f>
        <v>6115001</v>
      </c>
    </row>
    <row r="15" customFormat="false" ht="15" hidden="false" customHeight="false" outlineLevel="0" collapsed="false">
      <c r="A15" s="778" t="s">
        <v>769</v>
      </c>
      <c r="B15" s="779" t="n">
        <f aca="false">+B13+B14</f>
        <v>6115920</v>
      </c>
      <c r="C15" s="779" t="n">
        <f aca="false">+C13+C14</f>
        <v>41940194.46</v>
      </c>
      <c r="D15" s="779" t="n">
        <f aca="false">+'Planilla final'!D48</f>
        <v>0</v>
      </c>
      <c r="E15" s="779" t="n">
        <f aca="false">+'Planilla final'!E48</f>
        <v>0</v>
      </c>
      <c r="F15" s="779" t="n">
        <f aca="false">+'Planilla final'!F48</f>
        <v>0</v>
      </c>
      <c r="G15" s="779" t="n">
        <f aca="false">+'Planilla final'!G48</f>
        <v>0</v>
      </c>
      <c r="H15" s="779" t="n">
        <f aca="false">+'Planilla final'!H48</f>
        <v>0</v>
      </c>
      <c r="I15" s="779" t="n">
        <f aca="false">+'Planilla final'!I48</f>
        <v>0</v>
      </c>
      <c r="J15" s="779" t="n">
        <f aca="false">+'Planilla final'!J48</f>
        <v>0</v>
      </c>
      <c r="K15" s="779" t="n">
        <f aca="false">+'Planilla final'!K48</f>
        <v>0</v>
      </c>
      <c r="L15" s="779" t="n">
        <f aca="false">+'Planilla final'!L48</f>
        <v>406799.86</v>
      </c>
      <c r="M15" s="779" t="n">
        <f aca="false">+'Planilla final'!M48</f>
        <v>0</v>
      </c>
      <c r="N15" s="779" t="n">
        <f aca="false">SUM(B15:M15)</f>
        <v>48462914.32</v>
      </c>
      <c r="O15" s="779" t="n">
        <f aca="false">SUM(O13:O14)</f>
        <v>45437188</v>
      </c>
      <c r="P15" s="779" t="n">
        <f aca="false">SUM(P13:P14)</f>
        <v>0</v>
      </c>
      <c r="Q15" s="779" t="n">
        <f aca="false">+N15+P15-O15</f>
        <v>3025726.32</v>
      </c>
      <c r="R15" s="776" t="n">
        <f aca="false">+Q15-ECP19!D67</f>
        <v>-3090194.68</v>
      </c>
    </row>
    <row r="16" customFormat="false" ht="15" hidden="false" customHeight="false" outlineLevel="0" collapsed="false">
      <c r="B16" s="782"/>
      <c r="C16" s="780"/>
      <c r="D16" s="782"/>
      <c r="E16" s="782"/>
      <c r="F16" s="782"/>
      <c r="G16" s="782"/>
      <c r="H16" s="782"/>
      <c r="I16" s="782"/>
      <c r="J16" s="782"/>
      <c r="K16" s="782"/>
      <c r="L16" s="782"/>
      <c r="M16" s="782"/>
      <c r="N16" s="782"/>
      <c r="O16" s="6" t="n">
        <f aca="false">+'Planilla final'!O48-O15</f>
        <v>-45437188</v>
      </c>
      <c r="P16" s="782" t="n">
        <f aca="false">+'Planilla final'!P48-P15</f>
        <v>0</v>
      </c>
    </row>
    <row r="17" customFormat="false" ht="15" hidden="false" customHeight="false" outlineLevel="0" collapsed="false">
      <c r="A17" s="783" t="s">
        <v>772</v>
      </c>
      <c r="B17" s="781"/>
      <c r="C17" s="781"/>
      <c r="D17" s="781"/>
      <c r="E17" s="781"/>
      <c r="F17" s="781"/>
      <c r="G17" s="781"/>
      <c r="H17" s="781"/>
      <c r="I17" s="781"/>
      <c r="J17" s="781"/>
      <c r="K17" s="781"/>
      <c r="L17" s="781"/>
      <c r="M17" s="781"/>
      <c r="N17" s="781"/>
      <c r="O17" s="781"/>
      <c r="P17" s="781"/>
      <c r="Q17" s="447"/>
    </row>
    <row r="18" customFormat="false" ht="15" hidden="false" customHeight="false" outlineLevel="0" collapsed="false">
      <c r="A18" s="451" t="s">
        <v>765</v>
      </c>
      <c r="B18" s="775" t="n">
        <v>5222508.56</v>
      </c>
      <c r="C18" s="775" t="n">
        <v>0</v>
      </c>
      <c r="D18" s="775" t="n">
        <v>0</v>
      </c>
      <c r="E18" s="775" t="n">
        <v>74427</v>
      </c>
      <c r="F18" s="775" t="n">
        <v>500</v>
      </c>
      <c r="G18" s="775" t="n">
        <v>0</v>
      </c>
      <c r="H18" s="775"/>
      <c r="I18" s="775" t="n">
        <v>0</v>
      </c>
      <c r="J18" s="775" t="n">
        <v>0</v>
      </c>
      <c r="K18" s="775" t="n">
        <v>0</v>
      </c>
      <c r="L18" s="775" t="n">
        <v>0</v>
      </c>
      <c r="M18" s="775" t="n">
        <v>0</v>
      </c>
      <c r="N18" s="775" t="n">
        <f aca="false">SUM(B18:M18)</f>
        <v>5297435.56</v>
      </c>
      <c r="O18" s="775" t="n">
        <f aca="false">+'AD ESF'!D138</f>
        <v>74927</v>
      </c>
      <c r="P18" s="775"/>
      <c r="Q18" s="450" t="n">
        <f aca="false">+N18+P18-O18</f>
        <v>5222508.56</v>
      </c>
    </row>
    <row r="19" customFormat="false" ht="15" hidden="false" customHeight="false" outlineLevel="0" collapsed="false">
      <c r="A19" s="451" t="s">
        <v>773</v>
      </c>
      <c r="B19" s="775" t="n">
        <v>912853</v>
      </c>
      <c r="C19" s="775"/>
      <c r="D19" s="775"/>
      <c r="E19" s="775"/>
      <c r="F19" s="775"/>
      <c r="G19" s="775"/>
      <c r="H19" s="775"/>
      <c r="I19" s="775"/>
      <c r="J19" s="775"/>
      <c r="K19" s="775"/>
      <c r="L19" s="775"/>
      <c r="M19" s="775"/>
      <c r="N19" s="775" t="n">
        <f aca="false">SUM(B19:M19)</f>
        <v>912853</v>
      </c>
      <c r="O19" s="775"/>
      <c r="P19" s="775"/>
      <c r="Q19" s="450" t="n">
        <f aca="false">+N19+P19-O19</f>
        <v>912853</v>
      </c>
    </row>
    <row r="20" customFormat="false" ht="15" hidden="false" customHeight="false" outlineLevel="0" collapsed="false">
      <c r="A20" s="411" t="s">
        <v>740</v>
      </c>
      <c r="B20" s="602"/>
      <c r="C20" s="602"/>
      <c r="D20" s="602"/>
      <c r="E20" s="784" t="n">
        <v>-74427</v>
      </c>
      <c r="F20" s="602"/>
      <c r="G20" s="602"/>
      <c r="H20" s="784"/>
      <c r="I20" s="602"/>
      <c r="J20" s="602"/>
      <c r="K20" s="602"/>
      <c r="L20" s="602"/>
      <c r="M20" s="602"/>
      <c r="N20" s="775" t="n">
        <f aca="false">SUM(B20:M20)</f>
        <v>-74427</v>
      </c>
      <c r="O20" s="602"/>
      <c r="P20" s="784" t="n">
        <f aca="false">+'AD ESF'!E226</f>
        <v>74427</v>
      </c>
      <c r="Q20" s="450" t="n">
        <f aca="false">+N20+P20-O20</f>
        <v>0</v>
      </c>
    </row>
    <row r="21" customFormat="false" ht="15" hidden="false" customHeight="false" outlineLevel="0" collapsed="false">
      <c r="A21" s="785" t="s">
        <v>769</v>
      </c>
      <c r="B21" s="779" t="n">
        <f aca="false">SUM(B18:B20)</f>
        <v>6135361.56</v>
      </c>
      <c r="C21" s="779" t="n">
        <f aca="false">SUM(C18:C20)</f>
        <v>0</v>
      </c>
      <c r="D21" s="779" t="n">
        <f aca="false">SUM(D18:D20)</f>
        <v>0</v>
      </c>
      <c r="E21" s="779" t="n">
        <f aca="false">SUM(E18:E20)</f>
        <v>0</v>
      </c>
      <c r="F21" s="779" t="n">
        <f aca="false">SUM(F18:F20)</f>
        <v>500</v>
      </c>
      <c r="G21" s="779" t="n">
        <f aca="false">SUM(G18:G20)</f>
        <v>0</v>
      </c>
      <c r="H21" s="779" t="n">
        <f aca="false">SUM(H18:H20)</f>
        <v>0</v>
      </c>
      <c r="I21" s="779" t="n">
        <f aca="false">SUM(I18:I20)</f>
        <v>0</v>
      </c>
      <c r="J21" s="779" t="n">
        <f aca="false">SUM(J18:J20)</f>
        <v>0</v>
      </c>
      <c r="K21" s="779" t="n">
        <f aca="false">SUM(K18:K20)</f>
        <v>0</v>
      </c>
      <c r="L21" s="779" t="n">
        <f aca="false">SUM(L18:L20)</f>
        <v>0</v>
      </c>
      <c r="M21" s="779" t="n">
        <f aca="false">SUM(M18:M20)</f>
        <v>0</v>
      </c>
      <c r="N21" s="779" t="n">
        <f aca="false">SUM(N18:N20)</f>
        <v>6135861.56</v>
      </c>
      <c r="O21" s="779" t="n">
        <f aca="false">SUM(O18:O20)</f>
        <v>74927</v>
      </c>
      <c r="P21" s="779" t="n">
        <f aca="false">SUM(P18:P20)</f>
        <v>74427</v>
      </c>
      <c r="Q21" s="779" t="n">
        <f aca="false">SUM(Q18:Q20)</f>
        <v>6135361.56</v>
      </c>
      <c r="R21" s="776" t="n">
        <f aca="false">+Q21-ECP19!F67</f>
        <v>0</v>
      </c>
    </row>
    <row r="22" customFormat="false" ht="15" hidden="false" customHeight="false" outlineLevel="0" collapsed="false">
      <c r="B22" s="782"/>
      <c r="C22" s="782"/>
      <c r="D22" s="782"/>
      <c r="E22" s="782"/>
      <c r="F22" s="782"/>
      <c r="G22" s="782"/>
      <c r="H22" s="782"/>
      <c r="I22" s="782"/>
      <c r="J22" s="782"/>
      <c r="K22" s="782"/>
      <c r="L22" s="782"/>
      <c r="M22" s="782"/>
      <c r="N22" s="782"/>
      <c r="O22" s="782" t="n">
        <f aca="false">+O21-'Planilla final'!O49</f>
        <v>74927</v>
      </c>
      <c r="P22" s="782" t="n">
        <f aca="false">+P21-'Planilla final'!P49</f>
        <v>74427</v>
      </c>
    </row>
    <row r="23" customFormat="false" ht="15" hidden="false" customHeight="false" outlineLevel="0" collapsed="false">
      <c r="A23" s="783" t="s">
        <v>774</v>
      </c>
      <c r="B23" s="781"/>
      <c r="C23" s="781"/>
      <c r="D23" s="781"/>
      <c r="E23" s="781"/>
      <c r="F23" s="781"/>
      <c r="G23" s="781"/>
      <c r="H23" s="781"/>
      <c r="I23" s="781"/>
      <c r="J23" s="781"/>
      <c r="K23" s="781"/>
      <c r="L23" s="781"/>
      <c r="M23" s="781"/>
      <c r="N23" s="781"/>
      <c r="O23" s="781"/>
      <c r="P23" s="781"/>
      <c r="Q23" s="447"/>
    </row>
    <row r="24" customFormat="false" ht="15" hidden="false" customHeight="false" outlineLevel="0" collapsed="false">
      <c r="A24" s="451" t="s">
        <v>765</v>
      </c>
      <c r="B24" s="775" t="n">
        <v>34797</v>
      </c>
      <c r="C24" s="775" t="n">
        <v>0</v>
      </c>
      <c r="D24" s="775" t="n">
        <v>0</v>
      </c>
      <c r="E24" s="775" t="n">
        <v>0</v>
      </c>
      <c r="F24" s="775" t="n">
        <v>0</v>
      </c>
      <c r="G24" s="775" t="n">
        <v>0</v>
      </c>
      <c r="H24" s="775" t="n">
        <v>0</v>
      </c>
      <c r="I24" s="775" t="n">
        <v>0</v>
      </c>
      <c r="J24" s="775" t="n">
        <v>0</v>
      </c>
      <c r="K24" s="775" t="n">
        <v>0</v>
      </c>
      <c r="L24" s="775" t="n">
        <v>0</v>
      </c>
      <c r="M24" s="775" t="n">
        <v>0</v>
      </c>
      <c r="N24" s="775" t="n">
        <f aca="false">SUM(B24:M24)</f>
        <v>34797</v>
      </c>
      <c r="O24" s="775"/>
      <c r="P24" s="775"/>
      <c r="Q24" s="450" t="n">
        <f aca="false">+N24+P24-O24</f>
        <v>34797</v>
      </c>
    </row>
    <row r="25" customFormat="false" ht="15" hidden="false" customHeight="false" outlineLevel="0" collapsed="false">
      <c r="A25" s="451"/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 t="n">
        <f aca="false">SUM(B25:M25)</f>
        <v>0</v>
      </c>
      <c r="O25" s="775"/>
      <c r="P25" s="775"/>
      <c r="Q25" s="450" t="n">
        <f aca="false">+N25+P25-O25</f>
        <v>0</v>
      </c>
    </row>
    <row r="26" customFormat="false" ht="15" hidden="false" customHeight="false" outlineLevel="0" collapsed="false">
      <c r="A26" s="785" t="s">
        <v>769</v>
      </c>
      <c r="B26" s="779" t="n">
        <f aca="false">+'Planilla final'!B50</f>
        <v>0</v>
      </c>
      <c r="C26" s="779" t="n">
        <f aca="false">+'Planilla final'!C50</f>
        <v>0</v>
      </c>
      <c r="D26" s="779" t="n">
        <f aca="false">+'Planilla final'!D50</f>
        <v>0</v>
      </c>
      <c r="E26" s="779" t="n">
        <f aca="false">+'Planilla final'!E50</f>
        <v>0</v>
      </c>
      <c r="F26" s="779" t="n">
        <f aca="false">+'Planilla final'!F50</f>
        <v>0</v>
      </c>
      <c r="G26" s="779" t="n">
        <f aca="false">+'Planilla final'!G50</f>
        <v>0</v>
      </c>
      <c r="H26" s="779" t="n">
        <f aca="false">+'Planilla final'!H50</f>
        <v>0</v>
      </c>
      <c r="I26" s="779" t="n">
        <f aca="false">+'Planilla final'!I50</f>
        <v>0</v>
      </c>
      <c r="J26" s="779" t="n">
        <f aca="false">+'Planilla final'!J50</f>
        <v>0</v>
      </c>
      <c r="K26" s="779" t="n">
        <f aca="false">+'Planilla final'!K50</f>
        <v>0</v>
      </c>
      <c r="L26" s="779" t="n">
        <f aca="false">+'Planilla final'!L50</f>
        <v>0</v>
      </c>
      <c r="M26" s="779" t="n">
        <f aca="false">+'Planilla final'!M50</f>
        <v>0</v>
      </c>
      <c r="N26" s="779" t="n">
        <f aca="false">SUM(B26:M26)</f>
        <v>0</v>
      </c>
      <c r="O26" s="779" t="n">
        <f aca="false">SUM(O24:O25)</f>
        <v>0</v>
      </c>
      <c r="P26" s="779" t="n">
        <f aca="false">SUM(P24:P25)</f>
        <v>0</v>
      </c>
      <c r="Q26" s="779" t="n">
        <f aca="false">+N26+P26-O26</f>
        <v>0</v>
      </c>
      <c r="R26" s="776" t="n">
        <f aca="false">+Q26-ECP19!H67</f>
        <v>-34797</v>
      </c>
    </row>
    <row r="27" customFormat="false" ht="15" hidden="false" customHeight="false" outlineLevel="0" collapsed="false">
      <c r="B27" s="782"/>
      <c r="C27" s="782"/>
      <c r="D27" s="782"/>
      <c r="E27" s="782"/>
      <c r="F27" s="782"/>
      <c r="G27" s="782"/>
      <c r="H27" s="782"/>
      <c r="I27" s="782"/>
      <c r="J27" s="782"/>
      <c r="K27" s="782"/>
      <c r="L27" s="782"/>
      <c r="M27" s="782"/>
      <c r="N27" s="782"/>
      <c r="O27" s="782" t="n">
        <f aca="false">+O26-'Planilla final'!O50</f>
        <v>0</v>
      </c>
      <c r="P27" s="782" t="n">
        <f aca="false">+P26-'Planilla final'!P50</f>
        <v>0</v>
      </c>
    </row>
    <row r="28" customFormat="false" ht="15" hidden="false" customHeight="false" outlineLevel="0" collapsed="false">
      <c r="A28" s="783" t="s">
        <v>775</v>
      </c>
      <c r="B28" s="781"/>
      <c r="C28" s="781"/>
      <c r="D28" s="781"/>
      <c r="E28" s="781"/>
      <c r="F28" s="781"/>
      <c r="G28" s="781"/>
      <c r="H28" s="781"/>
      <c r="I28" s="781"/>
      <c r="J28" s="781"/>
      <c r="K28" s="781"/>
      <c r="L28" s="781"/>
      <c r="M28" s="781"/>
      <c r="N28" s="781"/>
      <c r="O28" s="781"/>
      <c r="P28" s="781"/>
      <c r="Q28" s="447"/>
    </row>
    <row r="29" customFormat="false" ht="15" hidden="false" customHeight="false" outlineLevel="0" collapsed="false">
      <c r="A29" s="451" t="s">
        <v>765</v>
      </c>
      <c r="B29" s="775" t="n">
        <v>227072</v>
      </c>
      <c r="C29" s="775" t="n">
        <v>0</v>
      </c>
      <c r="D29" s="775" t="n">
        <v>0</v>
      </c>
      <c r="E29" s="775" t="n">
        <v>0</v>
      </c>
      <c r="F29" s="775" t="n">
        <v>0</v>
      </c>
      <c r="G29" s="775" t="n">
        <v>109633</v>
      </c>
      <c r="H29" s="775" t="n">
        <v>1226</v>
      </c>
      <c r="I29" s="775" t="n">
        <v>0</v>
      </c>
      <c r="J29" s="775" t="n">
        <v>340</v>
      </c>
      <c r="K29" s="775" t="n">
        <v>0</v>
      </c>
      <c r="L29" s="775" t="n">
        <v>0</v>
      </c>
      <c r="M29" s="775" t="n">
        <v>0</v>
      </c>
      <c r="N29" s="775" t="n">
        <f aca="false">SUM(B29:M29)</f>
        <v>338271</v>
      </c>
      <c r="O29" s="775" t="n">
        <f aca="false">+'AD ESF'!D139</f>
        <v>111199</v>
      </c>
      <c r="P29" s="775"/>
      <c r="Q29" s="450" t="n">
        <f aca="false">+N29+P29-O29</f>
        <v>227072</v>
      </c>
    </row>
    <row r="30" customFormat="false" ht="15" hidden="false" customHeight="false" outlineLevel="0" collapsed="false">
      <c r="A30" s="451" t="s">
        <v>740</v>
      </c>
      <c r="B30" s="775"/>
      <c r="C30" s="775"/>
      <c r="D30" s="775"/>
      <c r="E30" s="775"/>
      <c r="F30" s="775"/>
      <c r="G30" s="775"/>
      <c r="H30" s="786" t="n">
        <v>-1226</v>
      </c>
      <c r="I30" s="775"/>
      <c r="J30" s="775"/>
      <c r="K30" s="775"/>
      <c r="L30" s="775"/>
      <c r="M30" s="775"/>
      <c r="N30" s="775" t="n">
        <f aca="false">SUM(B30:M30)</f>
        <v>-1226</v>
      </c>
      <c r="O30" s="775"/>
      <c r="P30" s="775" t="n">
        <f aca="false">+'AD ESF'!E227</f>
        <v>1226</v>
      </c>
      <c r="Q30" s="450" t="n">
        <f aca="false">+N30+P30-O30</f>
        <v>0</v>
      </c>
    </row>
    <row r="31" customFormat="false" ht="15" hidden="false" customHeight="false" outlineLevel="0" collapsed="false">
      <c r="A31" s="785" t="s">
        <v>769</v>
      </c>
      <c r="B31" s="779" t="n">
        <f aca="false">+'Planilla final'!B51</f>
        <v>0</v>
      </c>
      <c r="C31" s="779" t="n">
        <f aca="false">+'Planilla final'!C51</f>
        <v>0</v>
      </c>
      <c r="D31" s="779" t="n">
        <f aca="false">+'Planilla final'!D51</f>
        <v>0</v>
      </c>
      <c r="E31" s="779" t="n">
        <f aca="false">+'Planilla final'!E51</f>
        <v>0</v>
      </c>
      <c r="F31" s="779" t="n">
        <f aca="false">+'Planilla final'!F51</f>
        <v>0</v>
      </c>
      <c r="G31" s="779" t="n">
        <f aca="false">+'Planilla final'!G51</f>
        <v>0</v>
      </c>
      <c r="H31" s="779" t="n">
        <f aca="false">+'Planilla final'!H51</f>
        <v>0</v>
      </c>
      <c r="I31" s="779" t="n">
        <f aca="false">+'Planilla final'!I51</f>
        <v>0</v>
      </c>
      <c r="J31" s="779" t="n">
        <f aca="false">+J29+J30</f>
        <v>340</v>
      </c>
      <c r="K31" s="779" t="n">
        <f aca="false">+'Planilla final'!K51</f>
        <v>0</v>
      </c>
      <c r="L31" s="779" t="n">
        <f aca="false">+'Planilla final'!L51</f>
        <v>0</v>
      </c>
      <c r="M31" s="779" t="n">
        <f aca="false">+'Planilla final'!M51</f>
        <v>0</v>
      </c>
      <c r="N31" s="779" t="n">
        <f aca="false">SUM(B31:M31)</f>
        <v>340</v>
      </c>
      <c r="O31" s="779" t="n">
        <f aca="false">SUM(O29:O30)</f>
        <v>111199</v>
      </c>
      <c r="P31" s="779" t="n">
        <f aca="false">SUM(P29:P30)</f>
        <v>1226</v>
      </c>
      <c r="Q31" s="779" t="n">
        <f aca="false">+N31+P31-O31</f>
        <v>-109633</v>
      </c>
      <c r="R31" s="776" t="n">
        <f aca="false">+Q31-ECP19!L67</f>
        <v>-336705</v>
      </c>
    </row>
    <row r="32" customFormat="false" ht="15" hidden="false" customHeight="false" outlineLevel="0" collapsed="false">
      <c r="B32" s="782"/>
      <c r="C32" s="782"/>
      <c r="D32" s="782"/>
      <c r="E32" s="782"/>
      <c r="F32" s="782"/>
      <c r="G32" s="782"/>
      <c r="H32" s="782"/>
      <c r="I32" s="782"/>
      <c r="J32" s="782"/>
      <c r="K32" s="782"/>
      <c r="L32" s="782"/>
      <c r="M32" s="782"/>
      <c r="N32" s="782"/>
      <c r="O32" s="782" t="n">
        <f aca="false">+O31-'Planilla final'!O51</f>
        <v>111199</v>
      </c>
      <c r="P32" s="782" t="n">
        <f aca="false">+P31-'Planilla final'!P51</f>
        <v>1226</v>
      </c>
    </row>
    <row r="33" customFormat="false" ht="15" hidden="false" customHeight="false" outlineLevel="0" collapsed="false">
      <c r="A33" s="783" t="s">
        <v>776</v>
      </c>
      <c r="B33" s="781"/>
      <c r="C33" s="781"/>
      <c r="D33" s="781"/>
      <c r="E33" s="781"/>
      <c r="F33" s="781"/>
      <c r="G33" s="781"/>
      <c r="H33" s="781"/>
      <c r="I33" s="781"/>
      <c r="J33" s="781"/>
      <c r="K33" s="781"/>
      <c r="L33" s="781"/>
      <c r="M33" s="781"/>
      <c r="N33" s="781"/>
      <c r="O33" s="781"/>
      <c r="P33" s="781"/>
      <c r="Q33" s="447"/>
    </row>
    <row r="34" customFormat="false" ht="15" hidden="false" customHeight="false" outlineLevel="0" collapsed="false">
      <c r="A34" s="451" t="s">
        <v>765</v>
      </c>
      <c r="B34" s="775" t="n">
        <v>1423943</v>
      </c>
      <c r="C34" s="775" t="n">
        <v>0</v>
      </c>
      <c r="D34" s="775" t="n">
        <v>0</v>
      </c>
      <c r="E34" s="775" t="n">
        <v>0</v>
      </c>
      <c r="F34" s="775" t="n">
        <v>0</v>
      </c>
      <c r="G34" s="775" t="n">
        <v>0</v>
      </c>
      <c r="H34" s="775" t="n">
        <v>0</v>
      </c>
      <c r="I34" s="775" t="n">
        <v>0</v>
      </c>
      <c r="J34" s="775" t="n">
        <v>0</v>
      </c>
      <c r="K34" s="775" t="n">
        <v>0</v>
      </c>
      <c r="L34" s="775" t="n">
        <v>0</v>
      </c>
      <c r="M34" s="775" t="n">
        <v>0</v>
      </c>
      <c r="N34" s="775" t="n">
        <f aca="false">SUM(B34:M34)</f>
        <v>1423943</v>
      </c>
      <c r="O34" s="775"/>
      <c r="P34" s="775"/>
      <c r="Q34" s="450" t="n">
        <f aca="false">+N34+P34-O34</f>
        <v>1423943</v>
      </c>
    </row>
    <row r="35" customFormat="false" ht="15" hidden="false" customHeight="false" outlineLevel="0" collapsed="false">
      <c r="A35" s="451" t="s">
        <v>777</v>
      </c>
      <c r="B35" s="775" t="n">
        <v>-1099700</v>
      </c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 t="n">
        <f aca="false">SUM(B35:M35)</f>
        <v>-1099700</v>
      </c>
      <c r="O35" s="775"/>
      <c r="P35" s="775"/>
      <c r="Q35" s="450" t="n">
        <f aca="false">+N35+P35-O35</f>
        <v>-1099700</v>
      </c>
    </row>
    <row r="36" customFormat="false" ht="15" hidden="false" customHeight="false" outlineLevel="0" collapsed="false">
      <c r="A36" s="785" t="s">
        <v>769</v>
      </c>
      <c r="B36" s="779" t="n">
        <f aca="false">+B34+B35</f>
        <v>324243</v>
      </c>
      <c r="C36" s="779" t="n">
        <f aca="false">+'Planilla final'!C52</f>
        <v>0</v>
      </c>
      <c r="D36" s="779" t="n">
        <f aca="false">+'Planilla final'!D52</f>
        <v>0</v>
      </c>
      <c r="E36" s="779" t="n">
        <f aca="false">+'Planilla final'!E52</f>
        <v>0</v>
      </c>
      <c r="F36" s="779" t="n">
        <f aca="false">+'Planilla final'!F52</f>
        <v>0</v>
      </c>
      <c r="G36" s="779" t="n">
        <f aca="false">+'Planilla final'!G52</f>
        <v>0</v>
      </c>
      <c r="H36" s="779" t="n">
        <f aca="false">+'Planilla final'!H52</f>
        <v>0</v>
      </c>
      <c r="I36" s="779" t="n">
        <f aca="false">+'Planilla final'!I52</f>
        <v>0</v>
      </c>
      <c r="J36" s="779" t="n">
        <f aca="false">+'Planilla final'!J52</f>
        <v>0</v>
      </c>
      <c r="K36" s="779" t="n">
        <f aca="false">+'Planilla final'!K52</f>
        <v>0</v>
      </c>
      <c r="L36" s="779" t="n">
        <f aca="false">+'Planilla final'!L52</f>
        <v>150408.58</v>
      </c>
      <c r="M36" s="779" t="n">
        <f aca="false">+'Planilla final'!M52</f>
        <v>0</v>
      </c>
      <c r="N36" s="779" t="n">
        <f aca="false">SUM(B36:M36)</f>
        <v>474651.58</v>
      </c>
      <c r="O36" s="779" t="n">
        <f aca="false">SUM(O34:O35)</f>
        <v>0</v>
      </c>
      <c r="P36" s="779" t="n">
        <f aca="false">SUM(P34:P35)</f>
        <v>0</v>
      </c>
      <c r="Q36" s="779" t="n">
        <f aca="false">+N36+P36-O36</f>
        <v>474651.58</v>
      </c>
      <c r="R36" s="776" t="n">
        <f aca="false">+Q36-ECP19!J67</f>
        <v>150408.58</v>
      </c>
    </row>
    <row r="37" customFormat="false" ht="15" hidden="false" customHeight="false" outlineLevel="0" collapsed="false">
      <c r="B37" s="782"/>
      <c r="C37" s="782"/>
      <c r="D37" s="782"/>
      <c r="E37" s="782"/>
      <c r="F37" s="782"/>
      <c r="G37" s="782"/>
      <c r="H37" s="782"/>
      <c r="I37" s="782"/>
      <c r="J37" s="782"/>
      <c r="K37" s="782"/>
      <c r="L37" s="782"/>
      <c r="M37" s="782"/>
      <c r="N37" s="782"/>
      <c r="O37" s="782" t="n">
        <f aca="false">+O36-'Planilla final'!O52</f>
        <v>0</v>
      </c>
      <c r="P37" s="782" t="n">
        <f aca="false">+P36-'Planilla final'!P52</f>
        <v>0</v>
      </c>
    </row>
    <row r="38" customFormat="false" ht="15" hidden="false" customHeight="false" outlineLevel="0" collapsed="false">
      <c r="A38" s="783" t="s">
        <v>778</v>
      </c>
      <c r="B38" s="781"/>
      <c r="C38" s="781"/>
      <c r="D38" s="781"/>
      <c r="E38" s="781"/>
      <c r="F38" s="781"/>
      <c r="G38" s="781"/>
      <c r="H38" s="781"/>
      <c r="I38" s="781"/>
      <c r="J38" s="781"/>
      <c r="K38" s="781"/>
      <c r="L38" s="781"/>
      <c r="M38" s="781"/>
      <c r="N38" s="781"/>
      <c r="O38" s="781"/>
      <c r="P38" s="781"/>
      <c r="Q38" s="447"/>
    </row>
    <row r="39" customFormat="false" ht="15" hidden="false" customHeight="false" outlineLevel="0" collapsed="false">
      <c r="A39" s="451" t="s">
        <v>765</v>
      </c>
      <c r="B39" s="775" t="n">
        <v>0</v>
      </c>
      <c r="C39" s="775" t="n">
        <v>0</v>
      </c>
      <c r="D39" s="775" t="n">
        <v>0</v>
      </c>
      <c r="E39" s="775" t="n">
        <v>0</v>
      </c>
      <c r="F39" s="775" t="n">
        <v>0</v>
      </c>
      <c r="G39" s="775" t="n">
        <v>0</v>
      </c>
      <c r="H39" s="775" t="n">
        <v>0</v>
      </c>
      <c r="I39" s="775" t="n">
        <v>0</v>
      </c>
      <c r="J39" s="775" t="n">
        <v>1378712</v>
      </c>
      <c r="K39" s="775" t="n">
        <v>0</v>
      </c>
      <c r="L39" s="775" t="n">
        <v>274690.04</v>
      </c>
      <c r="M39" s="775" t="n">
        <v>0</v>
      </c>
      <c r="N39" s="775" t="n">
        <f aca="false">SUM(B39:M39)</f>
        <v>1653402.04</v>
      </c>
      <c r="O39" s="775" t="n">
        <f aca="false">+'AD ESF'!D141+'AD ESF'!D152</f>
        <v>1653402</v>
      </c>
      <c r="P39" s="775"/>
      <c r="Q39" s="450" t="n">
        <f aca="false">+N39+P39-O39</f>
        <v>0.0400000000372529</v>
      </c>
    </row>
    <row r="40" customFormat="false" ht="15" hidden="false" customHeight="false" outlineLevel="0" collapsed="false">
      <c r="A40" s="451" t="s">
        <v>779</v>
      </c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 t="n">
        <v>-151290</v>
      </c>
      <c r="M40" s="775"/>
      <c r="N40" s="775" t="n">
        <f aca="false">SUM(B40:M40)</f>
        <v>-151290</v>
      </c>
      <c r="O40" s="775"/>
      <c r="P40" s="775" t="n">
        <f aca="false">+'AD ESF'!E177</f>
        <v>151290</v>
      </c>
      <c r="Q40" s="450" t="n">
        <f aca="false">+N40+P40-O40</f>
        <v>0</v>
      </c>
    </row>
    <row r="41" customFormat="false" ht="15" hidden="false" customHeight="false" outlineLevel="0" collapsed="false">
      <c r="A41" s="785" t="s">
        <v>769</v>
      </c>
      <c r="B41" s="779" t="n">
        <f aca="false">SUM(B39:B40)</f>
        <v>0</v>
      </c>
      <c r="C41" s="779" t="n">
        <f aca="false">SUM(C39:C40)</f>
        <v>0</v>
      </c>
      <c r="D41" s="779" t="n">
        <f aca="false">SUM(D39:D40)</f>
        <v>0</v>
      </c>
      <c r="E41" s="779" t="n">
        <f aca="false">SUM(E39:E40)</f>
        <v>0</v>
      </c>
      <c r="F41" s="779" t="n">
        <f aca="false">SUM(F39:F40)</f>
        <v>0</v>
      </c>
      <c r="G41" s="779" t="n">
        <f aca="false">SUM(G39:G40)</f>
        <v>0</v>
      </c>
      <c r="H41" s="779" t="n">
        <f aca="false">SUM(H39:H40)</f>
        <v>0</v>
      </c>
      <c r="I41" s="779" t="n">
        <f aca="false">SUM(I39:I40)</f>
        <v>0</v>
      </c>
      <c r="J41" s="779" t="n">
        <f aca="false">SUM(J39:J40)</f>
        <v>1378712</v>
      </c>
      <c r="K41" s="779" t="n">
        <f aca="false">SUM(K39:K40)</f>
        <v>0</v>
      </c>
      <c r="L41" s="779" t="n">
        <f aca="false">SUM(L39:L40)</f>
        <v>123400.04</v>
      </c>
      <c r="M41" s="779" t="n">
        <f aca="false">SUM(M39:M40)</f>
        <v>0</v>
      </c>
      <c r="N41" s="779" t="n">
        <f aca="false">SUM(B41:M41)</f>
        <v>1502112.04</v>
      </c>
      <c r="O41" s="779" t="n">
        <f aca="false">SUM(O39:O40)</f>
        <v>1653402</v>
      </c>
      <c r="P41" s="779" t="n">
        <f aca="false">SUM(P39:P40)</f>
        <v>151290</v>
      </c>
      <c r="Q41" s="779" t="n">
        <f aca="false">SUM(Q39:Q40)</f>
        <v>0.0400000000372529</v>
      </c>
    </row>
    <row r="42" customFormat="false" ht="15" hidden="false" customHeight="false" outlineLevel="0" collapsed="false">
      <c r="B42" s="782"/>
      <c r="C42" s="782"/>
      <c r="D42" s="782"/>
      <c r="E42" s="782"/>
      <c r="F42" s="782"/>
      <c r="G42" s="782"/>
      <c r="H42" s="782"/>
      <c r="I42" s="782"/>
      <c r="J42" s="782"/>
      <c r="K42" s="782"/>
      <c r="L42" s="782"/>
      <c r="M42" s="782"/>
      <c r="N42" s="782"/>
      <c r="O42" s="782" t="n">
        <f aca="false">+O41-'Planilla final'!O53</f>
        <v>1653402</v>
      </c>
      <c r="P42" s="782" t="n">
        <f aca="false">+P41-'Planilla final'!P53</f>
        <v>151290</v>
      </c>
    </row>
    <row r="43" customFormat="false" ht="15" hidden="false" customHeight="false" outlineLevel="0" collapsed="false">
      <c r="A43" s="783" t="s">
        <v>780</v>
      </c>
      <c r="B43" s="781"/>
      <c r="C43" s="781"/>
      <c r="D43" s="781"/>
      <c r="E43" s="781"/>
      <c r="F43" s="781"/>
      <c r="G43" s="781"/>
      <c r="H43" s="781"/>
      <c r="I43" s="781"/>
      <c r="J43" s="781"/>
      <c r="K43" s="781"/>
      <c r="L43" s="781"/>
      <c r="M43" s="781"/>
      <c r="N43" s="781"/>
      <c r="O43" s="781"/>
      <c r="P43" s="781"/>
      <c r="Q43" s="447"/>
    </row>
    <row r="44" customFormat="false" ht="15" hidden="false" customHeight="false" outlineLevel="0" collapsed="false">
      <c r="A44" s="451" t="s">
        <v>765</v>
      </c>
      <c r="B44" s="775" t="n">
        <v>-3202431</v>
      </c>
      <c r="C44" s="775" t="n">
        <v>0</v>
      </c>
      <c r="D44" s="775" t="n">
        <v>0</v>
      </c>
      <c r="E44" s="775" t="n">
        <v>0</v>
      </c>
      <c r="F44" s="775" t="n">
        <v>82150</v>
      </c>
      <c r="G44" s="775" t="n">
        <v>0</v>
      </c>
      <c r="H44" s="775" t="n">
        <v>0</v>
      </c>
      <c r="I44" s="775" t="n">
        <v>0</v>
      </c>
      <c r="J44" s="775" t="n">
        <v>0</v>
      </c>
      <c r="K44" s="775" t="n">
        <v>0</v>
      </c>
      <c r="L44" s="775" t="n">
        <v>-56932</v>
      </c>
      <c r="M44" s="775" t="n">
        <v>0</v>
      </c>
      <c r="N44" s="775" t="n">
        <f aca="false">SUM(B44:M44)</f>
        <v>-3177213</v>
      </c>
      <c r="O44" s="775"/>
      <c r="P44" s="775" t="n">
        <f aca="false">+'AD ESF'!E144</f>
        <v>-25218</v>
      </c>
      <c r="Q44" s="450" t="n">
        <f aca="false">+N44+P44-O44</f>
        <v>-3202431</v>
      </c>
      <c r="R44" s="776" t="n">
        <f aca="false">+Q44-ECP19!N47</f>
        <v>0</v>
      </c>
    </row>
    <row r="45" customFormat="false" ht="15" hidden="false" customHeight="false" outlineLevel="0" collapsed="false">
      <c r="A45" s="451"/>
      <c r="B45" s="775"/>
      <c r="C45" s="775"/>
      <c r="D45" s="775"/>
      <c r="E45" s="775"/>
      <c r="F45" s="775"/>
      <c r="G45" s="775"/>
      <c r="H45" s="775"/>
      <c r="I45" s="775"/>
      <c r="J45" s="775"/>
      <c r="K45" s="775"/>
      <c r="L45" s="775"/>
      <c r="M45" s="775"/>
      <c r="N45" s="775" t="n">
        <f aca="false">SUM(B45:M45)</f>
        <v>0</v>
      </c>
      <c r="O45" s="775"/>
      <c r="P45" s="775"/>
      <c r="Q45" s="450" t="n">
        <f aca="false">+N45+P45-O45</f>
        <v>0</v>
      </c>
    </row>
    <row r="46" customFormat="false" ht="15" hidden="false" customHeight="false" outlineLevel="0" collapsed="false">
      <c r="A46" s="785" t="s">
        <v>769</v>
      </c>
      <c r="B46" s="779" t="n">
        <f aca="false">SUM(B44:B45)</f>
        <v>-3202431</v>
      </c>
      <c r="C46" s="779" t="n">
        <f aca="false">SUM(C44:C45)</f>
        <v>0</v>
      </c>
      <c r="D46" s="779" t="n">
        <f aca="false">SUM(D44:D45)</f>
        <v>0</v>
      </c>
      <c r="E46" s="779" t="n">
        <f aca="false">SUM(E44:E45)</f>
        <v>0</v>
      </c>
      <c r="F46" s="779" t="n">
        <f aca="false">SUM(F44:F45)</f>
        <v>82150</v>
      </c>
      <c r="G46" s="779" t="n">
        <f aca="false">SUM(G44:G45)</f>
        <v>0</v>
      </c>
      <c r="H46" s="779" t="n">
        <f aca="false">SUM(H44:H45)</f>
        <v>0</v>
      </c>
      <c r="I46" s="779" t="n">
        <f aca="false">SUM(I44:I45)</f>
        <v>0</v>
      </c>
      <c r="J46" s="779" t="n">
        <f aca="false">SUM(J44:J45)</f>
        <v>0</v>
      </c>
      <c r="K46" s="779" t="n">
        <f aca="false">SUM(K44:K45)</f>
        <v>0</v>
      </c>
      <c r="L46" s="779" t="n">
        <f aca="false">SUM(L44:L45)</f>
        <v>-56932</v>
      </c>
      <c r="M46" s="779" t="n">
        <f aca="false">SUM(M44:M45)</f>
        <v>0</v>
      </c>
      <c r="N46" s="779" t="n">
        <f aca="false">SUM(N44:N45)</f>
        <v>-3177213</v>
      </c>
      <c r="O46" s="779" t="n">
        <f aca="false">SUM(O44:O45)</f>
        <v>0</v>
      </c>
      <c r="P46" s="779" t="n">
        <f aca="false">SUM(P44:P45)</f>
        <v>-25218</v>
      </c>
      <c r="Q46" s="779" t="n">
        <f aca="false">SUM(Q44:Q45)</f>
        <v>-3202431</v>
      </c>
      <c r="R46" s="776" t="n">
        <f aca="false">+Q46-ECP19!N67</f>
        <v>0</v>
      </c>
    </row>
    <row r="47" customFormat="false" ht="15" hidden="false" customHeight="false" outlineLevel="0" collapsed="false">
      <c r="B47" s="782"/>
      <c r="C47" s="782"/>
      <c r="D47" s="782"/>
      <c r="E47" s="782"/>
      <c r="F47" s="782"/>
      <c r="G47" s="782"/>
      <c r="H47" s="782"/>
      <c r="I47" s="782"/>
      <c r="J47" s="782"/>
      <c r="K47" s="782"/>
      <c r="L47" s="782"/>
      <c r="M47" s="782"/>
      <c r="N47" s="782"/>
      <c r="O47" s="782" t="n">
        <f aca="false">+O46-'Planilla final'!O54</f>
        <v>0</v>
      </c>
      <c r="P47" s="782" t="n">
        <f aca="false">+P46-'Planilla final'!P54</f>
        <v>-25218</v>
      </c>
    </row>
    <row r="48" customFormat="false" ht="15" hidden="false" customHeight="false" outlineLevel="0" collapsed="false">
      <c r="A48" s="774" t="s">
        <v>781</v>
      </c>
      <c r="B48" s="781"/>
      <c r="C48" s="781"/>
      <c r="D48" s="781"/>
      <c r="E48" s="781"/>
      <c r="F48" s="781"/>
      <c r="G48" s="781"/>
      <c r="H48" s="781"/>
      <c r="I48" s="781"/>
      <c r="J48" s="781"/>
      <c r="K48" s="781"/>
      <c r="L48" s="781"/>
      <c r="M48" s="781"/>
      <c r="N48" s="781"/>
      <c r="O48" s="781"/>
      <c r="P48" s="781"/>
      <c r="Q48" s="447"/>
    </row>
    <row r="49" customFormat="false" ht="15" hidden="false" customHeight="false" outlineLevel="0" collapsed="false">
      <c r="A49" s="589" t="s">
        <v>765</v>
      </c>
      <c r="B49" s="775" t="n">
        <v>42657482</v>
      </c>
      <c r="C49" s="775" t="n">
        <v>-4291030</v>
      </c>
      <c r="D49" s="775" t="n">
        <v>50053.89</v>
      </c>
      <c r="E49" s="775" t="n">
        <v>34764</v>
      </c>
      <c r="F49" s="787" t="n">
        <v>-1223180</v>
      </c>
      <c r="G49" s="775" t="n">
        <v>-80845</v>
      </c>
      <c r="H49" s="775" t="n">
        <v>1762.47</v>
      </c>
      <c r="I49" s="775" t="n">
        <v>0</v>
      </c>
      <c r="J49" s="787" t="n">
        <v>-201038</v>
      </c>
      <c r="K49" s="775" t="n">
        <v>-1012827</v>
      </c>
      <c r="L49" s="775" t="n">
        <v>-4780262</v>
      </c>
      <c r="M49" s="775" t="n">
        <v>-584524</v>
      </c>
      <c r="N49" s="775" t="n">
        <f aca="false">SUM(B49:M49)</f>
        <v>30570356.36</v>
      </c>
      <c r="O49" s="775"/>
      <c r="P49" s="775" t="n">
        <f aca="false">+'AD ESF'!E145+'AD ESF'!E155+'AD ESF'!E163</f>
        <v>5984904</v>
      </c>
      <c r="Q49" s="450" t="n">
        <f aca="false">+N49+P49-O49</f>
        <v>36555260.36</v>
      </c>
      <c r="R49" s="776" t="n">
        <f aca="false">+Q49-ECP19!P47</f>
        <v>0.289777383208275</v>
      </c>
      <c r="S49" s="442"/>
    </row>
    <row r="50" customFormat="false" ht="15" hidden="false" customHeight="false" outlineLevel="0" collapsed="false">
      <c r="A50" s="589" t="s">
        <v>782</v>
      </c>
      <c r="B50" s="775" t="n">
        <v>-1770198</v>
      </c>
      <c r="C50" s="775"/>
      <c r="D50" s="775"/>
      <c r="E50" s="775"/>
      <c r="F50" s="787"/>
      <c r="G50" s="775"/>
      <c r="H50" s="775"/>
      <c r="I50" s="775"/>
      <c r="J50" s="787"/>
      <c r="K50" s="775"/>
      <c r="L50" s="775"/>
      <c r="M50" s="775"/>
      <c r="N50" s="775" t="n">
        <f aca="false">SUM(B50:M50)</f>
        <v>-1770198</v>
      </c>
      <c r="O50" s="775"/>
      <c r="P50" s="775"/>
      <c r="Q50" s="450" t="n">
        <f aca="false">+N50+P50-O50</f>
        <v>-1770198</v>
      </c>
      <c r="R50" s="776"/>
      <c r="S50" s="442"/>
    </row>
    <row r="51" customFormat="false" ht="30" hidden="false" customHeight="false" outlineLevel="0" collapsed="false">
      <c r="A51" s="777" t="s">
        <v>768</v>
      </c>
      <c r="B51" s="775" t="n">
        <v>-8215675</v>
      </c>
      <c r="C51" s="775"/>
      <c r="D51" s="775"/>
      <c r="E51" s="775"/>
      <c r="F51" s="775"/>
      <c r="G51" s="775"/>
      <c r="H51" s="775"/>
      <c r="I51" s="775"/>
      <c r="J51" s="775"/>
      <c r="K51" s="775"/>
      <c r="L51" s="775"/>
      <c r="M51" s="775"/>
      <c r="N51" s="775" t="n">
        <f aca="false">SUM(B51:M51)</f>
        <v>-8215675</v>
      </c>
      <c r="O51" s="775"/>
      <c r="P51" s="775"/>
      <c r="Q51" s="450" t="n">
        <f aca="false">+N51+P51-O51</f>
        <v>-8215675</v>
      </c>
      <c r="R51" s="776"/>
    </row>
    <row r="52" customFormat="false" ht="15" hidden="false" customHeight="false" outlineLevel="0" collapsed="false">
      <c r="A52" s="589" t="s">
        <v>783</v>
      </c>
      <c r="B52" s="775" t="n">
        <v>-912853</v>
      </c>
      <c r="C52" s="775"/>
      <c r="D52" s="775"/>
      <c r="E52" s="775"/>
      <c r="F52" s="775"/>
      <c r="G52" s="775"/>
      <c r="H52" s="775"/>
      <c r="I52" s="775"/>
      <c r="J52" s="775"/>
      <c r="K52" s="775"/>
      <c r="L52" s="775"/>
      <c r="M52" s="775"/>
      <c r="N52" s="775" t="n">
        <f aca="false">SUM(B52:M52)</f>
        <v>-912853</v>
      </c>
      <c r="O52" s="775"/>
      <c r="P52" s="775"/>
      <c r="Q52" s="450" t="n">
        <f aca="false">+N52+P52-O52</f>
        <v>-912853</v>
      </c>
    </row>
    <row r="53" customFormat="false" ht="15" hidden="false" customHeight="false" outlineLevel="0" collapsed="false">
      <c r="A53" s="589" t="s">
        <v>668</v>
      </c>
      <c r="B53" s="775" t="n">
        <v>-5488035</v>
      </c>
      <c r="C53" s="775"/>
      <c r="D53" s="775"/>
      <c r="E53" s="775"/>
      <c r="F53" s="775"/>
      <c r="G53" s="775"/>
      <c r="H53" s="775"/>
      <c r="I53" s="775"/>
      <c r="J53" s="775"/>
      <c r="K53" s="775"/>
      <c r="L53" s="775"/>
      <c r="M53" s="775"/>
      <c r="N53" s="775" t="n">
        <f aca="false">SUM(B53:M53)</f>
        <v>-5488035</v>
      </c>
      <c r="O53" s="775"/>
      <c r="P53" s="775"/>
      <c r="Q53" s="450" t="n">
        <f aca="false">+N53+P53-O53</f>
        <v>-5488035</v>
      </c>
    </row>
    <row r="54" customFormat="false" ht="15" hidden="false" customHeight="false" outlineLevel="0" collapsed="false">
      <c r="A54" s="589" t="s">
        <v>740</v>
      </c>
      <c r="B54" s="775"/>
      <c r="C54" s="775" t="n">
        <v>37386</v>
      </c>
      <c r="D54" s="775"/>
      <c r="E54" s="775" t="n">
        <f aca="false">-34764</f>
        <v>-34764</v>
      </c>
      <c r="F54" s="775" t="n">
        <v>1173951</v>
      </c>
      <c r="G54" s="775"/>
      <c r="H54" s="775" t="n">
        <v>-1762</v>
      </c>
      <c r="I54" s="775"/>
      <c r="J54" s="775"/>
      <c r="K54" s="775" t="n">
        <v>-1728</v>
      </c>
      <c r="L54" s="775"/>
      <c r="M54" s="775" t="n">
        <v>-38152</v>
      </c>
      <c r="N54" s="775" t="n">
        <f aca="false">SUM(B54:M54)</f>
        <v>1134931</v>
      </c>
      <c r="O54" s="775" t="n">
        <f aca="false">+'AD ESF'!D198</f>
        <v>950362</v>
      </c>
      <c r="P54" s="775" t="n">
        <f aca="false">+'AD ESF'!E228</f>
        <v>36526</v>
      </c>
      <c r="Q54" s="450" t="n">
        <f aca="false">+N54+P54-O54</f>
        <v>221095</v>
      </c>
    </row>
    <row r="55" customFormat="false" ht="15" hidden="false" customHeight="false" outlineLevel="0" collapsed="false">
      <c r="A55" s="589" t="s">
        <v>784</v>
      </c>
      <c r="B55" s="775" t="n">
        <f aca="false">+'Planilla final'!B71</f>
        <v>31376175.6</v>
      </c>
      <c r="C55" s="775" t="n">
        <v>-5325487</v>
      </c>
      <c r="D55" s="775" t="n">
        <v>181072</v>
      </c>
      <c r="E55" s="775"/>
      <c r="F55" s="775" t="n">
        <f aca="false">+'Planilla final'!F73</f>
        <v>0</v>
      </c>
      <c r="G55" s="775" t="n">
        <v>-13474</v>
      </c>
      <c r="H55" s="775"/>
      <c r="I55" s="775"/>
      <c r="J55" s="775" t="n">
        <v>-40586</v>
      </c>
      <c r="K55" s="775" t="n">
        <f aca="false">+'Planilla final'!$K$73</f>
        <v>0</v>
      </c>
      <c r="L55" s="775" t="n">
        <v>1634914</v>
      </c>
      <c r="M55" s="775" t="n">
        <f aca="false">+'Planilla final'!M73</f>
        <v>0</v>
      </c>
      <c r="N55" s="775" t="n">
        <f aca="false">SUM(B55:M55)</f>
        <v>27812614.6</v>
      </c>
      <c r="O55" s="775" t="n">
        <f aca="false">+'Planilla final'!O73</f>
        <v>0</v>
      </c>
      <c r="P55" s="775" t="n">
        <f aca="false">+'AD ESF'!E183+'Planilla final'!P73</f>
        <v>1317319.89366</v>
      </c>
      <c r="Q55" s="450" t="n">
        <f aca="false">+N55+P55-O55</f>
        <v>29129934.49366</v>
      </c>
    </row>
    <row r="56" customFormat="false" ht="15" hidden="false" customHeight="false" outlineLevel="0" collapsed="false">
      <c r="A56" s="778" t="s">
        <v>769</v>
      </c>
      <c r="B56" s="779" t="n">
        <f aca="false">SUM(B49:B55)</f>
        <v>57646896.6</v>
      </c>
      <c r="C56" s="779" t="n">
        <f aca="false">SUM(C49:C55)</f>
        <v>-9579131</v>
      </c>
      <c r="D56" s="779" t="n">
        <f aca="false">SUM(D49:D55)</f>
        <v>231125.89</v>
      </c>
      <c r="E56" s="779" t="n">
        <f aca="false">SUM(E49:E55)</f>
        <v>0</v>
      </c>
      <c r="F56" s="779" t="n">
        <f aca="false">SUM(F49:F55)</f>
        <v>-49229</v>
      </c>
      <c r="G56" s="779" t="n">
        <f aca="false">SUM(G49:G55)</f>
        <v>-94319</v>
      </c>
      <c r="H56" s="779" t="n">
        <f aca="false">SUM(H49:H55)</f>
        <v>0.470000000000027</v>
      </c>
      <c r="I56" s="779" t="n">
        <f aca="false">SUM(I49:I55)</f>
        <v>0</v>
      </c>
      <c r="J56" s="779" t="n">
        <f aca="false">SUM(J49:J55)</f>
        <v>-241624</v>
      </c>
      <c r="K56" s="779" t="n">
        <f aca="false">SUM(K49:K55)</f>
        <v>-1014555</v>
      </c>
      <c r="L56" s="779" t="n">
        <f aca="false">SUM(L49:L55)</f>
        <v>-3145348</v>
      </c>
      <c r="M56" s="779" t="n">
        <f aca="false">SUM(M49:M55)</f>
        <v>-622676</v>
      </c>
      <c r="N56" s="779" t="n">
        <f aca="false">SUM(N49:N55)</f>
        <v>43131140.96</v>
      </c>
      <c r="O56" s="779" t="n">
        <f aca="false">SUM(O49:O55)</f>
        <v>950362</v>
      </c>
      <c r="P56" s="779" t="n">
        <f aca="false">SUM(P49:P55)</f>
        <v>7338749.89366</v>
      </c>
      <c r="Q56" s="779" t="n">
        <f aca="false">SUM(Q49:Q55)</f>
        <v>49519528.85366</v>
      </c>
      <c r="R56" s="776" t="n">
        <f aca="false">+Q56-ECP19!P67</f>
        <v>15399017.0197774</v>
      </c>
    </row>
    <row r="57" customFormat="false" ht="15" hidden="false" customHeight="false" outlineLevel="0" collapsed="false">
      <c r="B57" s="788" t="n">
        <f aca="false">+B56-'Planilla final'!B55</f>
        <v>26270721</v>
      </c>
      <c r="C57" s="788" t="n">
        <f aca="false">+C56-'Planilla final'!C55</f>
        <v>-9579131</v>
      </c>
      <c r="D57" s="788" t="n">
        <f aca="false">+D56-'Planilla final'!D55</f>
        <v>231125.89</v>
      </c>
      <c r="E57" s="788" t="n">
        <f aca="false">+E56-'Planilla final'!E55</f>
        <v>0</v>
      </c>
      <c r="F57" s="788" t="n">
        <f aca="false">+F56-'Planilla final'!F55</f>
        <v>-49229</v>
      </c>
      <c r="G57" s="788" t="n">
        <f aca="false">+G56-'Planilla final'!G55</f>
        <v>-94319</v>
      </c>
      <c r="H57" s="788" t="n">
        <f aca="false">+H56-'Planilla final'!H55</f>
        <v>0.470000000000027</v>
      </c>
      <c r="I57" s="788" t="n">
        <f aca="false">+I56-'Planilla final'!I55</f>
        <v>0</v>
      </c>
      <c r="J57" s="788" t="n">
        <f aca="false">+J56-'Planilla final'!J55</f>
        <v>-241624</v>
      </c>
      <c r="K57" s="788" t="n">
        <f aca="false">+K56-'Planilla final'!K55</f>
        <v>-1014555</v>
      </c>
      <c r="L57" s="788" t="n">
        <f aca="false">+L56-'Planilla final'!L55</f>
        <v>827925.83</v>
      </c>
      <c r="M57" s="788" t="n">
        <f aca="false">+M56-'Planilla final'!M55</f>
        <v>-622676</v>
      </c>
      <c r="N57" s="788" t="n">
        <f aca="false">+N56-'Planilla final'!N55</f>
        <v>15728239.19</v>
      </c>
      <c r="O57" s="788" t="n">
        <f aca="false">+O56-'Planilla final'!O55</f>
        <v>950362</v>
      </c>
      <c r="P57" s="788" t="n">
        <f aca="false">+P56-'Planilla final'!P55</f>
        <v>7338749.89366</v>
      </c>
      <c r="Q57" s="788" t="n">
        <f aca="false">+Q56-'Planilla final'!Q55</f>
        <v>22116627.08366</v>
      </c>
      <c r="S57" s="442"/>
    </row>
    <row r="58" customFormat="false" ht="15" hidden="false" customHeight="false" outlineLevel="0" collapsed="false">
      <c r="A58" s="774" t="s">
        <v>785</v>
      </c>
      <c r="B58" s="447"/>
      <c r="C58" s="447"/>
      <c r="D58" s="447"/>
      <c r="E58" s="447"/>
      <c r="F58" s="447"/>
      <c r="G58" s="447"/>
      <c r="H58" s="447"/>
      <c r="I58" s="447"/>
      <c r="J58" s="447"/>
      <c r="K58" s="447"/>
      <c r="L58" s="447"/>
      <c r="M58" s="447"/>
      <c r="N58" s="447"/>
      <c r="O58" s="781"/>
      <c r="P58" s="781"/>
      <c r="Q58" s="447"/>
    </row>
    <row r="59" customFormat="false" ht="15" hidden="false" customHeight="false" outlineLevel="0" collapsed="false">
      <c r="A59" s="589" t="s">
        <v>765</v>
      </c>
      <c r="B59" s="451"/>
      <c r="C59" s="451"/>
      <c r="D59" s="451"/>
      <c r="E59" s="451"/>
      <c r="F59" s="451"/>
      <c r="G59" s="451"/>
      <c r="H59" s="451"/>
      <c r="I59" s="451"/>
      <c r="J59" s="451"/>
      <c r="K59" s="451"/>
      <c r="L59" s="451"/>
      <c r="M59" s="451"/>
      <c r="N59" s="451" t="n">
        <f aca="false">SUM(B59:M59)</f>
        <v>0</v>
      </c>
      <c r="P59" s="775" t="n">
        <f aca="false">+'AD ESF'!E164</f>
        <v>7673392</v>
      </c>
      <c r="Q59" s="450" t="n">
        <f aca="false">+N59+P59-O59</f>
        <v>7673392</v>
      </c>
      <c r="R59" s="776" t="n">
        <f aca="false">+Q59-ECP19!R47</f>
        <v>-0.419777376577258</v>
      </c>
    </row>
    <row r="60" customFormat="false" ht="15" hidden="false" customHeight="false" outlineLevel="0" collapsed="false">
      <c r="A60" s="589" t="s">
        <v>786</v>
      </c>
      <c r="B60" s="451"/>
      <c r="C60" s="451"/>
      <c r="D60" s="451"/>
      <c r="E60" s="451"/>
      <c r="F60" s="451"/>
      <c r="G60" s="451"/>
      <c r="H60" s="451"/>
      <c r="I60" s="451"/>
      <c r="J60" s="451"/>
      <c r="K60" s="451"/>
      <c r="L60" s="451"/>
      <c r="M60" s="451"/>
      <c r="N60" s="451"/>
      <c r="O60" s="782" t="n">
        <f aca="false">+'AD ESF'!D188</f>
        <v>3200</v>
      </c>
      <c r="P60" s="775" t="n">
        <f aca="false">+'AD ESF'!E224</f>
        <v>3200</v>
      </c>
      <c r="Q60" s="450" t="n">
        <f aca="false">+N60+P60-O60</f>
        <v>0</v>
      </c>
      <c r="R60" s="776"/>
    </row>
    <row r="61" customFormat="false" ht="30" hidden="false" customHeight="false" outlineLevel="0" collapsed="false">
      <c r="A61" s="777" t="s">
        <v>787</v>
      </c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775" t="n">
        <f aca="false">+'AD ESF'!D182</f>
        <v>1317319.89366</v>
      </c>
      <c r="P61" s="775"/>
      <c r="Q61" s="450" t="n">
        <f aca="false">+N61+P61-O61</f>
        <v>-1317319.89366</v>
      </c>
    </row>
    <row r="62" customFormat="false" ht="15" hidden="false" customHeight="false" outlineLevel="0" collapsed="false">
      <c r="A62" s="589" t="s">
        <v>744</v>
      </c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1" t="n">
        <f aca="false">SUM(B62:M62)</f>
        <v>0</v>
      </c>
      <c r="O62" s="775"/>
      <c r="P62" s="775" t="n">
        <f aca="false">+'AD ESF'!E170</f>
        <v>1188714</v>
      </c>
      <c r="Q62" s="450" t="n">
        <f aca="false">+N62+P62-O62</f>
        <v>1188714</v>
      </c>
    </row>
    <row r="63" customFormat="false" ht="15" hidden="false" customHeight="false" outlineLevel="0" collapsed="false">
      <c r="A63" s="778" t="s">
        <v>769</v>
      </c>
      <c r="B63" s="785"/>
      <c r="C63" s="785"/>
      <c r="D63" s="785"/>
      <c r="E63" s="785" t="n">
        <f aca="false">SUM(E59:E62)</f>
        <v>0</v>
      </c>
      <c r="F63" s="785" t="n">
        <f aca="false">SUM(F59:F62)</f>
        <v>0</v>
      </c>
      <c r="G63" s="785" t="n">
        <f aca="false">SUM(G59:G62)</f>
        <v>0</v>
      </c>
      <c r="H63" s="785" t="n">
        <f aca="false">SUM(H59:H62)</f>
        <v>0</v>
      </c>
      <c r="I63" s="785" t="n">
        <f aca="false">SUM(I59:I62)</f>
        <v>0</v>
      </c>
      <c r="J63" s="785" t="n">
        <f aca="false">SUM(J59:J62)</f>
        <v>0</v>
      </c>
      <c r="K63" s="785" t="n">
        <f aca="false">SUM(K59:K62)</f>
        <v>0</v>
      </c>
      <c r="L63" s="785" t="n">
        <f aca="false">SUM(L59:L62)</f>
        <v>0</v>
      </c>
      <c r="M63" s="785" t="n">
        <f aca="false">SUM(M59:M62)</f>
        <v>0</v>
      </c>
      <c r="N63" s="785" t="n">
        <f aca="false">SUM(N59:N62)</f>
        <v>0</v>
      </c>
      <c r="O63" s="779" t="n">
        <f aca="false">SUM(O60:O62)</f>
        <v>1320519.89366</v>
      </c>
      <c r="P63" s="779" t="n">
        <f aca="false">SUM(P59:P62)</f>
        <v>8865306</v>
      </c>
      <c r="Q63" s="779" t="n">
        <f aca="false">SUM(Q59:Q62)</f>
        <v>7544786.10634</v>
      </c>
    </row>
    <row r="64" customFormat="false" ht="15" hidden="false" customHeight="false" outlineLevel="0" collapsed="false">
      <c r="A64" s="597"/>
      <c r="B64" s="597"/>
      <c r="C64" s="597"/>
      <c r="D64" s="597"/>
      <c r="E64" s="597"/>
      <c r="F64" s="597"/>
      <c r="G64" s="597"/>
      <c r="H64" s="597"/>
      <c r="I64" s="597"/>
      <c r="J64" s="597"/>
      <c r="K64" s="597"/>
      <c r="L64" s="597"/>
      <c r="M64" s="597"/>
      <c r="N64" s="597"/>
      <c r="O64" s="789" t="n">
        <f aca="false">+O63-'Planilla final'!O56</f>
        <v>1320519.89366</v>
      </c>
      <c r="P64" s="789" t="n">
        <f aca="false">+P63-'Planilla final'!P56</f>
        <v>8865306</v>
      </c>
      <c r="Q64" s="790" t="n">
        <f aca="false">+Q63-'Planilla final'!Q56</f>
        <v>7544786.10634</v>
      </c>
    </row>
    <row r="65" customFormat="false" ht="15" hidden="false" customHeight="false" outlineLevel="0" collapsed="false">
      <c r="A65" s="783" t="s">
        <v>788</v>
      </c>
      <c r="B65" s="781"/>
      <c r="C65" s="781"/>
      <c r="D65" s="781"/>
      <c r="E65" s="781"/>
      <c r="F65" s="781"/>
      <c r="G65" s="781"/>
      <c r="H65" s="781"/>
      <c r="I65" s="781"/>
      <c r="J65" s="781"/>
      <c r="K65" s="781"/>
      <c r="L65" s="781"/>
      <c r="M65" s="781"/>
      <c r="N65" s="781"/>
      <c r="O65" s="781"/>
      <c r="P65" s="781"/>
      <c r="Q65" s="447"/>
    </row>
    <row r="66" customFormat="false" ht="15" hidden="false" customHeight="false" outlineLevel="0" collapsed="false">
      <c r="A66" s="451" t="s">
        <v>765</v>
      </c>
      <c r="B66" s="775" t="n">
        <f aca="false">+B6+B13+B18+B24+B29+B34+B44+B49+B39+B59</f>
        <v>81406978.56</v>
      </c>
      <c r="C66" s="775" t="n">
        <f aca="false">+C6+C13+C18+C24+C29+C34+C44+C49+C39+C59</f>
        <v>32856864.46</v>
      </c>
      <c r="D66" s="775" t="n">
        <f aca="false">+D6+D13+D18+D24+D29+D34+D44+D49+D39+D59</f>
        <v>2032366.94</v>
      </c>
      <c r="E66" s="775" t="n">
        <f aca="false">+E6+E13+E18+E24+E29+E34+E44+E49+E39+E59</f>
        <v>119191</v>
      </c>
      <c r="F66" s="775" t="n">
        <f aca="false">+F6+F13+F18+F24+F29+F34+F44+F49+F39+F59</f>
        <v>-1090515</v>
      </c>
      <c r="G66" s="775" t="n">
        <f aca="false">+G6+G13+G18+G24+G29+G34+G44+G49+G39+G59</f>
        <v>360238</v>
      </c>
      <c r="H66" s="775" t="n">
        <f aca="false">+H6+H13+H18+H24+H29+H34+H44+H49+H39+H59</f>
        <v>7988.47</v>
      </c>
      <c r="I66" s="775" t="n">
        <f aca="false">+I6+I13+I18+I24+I29+I34+I44+I49+I39+I59</f>
        <v>10000</v>
      </c>
      <c r="J66" s="775" t="n">
        <f aca="false">+J6+J13+J18+J24+J29+J34+J44+J49+J39+J59</f>
        <v>1178814</v>
      </c>
      <c r="K66" s="775" t="n">
        <f aca="false">+K6+K13+K18+K24+K29+K34+K44+K49+K39+K59</f>
        <v>821390.66</v>
      </c>
      <c r="L66" s="775" t="n">
        <f aca="false">+L6+L13+L18+L24+L29+L34+L44+L49+L39+L59</f>
        <v>-494304.1</v>
      </c>
      <c r="M66" s="775" t="n">
        <f aca="false">+M6+M13+M18+M24+M29+M34+M44+M49+M39+M59</f>
        <v>-574524</v>
      </c>
      <c r="N66" s="775" t="n">
        <f aca="false">SUM(B66:M66)</f>
        <v>116634488.99</v>
      </c>
      <c r="O66" s="775" t="n">
        <f aca="false">+O6+O13+O18+O24+O29+O34+O44+O49+O39+O59</f>
        <v>47289417</v>
      </c>
      <c r="P66" s="775" t="n">
        <f aca="false">+P6+P13+P18+P24+P29+P34+P44+P49+P39+P59</f>
        <v>13633078</v>
      </c>
      <c r="Q66" s="775" t="n">
        <f aca="false">+P66+N66-O66</f>
        <v>82978149.99</v>
      </c>
      <c r="R66" s="776" t="n">
        <f aca="false">+Q66-ECP19!T47</f>
        <v>-0.0600000023841858</v>
      </c>
    </row>
    <row r="67" customFormat="false" ht="15" hidden="false" customHeight="false" outlineLevel="0" collapsed="false">
      <c r="A67" s="589" t="s">
        <v>782</v>
      </c>
      <c r="B67" s="775" t="n">
        <v>-1770198</v>
      </c>
      <c r="C67" s="775"/>
      <c r="D67" s="775"/>
      <c r="E67" s="775"/>
      <c r="F67" s="787"/>
      <c r="G67" s="775"/>
      <c r="H67" s="775"/>
      <c r="I67" s="775"/>
      <c r="J67" s="787"/>
      <c r="K67" s="775"/>
      <c r="L67" s="775"/>
      <c r="M67" s="775"/>
      <c r="N67" s="775" t="n">
        <f aca="false">SUM(B67:M67)</f>
        <v>-1770198</v>
      </c>
      <c r="O67" s="775"/>
      <c r="P67" s="775"/>
      <c r="Q67" s="450" t="n">
        <f aca="false">+N67+P67-O67</f>
        <v>-1770198</v>
      </c>
      <c r="R67" s="776"/>
      <c r="S67" s="442"/>
    </row>
    <row r="68" customFormat="false" ht="15" hidden="false" customHeight="false" outlineLevel="0" collapsed="false">
      <c r="A68" s="451" t="s">
        <v>789</v>
      </c>
      <c r="B68" s="775" t="n">
        <f aca="false">+B14</f>
        <v>6115000</v>
      </c>
      <c r="C68" s="775" t="n">
        <f aca="false">+C14</f>
        <v>4797300</v>
      </c>
      <c r="D68" s="775" t="n">
        <f aca="false">+D14</f>
        <v>0</v>
      </c>
      <c r="E68" s="775" t="n">
        <f aca="false">+E14</f>
        <v>0</v>
      </c>
      <c r="F68" s="775" t="n">
        <f aca="false">+F14</f>
        <v>0</v>
      </c>
      <c r="G68" s="775" t="n">
        <f aca="false">+G14</f>
        <v>0</v>
      </c>
      <c r="H68" s="775" t="n">
        <f aca="false">+H14</f>
        <v>0</v>
      </c>
      <c r="I68" s="775" t="n">
        <f aca="false">+I14</f>
        <v>0</v>
      </c>
      <c r="J68" s="775" t="n">
        <f aca="false">+J14</f>
        <v>0</v>
      </c>
      <c r="K68" s="775" t="n">
        <f aca="false">+K14</f>
        <v>0</v>
      </c>
      <c r="L68" s="775" t="n">
        <f aca="false">+L14</f>
        <v>0</v>
      </c>
      <c r="M68" s="775" t="n">
        <f aca="false">+M14</f>
        <v>0</v>
      </c>
      <c r="N68" s="775" t="n">
        <f aca="false">SUM(B68:M68)</f>
        <v>10912300</v>
      </c>
      <c r="O68" s="775" t="n">
        <f aca="false">+O14</f>
        <v>4797299</v>
      </c>
      <c r="P68" s="775" t="n">
        <f aca="false">+P62</f>
        <v>1188714</v>
      </c>
      <c r="Q68" s="775" t="n">
        <f aca="false">+P68+N68-O68</f>
        <v>7303715</v>
      </c>
    </row>
    <row r="69" customFormat="false" ht="15" hidden="false" customHeight="false" outlineLevel="0" collapsed="false">
      <c r="A69" s="451" t="s">
        <v>766</v>
      </c>
      <c r="B69" s="775" t="n">
        <f aca="false">+B7</f>
        <v>-6115000</v>
      </c>
      <c r="C69" s="775" t="n">
        <f aca="false">+C7</f>
        <v>0</v>
      </c>
      <c r="D69" s="775" t="n">
        <f aca="false">+D7</f>
        <v>0</v>
      </c>
      <c r="E69" s="775" t="n">
        <f aca="false">+E7</f>
        <v>-3200</v>
      </c>
      <c r="F69" s="775" t="n">
        <f aca="false">+F7</f>
        <v>0</v>
      </c>
      <c r="G69" s="775" t="n">
        <f aca="false">+G7</f>
        <v>0</v>
      </c>
      <c r="H69" s="775" t="n">
        <f aca="false">+H7</f>
        <v>0</v>
      </c>
      <c r="I69" s="775" t="n">
        <f aca="false">+I7</f>
        <v>0</v>
      </c>
      <c r="J69" s="775" t="n">
        <f aca="false">+J7</f>
        <v>0</v>
      </c>
      <c r="K69" s="775" t="n">
        <f aca="false">+K7</f>
        <v>0</v>
      </c>
      <c r="L69" s="775" t="n">
        <f aca="false">+L7</f>
        <v>0</v>
      </c>
      <c r="M69" s="775" t="n">
        <f aca="false">+M7</f>
        <v>0</v>
      </c>
      <c r="N69" s="775" t="n">
        <f aca="false">+N7</f>
        <v>-6118200</v>
      </c>
      <c r="O69" s="775"/>
      <c r="P69" s="775"/>
      <c r="Q69" s="775" t="n">
        <f aca="false">+P69+N69-O69</f>
        <v>-6118200</v>
      </c>
    </row>
    <row r="70" customFormat="false" ht="15" hidden="false" customHeight="false" outlineLevel="0" collapsed="false">
      <c r="A70" s="451" t="s">
        <v>668</v>
      </c>
      <c r="B70" s="775" t="n">
        <f aca="false">+B53</f>
        <v>-5488035</v>
      </c>
      <c r="C70" s="775" t="n">
        <f aca="false">+C53</f>
        <v>0</v>
      </c>
      <c r="D70" s="775" t="n">
        <f aca="false">+D53</f>
        <v>0</v>
      </c>
      <c r="E70" s="775" t="n">
        <f aca="false">+E53</f>
        <v>0</v>
      </c>
      <c r="F70" s="775" t="n">
        <f aca="false">+F53</f>
        <v>0</v>
      </c>
      <c r="G70" s="775" t="n">
        <f aca="false">+G53</f>
        <v>0</v>
      </c>
      <c r="H70" s="775" t="n">
        <f aca="false">+H53</f>
        <v>0</v>
      </c>
      <c r="I70" s="775" t="n">
        <f aca="false">+I53</f>
        <v>0</v>
      </c>
      <c r="J70" s="775" t="n">
        <f aca="false">+J53</f>
        <v>0</v>
      </c>
      <c r="K70" s="775" t="n">
        <f aca="false">+K53</f>
        <v>0</v>
      </c>
      <c r="L70" s="775" t="n">
        <f aca="false">+L53</f>
        <v>0</v>
      </c>
      <c r="M70" s="775" t="n">
        <f aca="false">+M53</f>
        <v>0</v>
      </c>
      <c r="N70" s="775" t="n">
        <f aca="false">SUM(B70:M70)</f>
        <v>-5488035</v>
      </c>
      <c r="O70" s="775"/>
      <c r="P70" s="775"/>
      <c r="Q70" s="775" t="n">
        <f aca="false">+P70+N70-O70</f>
        <v>-5488035</v>
      </c>
    </row>
    <row r="71" customFormat="false" ht="15" hidden="false" customHeight="false" outlineLevel="0" collapsed="false">
      <c r="A71" s="451" t="s">
        <v>790</v>
      </c>
      <c r="B71" s="775" t="n">
        <f aca="false">+B54</f>
        <v>0</v>
      </c>
      <c r="C71" s="775" t="n">
        <f aca="false">+C54</f>
        <v>37386</v>
      </c>
      <c r="D71" s="775" t="n">
        <f aca="false">+D54</f>
        <v>0</v>
      </c>
      <c r="E71" s="775" t="n">
        <f aca="false">+E54+E20+E8</f>
        <v>-115991</v>
      </c>
      <c r="F71" s="775" t="n">
        <f aca="false">+F54</f>
        <v>1173951</v>
      </c>
      <c r="G71" s="775" t="n">
        <f aca="false">+G54</f>
        <v>0</v>
      </c>
      <c r="H71" s="775" t="n">
        <f aca="false">H30+H54</f>
        <v>-2988</v>
      </c>
      <c r="I71" s="775" t="n">
        <f aca="false">+I54</f>
        <v>0</v>
      </c>
      <c r="J71" s="775" t="n">
        <f aca="false">+J54</f>
        <v>0</v>
      </c>
      <c r="K71" s="775" t="n">
        <f aca="false">+K54</f>
        <v>-1728</v>
      </c>
      <c r="L71" s="775" t="n">
        <f aca="false">+L40</f>
        <v>-151290</v>
      </c>
      <c r="M71" s="775" t="n">
        <f aca="false">+M54</f>
        <v>-38152</v>
      </c>
      <c r="N71" s="775" t="n">
        <f aca="false">SUM(B71:M71)</f>
        <v>901188</v>
      </c>
      <c r="O71" s="775" t="n">
        <f aca="false">+O60+O54</f>
        <v>953562</v>
      </c>
      <c r="P71" s="775" t="n">
        <f aca="false">+P40+P7+P20+P30+P60+P8+P54</f>
        <v>276669</v>
      </c>
      <c r="Q71" s="775" t="n">
        <f aca="false">+P71+N71-O71</f>
        <v>224295</v>
      </c>
    </row>
    <row r="72" customFormat="false" ht="30" hidden="false" customHeight="false" outlineLevel="0" collapsed="false">
      <c r="A72" s="791" t="s">
        <v>787</v>
      </c>
      <c r="B72" s="775" t="n">
        <f aca="false">+B55+B35</f>
        <v>30276475.6</v>
      </c>
      <c r="C72" s="775" t="n">
        <f aca="false">+C55+C35</f>
        <v>-5325487</v>
      </c>
      <c r="D72" s="775" t="n">
        <f aca="false">+D55+D35</f>
        <v>181072</v>
      </c>
      <c r="E72" s="775" t="n">
        <f aca="false">+E55+E35</f>
        <v>0</v>
      </c>
      <c r="F72" s="775" t="n">
        <f aca="false">+F55+F35</f>
        <v>0</v>
      </c>
      <c r="G72" s="775" t="n">
        <f aca="false">+G55+G35</f>
        <v>-13474</v>
      </c>
      <c r="H72" s="775" t="n">
        <f aca="false">+H55+H35</f>
        <v>0</v>
      </c>
      <c r="I72" s="775" t="n">
        <f aca="false">+I55+I35</f>
        <v>0</v>
      </c>
      <c r="J72" s="775" t="n">
        <f aca="false">+J55+J35</f>
        <v>-40586</v>
      </c>
      <c r="K72" s="775" t="n">
        <f aca="false">+K55+K35</f>
        <v>0</v>
      </c>
      <c r="L72" s="775" t="n">
        <f aca="false">+L55+L35</f>
        <v>1634914</v>
      </c>
      <c r="M72" s="775" t="n">
        <f aca="false">+M55+M35</f>
        <v>0</v>
      </c>
      <c r="N72" s="775" t="n">
        <f aca="false">SUM(B72:M72)</f>
        <v>26712914.6</v>
      </c>
      <c r="O72" s="775" t="n">
        <f aca="false">+O55+O61</f>
        <v>1317319.89366</v>
      </c>
      <c r="P72" s="775" t="n">
        <f aca="false">+P55</f>
        <v>1317319.89366</v>
      </c>
      <c r="Q72" s="775" t="n">
        <f aca="false">+P72+N72-O72</f>
        <v>26712914.6</v>
      </c>
    </row>
    <row r="73" customFormat="false" ht="15" hidden="false" customHeight="false" outlineLevel="0" collapsed="false">
      <c r="A73" s="778" t="s">
        <v>769</v>
      </c>
      <c r="B73" s="779" t="n">
        <f aca="false">SUM(B66:B72)</f>
        <v>104425221.16</v>
      </c>
      <c r="C73" s="779" t="n">
        <f aca="false">SUM(C66:C72)</f>
        <v>32366063.46</v>
      </c>
      <c r="D73" s="779" t="n">
        <f aca="false">SUM(D66:D72)</f>
        <v>2213438.94</v>
      </c>
      <c r="E73" s="779" t="n">
        <f aca="false">SUM(E66:E72)</f>
        <v>0</v>
      </c>
      <c r="F73" s="779" t="n">
        <f aca="false">SUM(F66:F72)</f>
        <v>83436</v>
      </c>
      <c r="G73" s="779" t="n">
        <f aca="false">SUM(G66:G72)</f>
        <v>346764</v>
      </c>
      <c r="H73" s="779" t="n">
        <f aca="false">SUM(H66:H72)</f>
        <v>5000.47</v>
      </c>
      <c r="I73" s="779" t="n">
        <f aca="false">SUM(I66:I72)</f>
        <v>10000</v>
      </c>
      <c r="J73" s="779" t="n">
        <f aca="false">SUM(J66:J72)</f>
        <v>1138228</v>
      </c>
      <c r="K73" s="779" t="n">
        <f aca="false">SUM(K66:K72)</f>
        <v>819662.66</v>
      </c>
      <c r="L73" s="779" t="n">
        <f aca="false">SUM(L66:L72)</f>
        <v>989319.9</v>
      </c>
      <c r="M73" s="779" t="n">
        <f aca="false">SUM(M66:M72)</f>
        <v>-612676</v>
      </c>
      <c r="N73" s="779" t="n">
        <f aca="false">SUM(B73:M73)</f>
        <v>141784458.59</v>
      </c>
      <c r="O73" s="779" t="n">
        <f aca="false">SUM(O66:O72)</f>
        <v>54357597.89366</v>
      </c>
      <c r="P73" s="779" t="n">
        <f aca="false">SUM(P66:P72)</f>
        <v>16415780.89366</v>
      </c>
      <c r="Q73" s="779" t="n">
        <f aca="false">SUM(Q66:Q72)</f>
        <v>103842641.59</v>
      </c>
      <c r="R73" s="776" t="n">
        <f aca="false">+Q73-ECP19!T67</f>
        <v>15341745.07</v>
      </c>
    </row>
    <row r="74" customFormat="false" ht="15" hidden="false" customHeight="false" outlineLevel="0" collapsed="false">
      <c r="A74" s="771"/>
      <c r="B74" s="776" t="n">
        <f aca="false">+B73-'Planilla final'!B57</f>
        <v>4455888.96000001</v>
      </c>
      <c r="C74" s="776" t="n">
        <f aca="false">+C73-'Planilla final'!C57</f>
        <v>32366063.46</v>
      </c>
      <c r="D74" s="776" t="n">
        <f aca="false">+D73-'Planilla final'!D57</f>
        <v>2213438.94</v>
      </c>
      <c r="E74" s="776" t="n">
        <f aca="false">+E73-'Planilla final'!E57</f>
        <v>0</v>
      </c>
      <c r="F74" s="776" t="n">
        <f aca="false">+F73-'Planilla final'!F57</f>
        <v>83436</v>
      </c>
      <c r="G74" s="776" t="n">
        <f aca="false">+G73-'Planilla final'!G57</f>
        <v>346764</v>
      </c>
      <c r="H74" s="776" t="n">
        <f aca="false">+H73-'Planilla final'!H57</f>
        <v>5000.47</v>
      </c>
      <c r="I74" s="776" t="n">
        <f aca="false">+I73-'Planilla final'!I57</f>
        <v>10000</v>
      </c>
      <c r="J74" s="776" t="n">
        <f aca="false">+J73-'Planilla final'!J57</f>
        <v>1138228</v>
      </c>
      <c r="K74" s="776" t="n">
        <f aca="false">+K73-'Planilla final'!K57</f>
        <v>819662.66</v>
      </c>
      <c r="L74" s="776" t="n">
        <f aca="false">+L73-'Planilla final'!L57</f>
        <v>494826.55</v>
      </c>
      <c r="M74" s="776" t="n">
        <f aca="false">+M73-'Planilla final'!M57</f>
        <v>-612676</v>
      </c>
      <c r="N74" s="776" t="n">
        <f aca="false">+N73-'Planilla final'!N57</f>
        <v>41320633.04</v>
      </c>
      <c r="O74" s="776" t="n">
        <f aca="false">+O73-'Planilla final'!O57</f>
        <v>54357597.89366</v>
      </c>
      <c r="P74" s="776" t="n">
        <f aca="false">+P73-'Planilla final'!P57</f>
        <v>16415780.89366</v>
      </c>
      <c r="Q74" s="776" t="n">
        <f aca="false">+Q73-'Planilla final'!Q57</f>
        <v>3378816.03999998</v>
      </c>
    </row>
    <row r="75" customFormat="false" ht="15" hidden="false" customHeight="false" outlineLevel="0" collapsed="false">
      <c r="B75" s="4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0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1" topLeftCell="AB51" activePane="bottomRight" state="frozen"/>
      <selection pane="topLeft" activeCell="A4" activeCellId="0" sqref="A4"/>
      <selection pane="topRight" activeCell="AB4" activeCellId="0" sqref="AB4"/>
      <selection pane="bottomLeft" activeCell="A51" activeCellId="0" sqref="A51"/>
      <selection pane="bottomRight" activeCell="A67" activeCellId="0" sqref="A67"/>
    </sheetView>
  </sheetViews>
  <sheetFormatPr defaultColWidth="11.43359375" defaultRowHeight="12" zeroHeight="false" outlineLevelRow="0" outlineLevelCol="1"/>
  <cols>
    <col collapsed="false" customWidth="true" hidden="false" outlineLevel="0" max="1" min="1" style="415" width="61.31"/>
    <col collapsed="false" customWidth="true" hidden="false" outlineLevel="0" max="2" min="2" style="415" width="9"/>
    <col collapsed="false" customWidth="false" hidden="false" outlineLevel="0" max="3" min="3" style="415" width="11.42"/>
    <col collapsed="false" customWidth="true" hidden="false" outlineLevel="0" max="4" min="4" style="415" width="1"/>
    <col collapsed="false" customWidth="false" hidden="false" outlineLevel="0" max="5" min="5" style="415" width="11.42"/>
    <col collapsed="false" customWidth="true" hidden="true" outlineLevel="0" max="7" min="6" style="415" width="11.57"/>
    <col collapsed="false" customWidth="true" hidden="true" outlineLevel="1" max="8" min="8" style="415" width="11.57"/>
    <col collapsed="false" customWidth="true" hidden="true" outlineLevel="1" max="9" min="9" style="415" width="12.42"/>
    <col collapsed="false" customWidth="false" hidden="true" outlineLevel="1" max="19" min="10" style="415" width="11.42"/>
    <col collapsed="false" customWidth="true" hidden="true" outlineLevel="1" max="20" min="20" style="415" width="11.99"/>
    <col collapsed="false" customWidth="false" hidden="true" outlineLevel="1" max="22" min="21" style="415" width="11.42"/>
    <col collapsed="false" customWidth="true" hidden="true" outlineLevel="1" max="23" min="23" style="415" width="12.14"/>
    <col collapsed="false" customWidth="true" hidden="false" outlineLevel="0" max="24" min="24" style="415" width="10.99"/>
    <col collapsed="false" customWidth="false" hidden="false" outlineLevel="0" max="1024" min="25" style="415" width="11.42"/>
  </cols>
  <sheetData>
    <row r="1" customFormat="false" ht="12" hidden="false" customHeight="false" outlineLevel="0" collapsed="false">
      <c r="A1" s="792" t="s">
        <v>390</v>
      </c>
      <c r="B1" s="792"/>
    </row>
    <row r="2" customFormat="false" ht="12" hidden="false" customHeight="false" outlineLevel="0" collapsed="false">
      <c r="A2" s="793" t="s">
        <v>791</v>
      </c>
      <c r="B2" s="794"/>
      <c r="C2" s="795"/>
      <c r="D2" s="795"/>
      <c r="E2" s="795"/>
      <c r="F2" s="795"/>
      <c r="G2" s="795"/>
    </row>
    <row r="3" customFormat="false" ht="12" hidden="false" customHeight="false" outlineLevel="0" collapsed="false">
      <c r="A3" s="793" t="s">
        <v>457</v>
      </c>
      <c r="B3" s="794"/>
      <c r="C3" s="795"/>
      <c r="D3" s="795"/>
      <c r="E3" s="795"/>
      <c r="F3" s="795"/>
      <c r="G3" s="795"/>
    </row>
    <row r="4" customFormat="false" ht="24" hidden="false" customHeight="true" outlineLevel="0" collapsed="false">
      <c r="A4" s="795"/>
      <c r="B4" s="796" t="s">
        <v>792</v>
      </c>
      <c r="C4" s="797" t="n">
        <v>2019</v>
      </c>
      <c r="D4" s="797"/>
      <c r="E4" s="797" t="n">
        <v>2018</v>
      </c>
      <c r="F4" s="798" t="n">
        <v>2017</v>
      </c>
      <c r="G4" s="797" t="n">
        <v>2016</v>
      </c>
      <c r="H4" s="799" t="s">
        <v>793</v>
      </c>
      <c r="I4" s="800" t="s">
        <v>794</v>
      </c>
      <c r="J4" s="468" t="s">
        <v>795</v>
      </c>
      <c r="K4" s="468" t="s">
        <v>796</v>
      </c>
      <c r="L4" s="468" t="s">
        <v>797</v>
      </c>
      <c r="M4" s="468" t="s">
        <v>798</v>
      </c>
      <c r="N4" s="468" t="s">
        <v>799</v>
      </c>
      <c r="O4" s="468" t="s">
        <v>800</v>
      </c>
      <c r="P4" s="468" t="s">
        <v>801</v>
      </c>
      <c r="Q4" s="468" t="s">
        <v>802</v>
      </c>
      <c r="R4" s="468" t="s">
        <v>803</v>
      </c>
      <c r="S4" s="468" t="s">
        <v>804</v>
      </c>
      <c r="T4" s="468" t="s">
        <v>259</v>
      </c>
      <c r="U4" s="468" t="s">
        <v>18</v>
      </c>
      <c r="V4" s="468" t="s">
        <v>19</v>
      </c>
      <c r="W4" s="468" t="s">
        <v>805</v>
      </c>
    </row>
    <row r="5" customFormat="false" ht="12" hidden="false" customHeight="false" outlineLevel="0" collapsed="false">
      <c r="A5" s="793" t="s">
        <v>806</v>
      </c>
      <c r="B5" s="801"/>
      <c r="C5" s="793"/>
      <c r="D5" s="793"/>
      <c r="E5" s="793"/>
      <c r="F5" s="795"/>
      <c r="G5" s="795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</row>
    <row r="6" customFormat="false" ht="12" hidden="false" customHeight="false" outlineLevel="0" collapsed="false">
      <c r="A6" s="795" t="s">
        <v>807</v>
      </c>
      <c r="B6" s="801"/>
      <c r="C6" s="488" t="n">
        <f aca="false">+W6</f>
        <v>31601148.41</v>
      </c>
      <c r="D6" s="488"/>
      <c r="E6" s="488" t="n">
        <f aca="false">+ERI19!H16+ERI19!H18</f>
        <v>9161391</v>
      </c>
      <c r="F6" s="488" t="n">
        <f aca="false">+ERI19!J16+ERI19!J18</f>
        <v>7513500.04999999</v>
      </c>
      <c r="G6" s="488" t="n">
        <f aca="false">+ERI19!L16+ERI19!L18</f>
        <v>11332586</v>
      </c>
      <c r="H6" s="416" t="n">
        <f aca="false">+'Planilla final'!B68+'Planilla final'!B69</f>
        <v>31376175.6</v>
      </c>
      <c r="I6" s="416" t="n">
        <f aca="false">+'Planilla final'!C68+'Planilla final'!C69</f>
        <v>0</v>
      </c>
      <c r="J6" s="416" t="n">
        <f aca="false">+'Planilla final'!D68+'Planilla final'!D69</f>
        <v>0</v>
      </c>
      <c r="K6" s="416" t="n">
        <f aca="false">+'Planilla final'!E68+'Planilla final'!E69</f>
        <v>0</v>
      </c>
      <c r="L6" s="416" t="n">
        <f aca="false">+'Planilla final'!F68+'Planilla final'!F69</f>
        <v>0</v>
      </c>
      <c r="M6" s="416" t="n">
        <f aca="false">+'Planilla final'!G68+'Planilla final'!G69</f>
        <v>0</v>
      </c>
      <c r="N6" s="416" t="n">
        <f aca="false">+'Planilla final'!H68+'Planilla final'!H69</f>
        <v>0</v>
      </c>
      <c r="O6" s="416" t="n">
        <f aca="false">+'Planilla final'!I68+'Planilla final'!I69</f>
        <v>0</v>
      </c>
      <c r="P6" s="416" t="n">
        <f aca="false">+'Planilla final'!J68+'Planilla final'!J69</f>
        <v>0</v>
      </c>
      <c r="Q6" s="416" t="n">
        <f aca="false">+'Planilla final'!K68+'Planilla final'!K69</f>
        <v>0</v>
      </c>
      <c r="R6" s="416" t="n">
        <f aca="false">+'Planilla final'!L68+'Planilla final'!L69</f>
        <v>224972.81</v>
      </c>
      <c r="S6" s="416" t="n">
        <f aca="false">+'Planilla final'!M68+'Planilla final'!M69</f>
        <v>0</v>
      </c>
      <c r="T6" s="416" t="n">
        <f aca="false">SUM(H6:S6)</f>
        <v>31601148.41</v>
      </c>
      <c r="U6" s="416" t="n">
        <f aca="false">+'Planilla final'!O73</f>
        <v>0</v>
      </c>
      <c r="V6" s="416" t="n">
        <f aca="false">+'Planilla final'!P73</f>
        <v>0</v>
      </c>
      <c r="W6" s="416" t="n">
        <f aca="false">+T6+V6-U6</f>
        <v>31601148.41</v>
      </c>
      <c r="X6" s="574"/>
    </row>
    <row r="7" customFormat="false" ht="12" hidden="false" customHeight="false" outlineLevel="0" collapsed="false">
      <c r="A7" s="802" t="s">
        <v>808</v>
      </c>
      <c r="B7" s="803"/>
      <c r="C7" s="488"/>
      <c r="D7" s="488"/>
      <c r="E7" s="804"/>
      <c r="F7" s="488"/>
      <c r="G7" s="488"/>
      <c r="H7" s="422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 t="n">
        <f aca="false">SUM(H7:S7)</f>
        <v>0</v>
      </c>
      <c r="U7" s="416"/>
      <c r="V7" s="416"/>
      <c r="W7" s="416"/>
      <c r="X7" s="574"/>
    </row>
    <row r="8" customFormat="false" ht="12" hidden="false" customHeight="false" outlineLevel="0" collapsed="false">
      <c r="A8" s="805" t="s">
        <v>809</v>
      </c>
      <c r="B8" s="803" t="n">
        <v>8</v>
      </c>
      <c r="C8" s="488" t="n">
        <f aca="false">+W8</f>
        <v>49654</v>
      </c>
      <c r="D8" s="488"/>
      <c r="E8" s="488" t="n">
        <v>23826</v>
      </c>
      <c r="F8" s="488" t="n">
        <v>200000</v>
      </c>
      <c r="G8" s="488" t="n">
        <v>1319177</v>
      </c>
      <c r="H8" s="416" t="n">
        <v>49654</v>
      </c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 t="n">
        <f aca="false">SUM(H8:S8)</f>
        <v>49654</v>
      </c>
      <c r="U8" s="416"/>
      <c r="V8" s="416"/>
      <c r="W8" s="416" t="n">
        <f aca="false">+T8+U8-V8</f>
        <v>49654</v>
      </c>
      <c r="X8" s="416"/>
    </row>
    <row r="9" customFormat="false" ht="12" hidden="false" customHeight="false" outlineLevel="0" collapsed="false">
      <c r="A9" s="805" t="s">
        <v>810</v>
      </c>
      <c r="B9" s="803" t="n">
        <v>10</v>
      </c>
      <c r="C9" s="488" t="n">
        <f aca="false">+W9</f>
        <v>1812247</v>
      </c>
      <c r="D9" s="488"/>
      <c r="E9" s="488" t="n">
        <v>2607519</v>
      </c>
      <c r="F9" s="488" t="n">
        <v>2268000</v>
      </c>
      <c r="G9" s="488" t="n">
        <v>812940</v>
      </c>
      <c r="H9" s="416" t="n">
        <v>1812247</v>
      </c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  <c r="T9" s="416" t="n">
        <f aca="false">SUM(H9:S9)</f>
        <v>1812247</v>
      </c>
      <c r="U9" s="416"/>
      <c r="V9" s="416"/>
      <c r="W9" s="416" t="n">
        <f aca="false">+T9+U9-V9</f>
        <v>1812247</v>
      </c>
      <c r="X9" s="574"/>
    </row>
    <row r="10" customFormat="false" ht="12" hidden="false" customHeight="false" outlineLevel="0" collapsed="false">
      <c r="A10" s="805" t="s">
        <v>811</v>
      </c>
      <c r="B10" s="803" t="n">
        <v>12</v>
      </c>
      <c r="C10" s="488" t="n">
        <f aca="false">+W10</f>
        <v>21515684</v>
      </c>
      <c r="D10" s="488"/>
      <c r="E10" s="488" t="n">
        <v>21563431</v>
      </c>
      <c r="F10" s="488" t="n">
        <v>17782846</v>
      </c>
      <c r="G10" s="488" t="n">
        <v>17607176</v>
      </c>
      <c r="H10" s="416" t="n">
        <v>18732617</v>
      </c>
      <c r="I10" s="416" t="n">
        <v>2330698</v>
      </c>
      <c r="J10" s="416" t="n">
        <v>178996</v>
      </c>
      <c r="K10" s="416"/>
      <c r="L10" s="416"/>
      <c r="M10" s="416" t="n">
        <v>13474</v>
      </c>
      <c r="N10" s="416"/>
      <c r="O10" s="416"/>
      <c r="P10" s="416" t="n">
        <v>40856</v>
      </c>
      <c r="Q10" s="416" t="n">
        <v>134304</v>
      </c>
      <c r="R10" s="416" t="n">
        <v>23512</v>
      </c>
      <c r="S10" s="416" t="n">
        <v>104244</v>
      </c>
      <c r="T10" s="416" t="n">
        <f aca="false">SUM(H10:S10)</f>
        <v>21558701</v>
      </c>
      <c r="U10" s="416"/>
      <c r="V10" s="416" t="n">
        <f aca="false">21558701-21515684</f>
        <v>43017</v>
      </c>
      <c r="W10" s="416" t="n">
        <f aca="false">+T10+U10-V10</f>
        <v>21515684</v>
      </c>
      <c r="X10" s="416"/>
    </row>
    <row r="11" customFormat="false" ht="12" hidden="false" customHeight="false" outlineLevel="0" collapsed="false">
      <c r="A11" s="805" t="s">
        <v>812</v>
      </c>
      <c r="B11" s="803" t="n">
        <v>13</v>
      </c>
      <c r="C11" s="488" t="n">
        <f aca="false">+W11</f>
        <v>39210</v>
      </c>
      <c r="D11" s="488"/>
      <c r="E11" s="488" t="n">
        <v>37744</v>
      </c>
      <c r="F11" s="488" t="n">
        <v>39210</v>
      </c>
      <c r="G11" s="488" t="n">
        <v>39210</v>
      </c>
      <c r="H11" s="416" t="n">
        <v>39210</v>
      </c>
      <c r="I11" s="416"/>
      <c r="J11" s="416"/>
      <c r="K11" s="416"/>
      <c r="L11" s="416"/>
      <c r="M11" s="416"/>
      <c r="N11" s="416"/>
      <c r="O11" s="416"/>
      <c r="P11" s="416"/>
      <c r="Q11" s="416"/>
      <c r="R11" s="416"/>
      <c r="S11" s="416"/>
      <c r="T11" s="416" t="n">
        <f aca="false">SUM(H11:S11)</f>
        <v>39210</v>
      </c>
      <c r="U11" s="416"/>
      <c r="V11" s="416"/>
      <c r="W11" s="416" t="n">
        <f aca="false">+T11+U11-V11</f>
        <v>39210</v>
      </c>
      <c r="X11" s="574"/>
    </row>
    <row r="12" customFormat="false" ht="12" hidden="false" customHeight="false" outlineLevel="0" collapsed="false">
      <c r="A12" s="805" t="s">
        <v>813</v>
      </c>
      <c r="B12" s="803" t="n">
        <v>17</v>
      </c>
      <c r="C12" s="806" t="n">
        <f aca="false">+W12</f>
        <v>1484293</v>
      </c>
      <c r="D12" s="806"/>
      <c r="E12" s="488" t="n">
        <v>0</v>
      </c>
      <c r="F12" s="488"/>
      <c r="G12" s="488"/>
      <c r="H12" s="416" t="n">
        <v>1484293</v>
      </c>
      <c r="I12" s="416"/>
      <c r="J12" s="416"/>
      <c r="K12" s="416"/>
      <c r="L12" s="416"/>
      <c r="M12" s="416"/>
      <c r="N12" s="416"/>
      <c r="O12" s="416"/>
      <c r="P12" s="416"/>
      <c r="Q12" s="416"/>
      <c r="R12" s="416"/>
      <c r="S12" s="416"/>
      <c r="T12" s="416" t="n">
        <f aca="false">SUM(H12:S12)</f>
        <v>1484293</v>
      </c>
      <c r="U12" s="416"/>
      <c r="V12" s="416"/>
      <c r="W12" s="416" t="n">
        <f aca="false">+T12+U12-V12</f>
        <v>1484293</v>
      </c>
      <c r="X12" s="574"/>
    </row>
    <row r="13" customFormat="false" ht="12" hidden="true" customHeight="false" outlineLevel="0" collapsed="false">
      <c r="A13" s="805" t="s">
        <v>814</v>
      </c>
      <c r="B13" s="803"/>
      <c r="C13" s="488" t="n">
        <f aca="false">+W13</f>
        <v>0</v>
      </c>
      <c r="D13" s="488"/>
      <c r="E13" s="488"/>
      <c r="F13" s="488" t="n">
        <v>0</v>
      </c>
      <c r="G13" s="488" t="n">
        <v>169491</v>
      </c>
      <c r="H13" s="416"/>
      <c r="I13" s="416"/>
      <c r="J13" s="416"/>
      <c r="K13" s="416"/>
      <c r="L13" s="416"/>
      <c r="M13" s="416"/>
      <c r="N13" s="416"/>
      <c r="O13" s="416"/>
      <c r="P13" s="416"/>
      <c r="Q13" s="416"/>
      <c r="R13" s="416"/>
      <c r="S13" s="416"/>
      <c r="T13" s="416" t="n">
        <f aca="false">SUM(H13:S13)</f>
        <v>0</v>
      </c>
      <c r="U13" s="416"/>
      <c r="V13" s="416"/>
      <c r="W13" s="416" t="n">
        <f aca="false">+T13+U13-V13</f>
        <v>0</v>
      </c>
      <c r="X13" s="422"/>
    </row>
    <row r="14" customFormat="false" ht="12" hidden="false" customHeight="false" outlineLevel="0" collapsed="false">
      <c r="A14" s="805" t="s">
        <v>815</v>
      </c>
      <c r="B14" s="803" t="n">
        <v>14</v>
      </c>
      <c r="C14" s="488" t="n">
        <f aca="false">+W14</f>
        <v>2627915</v>
      </c>
      <c r="D14" s="488"/>
      <c r="E14" s="488" t="n">
        <v>2185889</v>
      </c>
      <c r="F14" s="488" t="n">
        <v>2038777</v>
      </c>
      <c r="G14" s="488" t="n">
        <v>2759959</v>
      </c>
      <c r="H14" s="416" t="n">
        <v>2692522</v>
      </c>
      <c r="I14" s="416"/>
      <c r="J14" s="416"/>
      <c r="K14" s="416"/>
      <c r="L14" s="416"/>
      <c r="M14" s="416"/>
      <c r="N14" s="416"/>
      <c r="O14" s="416"/>
      <c r="P14" s="416"/>
      <c r="Q14" s="416"/>
      <c r="R14" s="416"/>
      <c r="S14" s="416"/>
      <c r="T14" s="416" t="n">
        <f aca="false">SUM(H14:S14)</f>
        <v>2692522</v>
      </c>
      <c r="U14" s="416"/>
      <c r="V14" s="416" t="n">
        <f aca="false">2692522-2627915</f>
        <v>64607</v>
      </c>
      <c r="W14" s="416" t="n">
        <f aca="false">+T14+U14-V14</f>
        <v>2627915</v>
      </c>
      <c r="X14" s="422"/>
    </row>
    <row r="15" customFormat="false" ht="12" hidden="false" customHeight="false" outlineLevel="0" collapsed="false">
      <c r="A15" s="805" t="s">
        <v>816</v>
      </c>
      <c r="B15" s="803" t="n">
        <v>16</v>
      </c>
      <c r="C15" s="488" t="n">
        <f aca="false">+ESF19!F41</f>
        <v>-268373.469999999</v>
      </c>
      <c r="D15" s="488"/>
      <c r="E15" s="488" t="n">
        <v>0</v>
      </c>
      <c r="F15" s="488" t="n">
        <v>-42502</v>
      </c>
      <c r="G15" s="488" t="n">
        <v>266232</v>
      </c>
      <c r="H15" s="416"/>
      <c r="I15" s="416"/>
      <c r="J15" s="416"/>
      <c r="K15" s="416"/>
      <c r="L15" s="416"/>
      <c r="M15" s="416"/>
      <c r="N15" s="416"/>
      <c r="O15" s="416"/>
      <c r="P15" s="416"/>
      <c r="Q15" s="416"/>
      <c r="R15" s="416"/>
      <c r="S15" s="416"/>
      <c r="T15" s="416" t="n">
        <f aca="false">SUM(H15:S15)</f>
        <v>0</v>
      </c>
      <c r="U15" s="416"/>
      <c r="V15" s="416" t="n">
        <f aca="false">+'AD ESF'!E212</f>
        <v>268472.47</v>
      </c>
      <c r="W15" s="416" t="n">
        <f aca="false">+T15+V15</f>
        <v>268472.47</v>
      </c>
      <c r="X15" s="422"/>
    </row>
    <row r="16" customFormat="false" ht="12" hidden="false" customHeight="false" outlineLevel="0" collapsed="false">
      <c r="A16" s="805" t="s">
        <v>817</v>
      </c>
      <c r="B16" s="803"/>
      <c r="C16" s="488" t="n">
        <f aca="false">+W16</f>
        <v>0</v>
      </c>
      <c r="D16" s="488"/>
      <c r="E16" s="488" t="n">
        <v>2417615</v>
      </c>
      <c r="F16" s="488" t="n">
        <f aca="false">-ERI19!J18</f>
        <v>1591304</v>
      </c>
      <c r="G16" s="488" t="n">
        <v>1759101</v>
      </c>
      <c r="H16" s="416" t="n">
        <f aca="false">-'Planilla final'!B69</f>
        <v>-0</v>
      </c>
      <c r="I16" s="416" t="n">
        <f aca="false">-'Planilla final'!C69</f>
        <v>-0</v>
      </c>
      <c r="J16" s="416" t="n">
        <f aca="false">-'Planilla final'!D69</f>
        <v>-0</v>
      </c>
      <c r="K16" s="416" t="n">
        <f aca="false">-'Planilla final'!E69</f>
        <v>0</v>
      </c>
      <c r="L16" s="416" t="n">
        <f aca="false">-'Planilla final'!F69</f>
        <v>0</v>
      </c>
      <c r="M16" s="416" t="n">
        <f aca="false">-'Planilla final'!G69</f>
        <v>0</v>
      </c>
      <c r="N16" s="416" t="n">
        <f aca="false">-'Planilla final'!H69</f>
        <v>0</v>
      </c>
      <c r="O16" s="416" t="n">
        <f aca="false">-'Planilla final'!I69</f>
        <v>0</v>
      </c>
      <c r="P16" s="416" t="n">
        <f aca="false">-'Planilla final'!J69</f>
        <v>0</v>
      </c>
      <c r="Q16" s="416" t="n">
        <f aca="false">-'Planilla final'!K69</f>
        <v>-0</v>
      </c>
      <c r="R16" s="416" t="n">
        <f aca="false">-'Planilla final'!L69</f>
        <v>0</v>
      </c>
      <c r="S16" s="416" t="n">
        <f aca="false">-'Planilla final'!M69</f>
        <v>0</v>
      </c>
      <c r="T16" s="416" t="n">
        <f aca="false">SUM(H16:S16)</f>
        <v>0</v>
      </c>
      <c r="U16" s="416"/>
      <c r="V16" s="416"/>
      <c r="W16" s="416" t="n">
        <f aca="false">+T16+U16-V16</f>
        <v>0</v>
      </c>
      <c r="X16" s="574"/>
    </row>
    <row r="17" customFormat="false" ht="12" hidden="false" customHeight="false" outlineLevel="0" collapsed="false">
      <c r="A17" s="805" t="s">
        <v>818</v>
      </c>
      <c r="B17" s="803" t="n">
        <v>25</v>
      </c>
      <c r="C17" s="488" t="n">
        <f aca="false">+W17</f>
        <v>2973618</v>
      </c>
      <c r="D17" s="488"/>
      <c r="E17" s="488" t="n">
        <v>1297753</v>
      </c>
      <c r="F17" s="488" t="n">
        <v>1546045</v>
      </c>
      <c r="G17" s="488" t="n">
        <v>1249002</v>
      </c>
      <c r="H17" s="416" t="n">
        <v>2973618</v>
      </c>
      <c r="I17" s="416"/>
      <c r="J17" s="416"/>
      <c r="K17" s="416"/>
      <c r="L17" s="416"/>
      <c r="M17" s="416"/>
      <c r="N17" s="416"/>
      <c r="O17" s="416"/>
      <c r="P17" s="416"/>
      <c r="Q17" s="416" t="n">
        <v>0</v>
      </c>
      <c r="R17" s="416"/>
      <c r="S17" s="416"/>
      <c r="T17" s="416" t="n">
        <f aca="false">SUM(H17:S17)</f>
        <v>2973618</v>
      </c>
      <c r="U17" s="416"/>
      <c r="V17" s="416"/>
      <c r="W17" s="416" t="n">
        <f aca="false">+T17+U17-V17</f>
        <v>2973618</v>
      </c>
      <c r="X17" s="422"/>
    </row>
    <row r="18" customFormat="false" ht="12" hidden="false" customHeight="false" outlineLevel="0" collapsed="false">
      <c r="A18" s="805" t="s">
        <v>819</v>
      </c>
      <c r="B18" s="803"/>
      <c r="C18" s="488" t="n">
        <f aca="false">+W18</f>
        <v>6346670</v>
      </c>
      <c r="D18" s="488"/>
      <c r="E18" s="488" t="n">
        <v>7559526</v>
      </c>
      <c r="F18" s="488" t="n">
        <v>3074772</v>
      </c>
      <c r="G18" s="488" t="n">
        <v>5177025</v>
      </c>
      <c r="H18" s="544" t="n">
        <v>6346670</v>
      </c>
      <c r="I18" s="416"/>
      <c r="J18" s="416"/>
      <c r="K18" s="416"/>
      <c r="L18" s="416"/>
      <c r="M18" s="416"/>
      <c r="N18" s="416"/>
      <c r="O18" s="416"/>
      <c r="P18" s="416"/>
      <c r="Q18" s="416"/>
      <c r="R18" s="416"/>
      <c r="S18" s="416"/>
      <c r="T18" s="416" t="n">
        <f aca="false">SUM(H18:S18)</f>
        <v>6346670</v>
      </c>
      <c r="U18" s="416"/>
      <c r="V18" s="416"/>
      <c r="W18" s="416" t="n">
        <f aca="false">+T18+U18-V18</f>
        <v>6346670</v>
      </c>
      <c r="X18" s="422"/>
    </row>
    <row r="19" customFormat="false" ht="12" hidden="false" customHeight="false" outlineLevel="0" collapsed="false">
      <c r="A19" s="805" t="s">
        <v>820</v>
      </c>
      <c r="B19" s="803"/>
      <c r="C19" s="488" t="n">
        <f aca="false">+ESF19!T43+ESF19!T44</f>
        <v>-1770198</v>
      </c>
      <c r="D19" s="488"/>
      <c r="E19" s="488" t="n">
        <f aca="false">368434-1986316</f>
        <v>-1617882</v>
      </c>
      <c r="F19" s="488" t="n">
        <v>446968</v>
      </c>
      <c r="G19" s="488" t="n">
        <v>0</v>
      </c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 t="n">
        <f aca="false">SUM(H19:S19)</f>
        <v>0</v>
      </c>
      <c r="U19" s="416"/>
      <c r="V19" s="416"/>
      <c r="W19" s="416" t="n">
        <f aca="false">+T19+U19-V19</f>
        <v>0</v>
      </c>
      <c r="X19" s="422"/>
    </row>
    <row r="20" customFormat="false" ht="12" hidden="false" customHeight="false" outlineLevel="0" collapsed="false">
      <c r="A20" s="805" t="s">
        <v>658</v>
      </c>
      <c r="B20" s="803"/>
      <c r="C20" s="488" t="n">
        <v>0</v>
      </c>
      <c r="D20" s="488"/>
      <c r="E20" s="488" t="n">
        <v>-261500</v>
      </c>
      <c r="F20" s="488"/>
      <c r="G20" s="488" t="n">
        <v>0</v>
      </c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 t="n">
        <f aca="false">SUM(H20:S20)</f>
        <v>0</v>
      </c>
      <c r="U20" s="416"/>
      <c r="V20" s="416"/>
      <c r="W20" s="416" t="n">
        <f aca="false">+T20+U20-V20</f>
        <v>0</v>
      </c>
      <c r="X20" s="422"/>
    </row>
    <row r="21" customFormat="false" ht="12" hidden="false" customHeight="false" outlineLevel="0" collapsed="false">
      <c r="A21" s="805"/>
      <c r="B21" s="803"/>
      <c r="C21" s="807" t="n">
        <f aca="false">+SUM(C6:C20)</f>
        <v>66411867.94</v>
      </c>
      <c r="D21" s="488"/>
      <c r="E21" s="807" t="n">
        <f aca="false">+SUM(E6:E20)</f>
        <v>44975312</v>
      </c>
      <c r="F21" s="488" t="n">
        <f aca="false">+SUM(F6:F20)</f>
        <v>36458920.05</v>
      </c>
      <c r="G21" s="488" t="n">
        <f aca="false">+SUM(G6:G20)</f>
        <v>42491899</v>
      </c>
      <c r="H21" s="488" t="n">
        <f aca="false">+SUM(H6:H20)</f>
        <v>65507006.6</v>
      </c>
      <c r="I21" s="488" t="n">
        <f aca="false">+SUM(I6:I20)</f>
        <v>2330698</v>
      </c>
      <c r="J21" s="488" t="n">
        <f aca="false">+SUM(J6:J20)</f>
        <v>178996</v>
      </c>
      <c r="K21" s="488" t="n">
        <f aca="false">+SUM(K6:K20)</f>
        <v>0</v>
      </c>
      <c r="L21" s="488" t="n">
        <f aca="false">+SUM(L6:L20)</f>
        <v>0</v>
      </c>
      <c r="M21" s="488" t="n">
        <f aca="false">+SUM(M6:M20)</f>
        <v>13474</v>
      </c>
      <c r="N21" s="488" t="n">
        <f aca="false">+SUM(N6:N20)</f>
        <v>0</v>
      </c>
      <c r="O21" s="488" t="n">
        <f aca="false">+SUM(O6:O20)</f>
        <v>0</v>
      </c>
      <c r="P21" s="488" t="n">
        <f aca="false">+SUM(P6:P20)</f>
        <v>40856</v>
      </c>
      <c r="Q21" s="488" t="n">
        <f aca="false">+SUM(Q6:Q20)</f>
        <v>134304</v>
      </c>
      <c r="R21" s="488" t="n">
        <f aca="false">+SUM(R6:R20)</f>
        <v>248484.81</v>
      </c>
      <c r="S21" s="488" t="n">
        <f aca="false">+SUM(S6:S20)</f>
        <v>104244</v>
      </c>
      <c r="T21" s="488" t="n">
        <f aca="false">+SUM(T6:T20)</f>
        <v>68558063.41</v>
      </c>
      <c r="U21" s="488" t="n">
        <f aca="false">+SUM(U6:U20)</f>
        <v>0</v>
      </c>
      <c r="V21" s="488" t="n">
        <f aca="false">+SUM(V6:V20)</f>
        <v>376096.47</v>
      </c>
      <c r="W21" s="488" t="n">
        <f aca="false">+SUM(W6:W20)</f>
        <v>68718911.88</v>
      </c>
      <c r="X21" s="422"/>
    </row>
    <row r="22" customFormat="false" ht="12" hidden="false" customHeight="false" outlineLevel="0" collapsed="false">
      <c r="A22" s="802" t="s">
        <v>821</v>
      </c>
      <c r="B22" s="803"/>
      <c r="C22" s="804"/>
      <c r="D22" s="804"/>
      <c r="E22" s="804"/>
      <c r="F22" s="488"/>
      <c r="G22" s="488"/>
      <c r="H22" s="422"/>
      <c r="I22" s="422"/>
      <c r="J22" s="422"/>
      <c r="K22" s="422"/>
      <c r="L22" s="422"/>
      <c r="M22" s="422"/>
      <c r="N22" s="422"/>
      <c r="O22" s="422"/>
      <c r="P22" s="422"/>
      <c r="Q22" s="422"/>
      <c r="R22" s="422"/>
      <c r="S22" s="422"/>
      <c r="T22" s="422"/>
      <c r="U22" s="422"/>
      <c r="V22" s="422"/>
      <c r="W22" s="422"/>
      <c r="X22" s="422"/>
    </row>
    <row r="23" customFormat="false" ht="12" hidden="false" customHeight="false" outlineLevel="0" collapsed="false">
      <c r="A23" s="805" t="s">
        <v>38</v>
      </c>
      <c r="B23" s="803"/>
      <c r="C23" s="804" t="n">
        <f aca="false">+ESF19!F85</f>
        <v>-1804677</v>
      </c>
      <c r="D23" s="804"/>
      <c r="E23" s="804" t="n">
        <f aca="false">+ESF19!J8-EFE19!E8</f>
        <v>6208046</v>
      </c>
      <c r="F23" s="488" t="n">
        <v>-1300909</v>
      </c>
      <c r="G23" s="488" t="n">
        <v>2909073</v>
      </c>
      <c r="H23" s="422"/>
      <c r="I23" s="422"/>
      <c r="J23" s="422"/>
      <c r="K23" s="422"/>
      <c r="L23" s="422"/>
      <c r="M23" s="422"/>
      <c r="N23" s="422"/>
      <c r="O23" s="422"/>
      <c r="P23" s="422"/>
      <c r="Q23" s="422"/>
      <c r="R23" s="422"/>
      <c r="S23" s="422"/>
      <c r="T23" s="422"/>
      <c r="U23" s="422"/>
      <c r="V23" s="422"/>
      <c r="W23" s="422"/>
      <c r="X23" s="422"/>
    </row>
    <row r="24" customFormat="false" ht="12" hidden="false" customHeight="false" outlineLevel="0" collapsed="false">
      <c r="A24" s="805" t="s">
        <v>126</v>
      </c>
      <c r="B24" s="803"/>
      <c r="C24" s="804" t="n">
        <f aca="false">+ESF19!G9+ESF19!G20</f>
        <v>2402819</v>
      </c>
      <c r="D24" s="804"/>
      <c r="E24" s="804" t="n">
        <f aca="false">+ESF19!J9+ESF19!J18</f>
        <v>-8058540</v>
      </c>
      <c r="F24" s="488" t="n">
        <v>-11254398</v>
      </c>
      <c r="G24" s="488" t="n">
        <v>-10190618</v>
      </c>
      <c r="H24" s="422"/>
      <c r="I24" s="422"/>
      <c r="J24" s="422"/>
      <c r="K24" s="422"/>
      <c r="L24" s="422"/>
      <c r="M24" s="422"/>
      <c r="N24" s="422"/>
      <c r="O24" s="422"/>
      <c r="P24" s="422"/>
      <c r="Q24" s="422"/>
      <c r="R24" s="422"/>
      <c r="S24" s="422"/>
      <c r="T24" s="422"/>
      <c r="U24" s="422"/>
      <c r="V24" s="422"/>
      <c r="W24" s="422"/>
      <c r="X24" s="422"/>
    </row>
    <row r="25" customFormat="false" ht="12" hidden="false" customHeight="false" outlineLevel="0" collapsed="false">
      <c r="A25" s="805" t="s">
        <v>42</v>
      </c>
      <c r="B25" s="803"/>
      <c r="C25" s="766" t="n">
        <f aca="false">+ESF19!F90</f>
        <v>-12472591</v>
      </c>
      <c r="D25" s="766"/>
      <c r="E25" s="766" t="n">
        <v>-1255245</v>
      </c>
      <c r="F25" s="488" t="n">
        <v>-5437748</v>
      </c>
      <c r="G25" s="488" t="n">
        <v>3571662</v>
      </c>
      <c r="H25" s="422"/>
      <c r="I25" s="422"/>
      <c r="J25" s="422"/>
      <c r="K25" s="422"/>
      <c r="L25" s="422"/>
      <c r="M25" s="422"/>
      <c r="N25" s="422"/>
      <c r="O25" s="422"/>
      <c r="P25" s="422"/>
      <c r="Q25" s="422"/>
      <c r="R25" s="422"/>
      <c r="S25" s="422"/>
      <c r="T25" s="422"/>
      <c r="U25" s="422"/>
      <c r="V25" s="422"/>
      <c r="W25" s="422"/>
      <c r="X25" s="422"/>
    </row>
    <row r="26" customFormat="false" ht="12" hidden="false" customHeight="false" outlineLevel="0" collapsed="false">
      <c r="A26" s="805" t="s">
        <v>43</v>
      </c>
      <c r="B26" s="803"/>
      <c r="C26" s="804" t="n">
        <f aca="false">+ESF19!G10</f>
        <v>228775</v>
      </c>
      <c r="D26" s="804"/>
      <c r="E26" s="804" t="n">
        <f aca="false">+ESF19!J10</f>
        <v>373975</v>
      </c>
      <c r="F26" s="488" t="n">
        <v>685042</v>
      </c>
      <c r="G26" s="488" t="n">
        <v>53985</v>
      </c>
      <c r="H26" s="422"/>
      <c r="I26" s="422"/>
      <c r="J26" s="422"/>
      <c r="K26" s="422"/>
      <c r="L26" s="422"/>
      <c r="M26" s="422"/>
      <c r="N26" s="422"/>
      <c r="O26" s="422"/>
      <c r="P26" s="422"/>
      <c r="Q26" s="422"/>
      <c r="R26" s="422"/>
      <c r="S26" s="422"/>
      <c r="T26" s="422"/>
      <c r="U26" s="422"/>
      <c r="V26" s="422"/>
      <c r="W26" s="422"/>
      <c r="X26" s="422"/>
    </row>
    <row r="27" customFormat="false" ht="12" hidden="false" customHeight="false" outlineLevel="0" collapsed="false">
      <c r="A27" s="805" t="s">
        <v>45</v>
      </c>
      <c r="B27" s="803"/>
      <c r="C27" s="804" t="n">
        <f aca="false">+ESF19!G12</f>
        <v>-233386</v>
      </c>
      <c r="D27" s="804"/>
      <c r="E27" s="804" t="n">
        <f aca="false">+ESF19!J12</f>
        <v>122526</v>
      </c>
      <c r="F27" s="488" t="n">
        <v>1728719</v>
      </c>
      <c r="G27" s="488" t="n">
        <v>-230586</v>
      </c>
      <c r="H27" s="422"/>
      <c r="I27" s="422"/>
      <c r="J27" s="422"/>
      <c r="K27" s="422"/>
      <c r="L27" s="422"/>
      <c r="M27" s="422"/>
      <c r="N27" s="422"/>
      <c r="O27" s="422"/>
      <c r="P27" s="422"/>
      <c r="Q27" s="422"/>
      <c r="R27" s="422"/>
      <c r="S27" s="422"/>
      <c r="T27" s="422"/>
      <c r="U27" s="422"/>
      <c r="V27" s="422"/>
      <c r="W27" s="422"/>
      <c r="X27" s="422"/>
    </row>
    <row r="28" customFormat="false" ht="12" hidden="false" customHeight="false" outlineLevel="0" collapsed="false">
      <c r="A28" s="805" t="s">
        <v>46</v>
      </c>
      <c r="B28" s="803"/>
      <c r="C28" s="804" t="n">
        <f aca="false">+ESF19!G13</f>
        <v>-4708564</v>
      </c>
      <c r="D28" s="804"/>
      <c r="E28" s="804" t="n">
        <f aca="false">+ESF19!J13</f>
        <v>-9322375</v>
      </c>
      <c r="F28" s="488" t="n">
        <v>4055589</v>
      </c>
      <c r="G28" s="488" t="n">
        <v>653652</v>
      </c>
      <c r="H28" s="422"/>
      <c r="I28" s="422"/>
      <c r="J28" s="422"/>
      <c r="K28" s="422"/>
      <c r="L28" s="422"/>
      <c r="M28" s="422"/>
      <c r="N28" s="422"/>
      <c r="O28" s="422"/>
      <c r="P28" s="422"/>
      <c r="Q28" s="422"/>
      <c r="R28" s="422"/>
      <c r="S28" s="422"/>
      <c r="T28" s="422"/>
      <c r="U28" s="422"/>
      <c r="V28" s="422"/>
      <c r="W28" s="422"/>
      <c r="X28" s="422"/>
    </row>
    <row r="29" customFormat="false" ht="12" hidden="true" customHeight="false" outlineLevel="0" collapsed="false">
      <c r="A29" s="805" t="s">
        <v>520</v>
      </c>
      <c r="B29" s="803"/>
      <c r="C29" s="804" t="n">
        <f aca="false">+ESF19!F51</f>
        <v>0</v>
      </c>
      <c r="D29" s="804"/>
      <c r="E29" s="804" t="n">
        <v>0</v>
      </c>
      <c r="F29" s="488" t="n">
        <v>0</v>
      </c>
      <c r="G29" s="488" t="n">
        <v>-4040714</v>
      </c>
      <c r="H29" s="422"/>
      <c r="I29" s="422"/>
      <c r="J29" s="422"/>
      <c r="K29" s="422"/>
      <c r="L29" s="422"/>
      <c r="M29" s="422"/>
      <c r="N29" s="422"/>
      <c r="O29" s="422"/>
      <c r="P29" s="422"/>
      <c r="Q29" s="422"/>
      <c r="R29" s="422"/>
      <c r="S29" s="422"/>
      <c r="T29" s="422"/>
      <c r="U29" s="422"/>
      <c r="V29" s="422"/>
      <c r="W29" s="422"/>
      <c r="X29" s="422"/>
    </row>
    <row r="30" customFormat="false" ht="12" hidden="false" customHeight="false" outlineLevel="0" collapsed="false">
      <c r="A30" s="805" t="s">
        <v>61</v>
      </c>
      <c r="B30" s="803"/>
      <c r="C30" s="804" t="n">
        <f aca="false">+ESF19!G26</f>
        <v>3067865</v>
      </c>
      <c r="D30" s="804"/>
      <c r="E30" s="804" t="n">
        <f aca="false">+ESF19!J24</f>
        <v>1257222</v>
      </c>
      <c r="F30" s="488" t="n">
        <f aca="false">-+ESF19!L24</f>
        <v>-1190535</v>
      </c>
      <c r="G30" s="488" t="n">
        <v>-114</v>
      </c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</row>
    <row r="31" customFormat="false" ht="12" hidden="false" customHeight="false" outlineLevel="0" collapsed="false">
      <c r="A31" s="805" t="s">
        <v>67</v>
      </c>
      <c r="B31" s="803"/>
      <c r="C31" s="804" t="n">
        <f aca="false">ESF19!U8+ESF19!U21</f>
        <v>3444203</v>
      </c>
      <c r="D31" s="804"/>
      <c r="E31" s="804" t="n">
        <f aca="false">+ESF19!X8+ESF19!X21</f>
        <v>-3543922</v>
      </c>
      <c r="F31" s="488" t="n">
        <f aca="false">+ESF19!Z8+ESF19!Z19</f>
        <v>-1598876</v>
      </c>
      <c r="G31" s="488" t="n">
        <v>-436112</v>
      </c>
      <c r="H31" s="422"/>
      <c r="I31" s="422"/>
      <c r="J31" s="422"/>
      <c r="K31" s="422"/>
      <c r="L31" s="422"/>
      <c r="M31" s="422"/>
      <c r="N31" s="422"/>
      <c r="O31" s="422"/>
      <c r="P31" s="422"/>
      <c r="Q31" s="422"/>
      <c r="R31" s="422"/>
      <c r="S31" s="422"/>
      <c r="T31" s="422"/>
      <c r="U31" s="422"/>
      <c r="V31" s="422"/>
      <c r="W31" s="422"/>
      <c r="X31" s="422"/>
    </row>
    <row r="32" customFormat="false" ht="12" hidden="false" customHeight="false" outlineLevel="0" collapsed="false">
      <c r="A32" s="805" t="s">
        <v>139</v>
      </c>
      <c r="B32" s="803"/>
      <c r="C32" s="804" t="n">
        <f aca="false">+ESF19!U9+ESF19!U22</f>
        <v>-11251354</v>
      </c>
      <c r="D32" s="804"/>
      <c r="E32" s="804" t="n">
        <f aca="false">+ESF19!X9+ESF19!X22</f>
        <v>960101</v>
      </c>
      <c r="F32" s="488" t="n">
        <f aca="false">+ESF19!Z9+ESF19!Z20-705016</f>
        <v>946225</v>
      </c>
      <c r="G32" s="488" t="n">
        <v>-4197057</v>
      </c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</row>
    <row r="33" customFormat="false" ht="12" hidden="false" customHeight="false" outlineLevel="0" collapsed="false">
      <c r="A33" s="805" t="s">
        <v>822</v>
      </c>
      <c r="B33" s="803"/>
      <c r="C33" s="804" t="n">
        <f aca="false">+ESF19!F74+ESF19!F96</f>
        <v>845971</v>
      </c>
      <c r="D33" s="804"/>
      <c r="E33" s="804" t="n">
        <f aca="false">+ESF19!X10</f>
        <v>2460744</v>
      </c>
      <c r="F33" s="488" t="n">
        <f aca="false">+ESF19!Z10</f>
        <v>130512</v>
      </c>
      <c r="G33" s="488" t="n">
        <f aca="false">1627958+392</f>
        <v>1628350</v>
      </c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</row>
    <row r="34" customFormat="false" ht="12" hidden="false" customHeight="false" outlineLevel="0" collapsed="false">
      <c r="A34" s="805" t="s">
        <v>72</v>
      </c>
      <c r="B34" s="803"/>
      <c r="C34" s="804" t="n">
        <f aca="false">+ESF19!U11+ESF19!U23</f>
        <v>11962398</v>
      </c>
      <c r="D34" s="804"/>
      <c r="E34" s="804" t="n">
        <f aca="false">+ESF19!X11+ESF19!X23</f>
        <v>-370553</v>
      </c>
      <c r="F34" s="488" t="n">
        <f aca="false">+ESF19!Z11+ESF19!Z21</f>
        <v>-509500</v>
      </c>
      <c r="G34" s="488" t="n">
        <v>2623083</v>
      </c>
      <c r="H34" s="422"/>
      <c r="I34" s="422"/>
      <c r="J34" s="422"/>
      <c r="K34" s="422"/>
      <c r="L34" s="422"/>
      <c r="M34" s="422"/>
      <c r="N34" s="422"/>
      <c r="O34" s="422"/>
      <c r="P34" s="422"/>
      <c r="Q34" s="422"/>
      <c r="R34" s="422"/>
      <c r="S34" s="422"/>
      <c r="T34" s="422"/>
      <c r="U34" s="422"/>
      <c r="V34" s="422"/>
      <c r="W34" s="422"/>
      <c r="X34" s="422"/>
    </row>
    <row r="35" customFormat="false" ht="12" hidden="false" customHeight="false" outlineLevel="0" collapsed="false">
      <c r="A35" s="805" t="s">
        <v>644</v>
      </c>
      <c r="B35" s="803"/>
      <c r="C35" s="804" t="n">
        <f aca="false">+ESF19!F106</f>
        <v>721539</v>
      </c>
      <c r="D35" s="804"/>
      <c r="E35" s="804" t="n">
        <v>-45316</v>
      </c>
      <c r="F35" s="766" t="n">
        <v>-2404770</v>
      </c>
      <c r="G35" s="488" t="n">
        <v>-5964702</v>
      </c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</row>
    <row r="36" customFormat="false" ht="12" hidden="true" customHeight="false" outlineLevel="0" collapsed="false">
      <c r="A36" s="805" t="s">
        <v>522</v>
      </c>
      <c r="B36" s="803"/>
      <c r="C36" s="804" t="n">
        <f aca="false">+ESF19!F101</f>
        <v>0</v>
      </c>
      <c r="D36" s="804"/>
      <c r="E36" s="804"/>
      <c r="F36" s="766"/>
      <c r="G36" s="488"/>
      <c r="H36" s="422"/>
      <c r="I36" s="422"/>
      <c r="J36" s="422"/>
      <c r="K36" s="422"/>
      <c r="L36" s="422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2"/>
      <c r="X36" s="422"/>
    </row>
    <row r="37" customFormat="false" ht="12" hidden="true" customHeight="false" outlineLevel="0" collapsed="false">
      <c r="A37" s="805" t="s">
        <v>523</v>
      </c>
      <c r="B37" s="803"/>
      <c r="C37" s="804" t="n">
        <f aca="false">+ESF19!U14+ESF19!U27</f>
        <v>0</v>
      </c>
      <c r="D37" s="804"/>
      <c r="E37" s="804"/>
      <c r="F37" s="766"/>
      <c r="G37" s="488"/>
      <c r="H37" s="422"/>
      <c r="I37" s="422"/>
      <c r="J37" s="422"/>
      <c r="K37" s="422"/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</row>
    <row r="38" customFormat="false" ht="12" hidden="false" customHeight="false" outlineLevel="0" collapsed="false">
      <c r="A38" s="805" t="s">
        <v>75</v>
      </c>
      <c r="B38" s="803"/>
      <c r="C38" s="804" t="n">
        <f aca="false">+ESF19!F80</f>
        <v>306465</v>
      </c>
      <c r="D38" s="804"/>
      <c r="E38" s="804" t="n">
        <f aca="false">+ESF19!X15-218884</f>
        <v>1447046</v>
      </c>
      <c r="F38" s="488" t="n">
        <f aca="false">+ESF19!Z13-199556+167797</f>
        <v>152364</v>
      </c>
      <c r="G38" s="488" t="n">
        <v>707123</v>
      </c>
      <c r="H38" s="766"/>
      <c r="I38" s="574"/>
      <c r="J38" s="422"/>
      <c r="K38" s="422"/>
      <c r="L38" s="422"/>
      <c r="M38" s="422"/>
      <c r="N38" s="422"/>
      <c r="O38" s="422"/>
      <c r="P38" s="422"/>
      <c r="Q38" s="422"/>
      <c r="R38" s="422"/>
      <c r="S38" s="422"/>
      <c r="T38" s="422"/>
      <c r="U38" s="422"/>
      <c r="V38" s="422"/>
      <c r="W38" s="422"/>
      <c r="X38" s="574"/>
    </row>
    <row r="39" customFormat="false" ht="12" hidden="false" customHeight="false" outlineLevel="0" collapsed="false">
      <c r="A39" s="805" t="s">
        <v>85</v>
      </c>
      <c r="B39" s="803"/>
      <c r="C39" s="804" t="n">
        <v>0</v>
      </c>
      <c r="D39" s="804"/>
      <c r="E39" s="804" t="n">
        <f aca="false">+ESF19!X26+ESF19!X27</f>
        <v>-992443</v>
      </c>
      <c r="F39" s="488" t="n">
        <f aca="false">+ESF19!Z24</f>
        <v>0</v>
      </c>
      <c r="G39" s="488" t="n">
        <v>-2365666</v>
      </c>
      <c r="H39" s="422"/>
      <c r="I39" s="422"/>
      <c r="J39" s="422"/>
      <c r="K39" s="422"/>
      <c r="L39" s="422"/>
      <c r="M39" s="422"/>
      <c r="N39" s="422"/>
      <c r="O39" s="422"/>
      <c r="P39" s="422"/>
      <c r="Q39" s="422"/>
      <c r="R39" s="422"/>
      <c r="S39" s="422"/>
      <c r="T39" s="422"/>
      <c r="U39" s="422"/>
      <c r="V39" s="422"/>
      <c r="W39" s="422"/>
      <c r="X39" s="422"/>
    </row>
    <row r="40" customFormat="false" ht="12" hidden="false" customHeight="false" outlineLevel="0" collapsed="false">
      <c r="A40" s="802" t="s">
        <v>823</v>
      </c>
      <c r="B40" s="803"/>
      <c r="C40" s="807" t="n">
        <f aca="false">+SUM(C21:C39)</f>
        <v>58921330.94</v>
      </c>
      <c r="D40" s="488"/>
      <c r="E40" s="807" t="n">
        <f aca="false">+SUM(E21:E39)</f>
        <v>34216578</v>
      </c>
      <c r="F40" s="488" t="n">
        <f aca="false">+SUM(F21:F39)</f>
        <v>20460635.05</v>
      </c>
      <c r="G40" s="488" t="n">
        <f aca="false">+SUM(G21:G39)</f>
        <v>27213258</v>
      </c>
      <c r="H40" s="422"/>
      <c r="I40" s="422"/>
      <c r="J40" s="422"/>
      <c r="K40" s="422"/>
      <c r="L40" s="422"/>
      <c r="M40" s="422"/>
      <c r="N40" s="422"/>
      <c r="O40" s="422"/>
      <c r="P40" s="422"/>
      <c r="Q40" s="422"/>
      <c r="R40" s="422"/>
      <c r="S40" s="422"/>
      <c r="T40" s="422"/>
      <c r="U40" s="422"/>
      <c r="V40" s="422"/>
      <c r="W40" s="422"/>
      <c r="X40" s="422"/>
    </row>
    <row r="41" customFormat="false" ht="12" hidden="false" customHeight="false" outlineLevel="0" collapsed="false">
      <c r="A41" s="805" t="s">
        <v>824</v>
      </c>
      <c r="B41" s="803"/>
      <c r="C41" s="804" t="n">
        <f aca="false">+W41</f>
        <v>-7316715</v>
      </c>
      <c r="D41" s="804"/>
      <c r="E41" s="804" t="n">
        <f aca="false">+ERI19!H20</f>
        <v>-4254413</v>
      </c>
      <c r="F41" s="488" t="n">
        <f aca="false">+ERI19!J20</f>
        <v>-3475906</v>
      </c>
      <c r="G41" s="488" t="n">
        <v>-3198548</v>
      </c>
      <c r="H41" s="416" t="n">
        <v>-7316715</v>
      </c>
      <c r="I41" s="416"/>
      <c r="J41" s="416"/>
      <c r="K41" s="416"/>
      <c r="L41" s="416"/>
      <c r="M41" s="416"/>
      <c r="N41" s="416"/>
      <c r="O41" s="416"/>
      <c r="P41" s="416"/>
      <c r="Q41" s="551"/>
      <c r="R41" s="416"/>
      <c r="S41" s="416"/>
      <c r="T41" s="416" t="n">
        <f aca="false">SUM(H41:S41)</f>
        <v>-7316715</v>
      </c>
      <c r="U41" s="416"/>
      <c r="V41" s="416"/>
      <c r="W41" s="416" t="n">
        <f aca="false">+T41+U41-V41</f>
        <v>-7316715</v>
      </c>
      <c r="X41" s="422"/>
    </row>
    <row r="42" customFormat="false" ht="12" hidden="false" customHeight="false" outlineLevel="0" collapsed="false">
      <c r="A42" s="805" t="s">
        <v>825</v>
      </c>
      <c r="B42" s="803"/>
      <c r="C42" s="804" t="n">
        <f aca="false">+ESF19!F79</f>
        <v>-2840226</v>
      </c>
      <c r="D42" s="804"/>
      <c r="E42" s="766" t="n">
        <v>-1591304</v>
      </c>
      <c r="F42" s="488" t="n">
        <v>-1759101</v>
      </c>
      <c r="G42" s="488" t="n">
        <v>-2644886</v>
      </c>
      <c r="H42" s="416" t="n">
        <v>-2404929</v>
      </c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16" t="n">
        <f aca="false">SUM(H42:S42)</f>
        <v>-2404929</v>
      </c>
      <c r="U42" s="422"/>
      <c r="V42" s="422"/>
      <c r="W42" s="416" t="n">
        <f aca="false">+T42+U42-V42</f>
        <v>-2404929</v>
      </c>
      <c r="X42" s="422"/>
    </row>
    <row r="43" customFormat="false" ht="12" hidden="false" customHeight="false" outlineLevel="0" collapsed="false">
      <c r="A43" s="805" t="s">
        <v>826</v>
      </c>
      <c r="B43" s="803" t="n">
        <v>25</v>
      </c>
      <c r="C43" s="804" t="n">
        <f aca="false">+ESF19!F56+ESF19!F58</f>
        <v>-1788845</v>
      </c>
      <c r="D43" s="804"/>
      <c r="E43" s="766" t="n">
        <v>-207177</v>
      </c>
      <c r="F43" s="488" t="n">
        <v>-107410</v>
      </c>
      <c r="G43" s="488" t="n">
        <v>-470931</v>
      </c>
      <c r="H43" s="416" t="n">
        <v>-639947</v>
      </c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16" t="n">
        <f aca="false">SUM(H43:S43)</f>
        <v>-639947</v>
      </c>
      <c r="U43" s="422"/>
      <c r="V43" s="422"/>
      <c r="W43" s="416" t="n">
        <f aca="false">+T43+U43-V43</f>
        <v>-639947</v>
      </c>
      <c r="X43" s="422"/>
    </row>
    <row r="44" customFormat="false" ht="12" hidden="false" customHeight="false" outlineLevel="0" collapsed="false">
      <c r="A44" s="808" t="s">
        <v>827</v>
      </c>
      <c r="B44" s="809"/>
      <c r="C44" s="810" t="n">
        <f aca="false">+C40+C41+C42+C43</f>
        <v>46975544.94</v>
      </c>
      <c r="D44" s="811"/>
      <c r="E44" s="810" t="n">
        <f aca="false">+E40+E41+E42+E43</f>
        <v>28163684</v>
      </c>
      <c r="F44" s="812" t="n">
        <f aca="false">+F40+F41+F42+F43</f>
        <v>15118218.05</v>
      </c>
      <c r="G44" s="811" t="n">
        <f aca="false">+G40+G41+G42+G43</f>
        <v>20898893</v>
      </c>
      <c r="H44" s="422"/>
      <c r="I44" s="497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</row>
    <row r="45" customFormat="false" ht="5.1" hidden="false" customHeight="true" outlineLevel="0" collapsed="false">
      <c r="A45" s="795"/>
      <c r="B45" s="801"/>
      <c r="C45" s="416"/>
      <c r="D45" s="416"/>
      <c r="E45" s="416"/>
      <c r="F45" s="416"/>
      <c r="G45" s="416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</row>
    <row r="46" customFormat="false" ht="12" hidden="false" customHeight="false" outlineLevel="0" collapsed="false">
      <c r="A46" s="793" t="s">
        <v>828</v>
      </c>
      <c r="B46" s="801"/>
      <c r="C46" s="813"/>
      <c r="D46" s="813"/>
      <c r="E46" s="813"/>
      <c r="F46" s="416"/>
      <c r="G46" s="416"/>
      <c r="H46" s="422"/>
      <c r="I46" s="422"/>
      <c r="J46" s="422"/>
      <c r="K46" s="422"/>
      <c r="L46" s="422"/>
      <c r="M46" s="422"/>
      <c r="N46" s="422"/>
      <c r="O46" s="422"/>
      <c r="P46" s="422"/>
      <c r="Q46" s="422"/>
      <c r="R46" s="422"/>
      <c r="S46" s="422"/>
      <c r="T46" s="422"/>
      <c r="U46" s="422"/>
      <c r="V46" s="422"/>
      <c r="W46" s="422"/>
      <c r="X46" s="422"/>
    </row>
    <row r="47" customFormat="false" ht="12" hidden="false" customHeight="false" outlineLevel="0" collapsed="false">
      <c r="A47" s="805" t="s">
        <v>829</v>
      </c>
      <c r="B47" s="803" t="n">
        <v>7</v>
      </c>
      <c r="C47" s="811" t="n">
        <f aca="false">+ESF19!G7</f>
        <v>-965345</v>
      </c>
      <c r="D47" s="811"/>
      <c r="E47" s="811" t="n">
        <f aca="false">+ESF19!J7</f>
        <v>251011</v>
      </c>
      <c r="F47" s="814" t="n">
        <v>-593863</v>
      </c>
      <c r="G47" s="811" t="n">
        <v>-175815</v>
      </c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</row>
    <row r="48" customFormat="false" ht="12" hidden="false" customHeight="false" outlineLevel="0" collapsed="false">
      <c r="A48" s="805" t="s">
        <v>830</v>
      </c>
      <c r="B48" s="803"/>
      <c r="C48" s="811" t="n">
        <f aca="false">+ESF19!G6</f>
        <v>60892</v>
      </c>
      <c r="D48" s="811"/>
      <c r="E48" s="811" t="n">
        <f aca="false">+ESF19!J6</f>
        <v>29809</v>
      </c>
      <c r="F48" s="814" t="n">
        <v>5828169</v>
      </c>
      <c r="G48" s="811" t="n">
        <v>-1655856</v>
      </c>
      <c r="H48" s="422"/>
      <c r="I48" s="422"/>
      <c r="J48" s="422"/>
      <c r="K48" s="422"/>
      <c r="L48" s="422"/>
      <c r="M48" s="422"/>
      <c r="N48" s="422"/>
      <c r="O48" s="422"/>
      <c r="P48" s="422"/>
      <c r="Q48" s="422"/>
      <c r="R48" s="422"/>
      <c r="S48" s="422"/>
      <c r="T48" s="422"/>
      <c r="U48" s="422"/>
      <c r="V48" s="422"/>
      <c r="W48" s="422"/>
      <c r="X48" s="422"/>
    </row>
    <row r="49" customFormat="false" ht="12" hidden="false" customHeight="false" outlineLevel="0" collapsed="false">
      <c r="A49" s="805" t="s">
        <v>831</v>
      </c>
      <c r="B49" s="803"/>
      <c r="C49" s="815" t="n">
        <f aca="false">+ESF19!G24</f>
        <v>-251355</v>
      </c>
      <c r="D49" s="815"/>
      <c r="E49" s="815" t="n">
        <v>0</v>
      </c>
      <c r="F49" s="440" t="n">
        <v>0</v>
      </c>
      <c r="G49" s="811" t="n">
        <v>-125000</v>
      </c>
      <c r="H49" s="422"/>
      <c r="I49" s="422"/>
      <c r="J49" s="422"/>
      <c r="K49" s="422"/>
      <c r="L49" s="422"/>
      <c r="M49" s="422"/>
      <c r="N49" s="422"/>
      <c r="O49" s="422"/>
      <c r="P49" s="422"/>
      <c r="Q49" s="422"/>
      <c r="R49" s="422"/>
      <c r="S49" s="422"/>
      <c r="T49" s="422"/>
      <c r="U49" s="422"/>
      <c r="V49" s="422"/>
      <c r="W49" s="422"/>
      <c r="X49" s="422"/>
    </row>
    <row r="50" customFormat="false" ht="12" hidden="true" customHeight="false" outlineLevel="0" collapsed="false">
      <c r="A50" s="805" t="s">
        <v>832</v>
      </c>
      <c r="B50" s="803"/>
      <c r="C50" s="815"/>
      <c r="D50" s="815"/>
      <c r="E50" s="815" t="n">
        <v>0</v>
      </c>
      <c r="F50" s="811" t="n">
        <v>119269</v>
      </c>
      <c r="G50" s="811" t="n">
        <v>-1494761</v>
      </c>
      <c r="H50" s="422"/>
      <c r="I50" s="422"/>
      <c r="J50" s="422"/>
      <c r="K50" s="422"/>
      <c r="L50" s="422"/>
      <c r="M50" s="422"/>
      <c r="N50" s="422"/>
      <c r="O50" s="422"/>
      <c r="P50" s="422"/>
      <c r="Q50" s="422"/>
      <c r="R50" s="422"/>
      <c r="S50" s="422"/>
      <c r="T50" s="422"/>
      <c r="U50" s="422"/>
      <c r="V50" s="422"/>
      <c r="W50" s="422"/>
      <c r="X50" s="422"/>
    </row>
    <row r="51" customFormat="false" ht="12" hidden="false" customHeight="false" outlineLevel="0" collapsed="false">
      <c r="A51" s="805" t="s">
        <v>833</v>
      </c>
      <c r="B51" s="803" t="n">
        <v>12</v>
      </c>
      <c r="C51" s="814" t="n">
        <f aca="false">+ESF19!F45</f>
        <v>-3842548</v>
      </c>
      <c r="D51" s="814"/>
      <c r="E51" s="814" t="n">
        <v>-12283237</v>
      </c>
      <c r="F51" s="811" t="n">
        <v>-15283415</v>
      </c>
      <c r="G51" s="811" t="n">
        <f aca="false">-19113929+437588</f>
        <v>-18676341</v>
      </c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422"/>
      <c r="T51" s="422"/>
      <c r="U51" s="422"/>
      <c r="V51" s="422"/>
      <c r="W51" s="422"/>
      <c r="X51" s="422"/>
    </row>
    <row r="52" customFormat="false" ht="12" hidden="true" customHeight="false" outlineLevel="0" collapsed="false">
      <c r="A52" s="805" t="s">
        <v>834</v>
      </c>
      <c r="B52" s="803"/>
      <c r="C52" s="815" t="n">
        <f aca="false">+ESF19!F68</f>
        <v>0</v>
      </c>
      <c r="D52" s="815"/>
      <c r="E52" s="815" t="n">
        <v>0</v>
      </c>
      <c r="F52" s="440" t="n">
        <v>0</v>
      </c>
      <c r="G52" s="811" t="n">
        <v>-49200</v>
      </c>
      <c r="H52" s="422"/>
      <c r="I52" s="422"/>
      <c r="J52" s="422"/>
      <c r="K52" s="422"/>
      <c r="L52" s="422"/>
      <c r="M52" s="422"/>
      <c r="N52" s="422"/>
      <c r="O52" s="422"/>
      <c r="P52" s="422"/>
      <c r="Q52" s="422"/>
      <c r="R52" s="422"/>
      <c r="S52" s="422"/>
      <c r="T52" s="422"/>
      <c r="U52" s="422"/>
      <c r="V52" s="422"/>
      <c r="W52" s="422"/>
      <c r="X52" s="422"/>
    </row>
    <row r="53" customFormat="false" ht="12" hidden="false" customHeight="false" outlineLevel="0" collapsed="false">
      <c r="A53" s="805" t="s">
        <v>835</v>
      </c>
      <c r="B53" s="803" t="n">
        <v>14</v>
      </c>
      <c r="C53" s="814" t="n">
        <f aca="false">+ESF19!F63</f>
        <v>-909058</v>
      </c>
      <c r="D53" s="814"/>
      <c r="E53" s="814" t="n">
        <v>-4862718</v>
      </c>
      <c r="F53" s="811" t="n">
        <f aca="false">-(1121449+75987)</f>
        <v>-1197436</v>
      </c>
      <c r="G53" s="811" t="n">
        <v>-2492677</v>
      </c>
      <c r="H53" s="422"/>
      <c r="I53" s="422"/>
      <c r="J53" s="422"/>
      <c r="K53" s="422"/>
      <c r="L53" s="422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</row>
    <row r="54" customFormat="false" ht="12" hidden="false" customHeight="false" outlineLevel="0" collapsed="false">
      <c r="A54" s="808" t="s">
        <v>836</v>
      </c>
      <c r="B54" s="803"/>
      <c r="C54" s="816" t="n">
        <f aca="false">+SUM(C47:C53)</f>
        <v>-5907414</v>
      </c>
      <c r="D54" s="804"/>
      <c r="E54" s="816" t="n">
        <f aca="false">+SUM(E47:E53)</f>
        <v>-16865135</v>
      </c>
      <c r="F54" s="812" t="n">
        <f aca="false">+SUM(F47:F53)</f>
        <v>-11127276</v>
      </c>
      <c r="G54" s="811" t="n">
        <f aca="false">+SUM(G47:G53)</f>
        <v>-24669650</v>
      </c>
      <c r="H54" s="422"/>
      <c r="I54" s="422"/>
      <c r="J54" s="422"/>
      <c r="K54" s="422"/>
      <c r="L54" s="422"/>
      <c r="M54" s="422"/>
      <c r="N54" s="422"/>
      <c r="O54" s="422"/>
      <c r="P54" s="422"/>
      <c r="Q54" s="422"/>
      <c r="R54" s="422"/>
      <c r="S54" s="422"/>
      <c r="T54" s="422"/>
      <c r="U54" s="422"/>
      <c r="V54" s="422"/>
      <c r="W54" s="422"/>
      <c r="X54" s="422"/>
    </row>
    <row r="55" customFormat="false" ht="5.1" hidden="false" customHeight="true" outlineLevel="0" collapsed="false">
      <c r="A55" s="422"/>
      <c r="B55" s="647"/>
      <c r="C55" s="416"/>
      <c r="D55" s="416"/>
      <c r="E55" s="416"/>
      <c r="F55" s="416"/>
      <c r="G55" s="416"/>
      <c r="H55" s="422"/>
      <c r="I55" s="422"/>
      <c r="J55" s="422"/>
      <c r="K55" s="422"/>
      <c r="L55" s="422"/>
      <c r="M55" s="422"/>
      <c r="N55" s="422"/>
      <c r="O55" s="422"/>
      <c r="P55" s="422"/>
      <c r="Q55" s="422"/>
      <c r="R55" s="422"/>
      <c r="S55" s="422"/>
      <c r="T55" s="422"/>
      <c r="U55" s="422"/>
      <c r="V55" s="422"/>
      <c r="W55" s="422"/>
      <c r="X55" s="422"/>
    </row>
    <row r="56" customFormat="false" ht="12" hidden="false" customHeight="false" outlineLevel="0" collapsed="false">
      <c r="A56" s="793" t="s">
        <v>837</v>
      </c>
      <c r="B56" s="801"/>
      <c r="C56" s="813"/>
      <c r="D56" s="813"/>
      <c r="E56" s="813"/>
      <c r="F56" s="416"/>
      <c r="G56" s="416"/>
      <c r="H56" s="422"/>
      <c r="I56" s="422"/>
      <c r="J56" s="422"/>
      <c r="K56" s="422"/>
      <c r="L56" s="422"/>
      <c r="M56" s="422"/>
      <c r="N56" s="422"/>
      <c r="O56" s="422"/>
      <c r="P56" s="422"/>
      <c r="Q56" s="422"/>
      <c r="R56" s="422"/>
      <c r="S56" s="422"/>
      <c r="T56" s="422"/>
      <c r="U56" s="422"/>
      <c r="V56" s="422"/>
      <c r="W56" s="422"/>
      <c r="X56" s="422"/>
    </row>
    <row r="57" customFormat="false" ht="12" hidden="false" customHeight="false" outlineLevel="0" collapsed="false">
      <c r="A57" s="795" t="s">
        <v>838</v>
      </c>
      <c r="B57" s="801"/>
      <c r="C57" s="416" t="n">
        <f aca="false">+W57</f>
        <v>-1307540</v>
      </c>
      <c r="D57" s="416"/>
      <c r="E57" s="813"/>
      <c r="F57" s="416"/>
      <c r="G57" s="416"/>
      <c r="H57" s="544" t="n">
        <v>-1307540</v>
      </c>
      <c r="I57" s="422"/>
      <c r="J57" s="422"/>
      <c r="K57" s="422"/>
      <c r="L57" s="422"/>
      <c r="M57" s="422"/>
      <c r="N57" s="422"/>
      <c r="O57" s="422"/>
      <c r="P57" s="422"/>
      <c r="Q57" s="422"/>
      <c r="R57" s="422"/>
      <c r="S57" s="422"/>
      <c r="T57" s="574" t="n">
        <f aca="false">SUM(H57:S57)</f>
        <v>-1307540</v>
      </c>
      <c r="U57" s="422"/>
      <c r="V57" s="422"/>
      <c r="W57" s="574" t="n">
        <f aca="false">+T57+U57-V57</f>
        <v>-1307540</v>
      </c>
      <c r="X57" s="422"/>
    </row>
    <row r="58" customFormat="false" ht="12" hidden="false" customHeight="false" outlineLevel="0" collapsed="false">
      <c r="A58" s="805" t="s">
        <v>839</v>
      </c>
      <c r="B58" s="803"/>
      <c r="C58" s="814" t="n">
        <f aca="false">+ESF19!T45</f>
        <v>221096</v>
      </c>
      <c r="D58" s="814"/>
      <c r="E58" s="814" t="n">
        <v>-1560840</v>
      </c>
      <c r="F58" s="440" t="n">
        <v>0</v>
      </c>
      <c r="G58" s="811" t="n">
        <v>1412099</v>
      </c>
      <c r="H58" s="422"/>
      <c r="I58" s="422"/>
      <c r="J58" s="422"/>
      <c r="K58" s="422"/>
      <c r="L58" s="422"/>
      <c r="M58" s="422"/>
      <c r="N58" s="422"/>
      <c r="O58" s="422"/>
      <c r="P58" s="422"/>
      <c r="Q58" s="422"/>
      <c r="R58" s="422"/>
      <c r="S58" s="422"/>
      <c r="T58" s="422"/>
      <c r="U58" s="422"/>
      <c r="V58" s="422"/>
      <c r="W58" s="422"/>
      <c r="X58" s="422"/>
    </row>
    <row r="59" customFormat="false" ht="12" hidden="false" customHeight="false" outlineLevel="0" collapsed="false">
      <c r="A59" s="805" t="s">
        <v>840</v>
      </c>
      <c r="B59" s="803"/>
      <c r="C59" s="814" t="n">
        <f aca="false">+ESF19!T41</f>
        <v>1188714</v>
      </c>
      <c r="D59" s="814"/>
      <c r="E59" s="814" t="n">
        <v>0</v>
      </c>
      <c r="F59" s="440"/>
      <c r="G59" s="811"/>
      <c r="H59" s="422"/>
      <c r="I59" s="422"/>
      <c r="J59" s="422"/>
      <c r="K59" s="422"/>
      <c r="L59" s="422"/>
      <c r="M59" s="422"/>
      <c r="N59" s="422"/>
      <c r="O59" s="422"/>
      <c r="P59" s="422"/>
      <c r="Q59" s="422"/>
      <c r="R59" s="422"/>
      <c r="S59" s="422"/>
      <c r="T59" s="422"/>
      <c r="U59" s="422"/>
      <c r="V59" s="422"/>
      <c r="W59" s="422"/>
      <c r="X59" s="422"/>
    </row>
    <row r="60" customFormat="false" ht="12" hidden="false" customHeight="false" outlineLevel="0" collapsed="false">
      <c r="A60" s="805" t="s">
        <v>841</v>
      </c>
      <c r="B60" s="803"/>
      <c r="C60" s="814" t="n">
        <f aca="false">+ESF19!T40</f>
        <v>-5488035</v>
      </c>
      <c r="D60" s="814"/>
      <c r="E60" s="814" t="n">
        <v>0</v>
      </c>
      <c r="F60" s="440"/>
      <c r="G60" s="811"/>
      <c r="H60" s="422"/>
      <c r="I60" s="422"/>
      <c r="J60" s="422"/>
      <c r="K60" s="422"/>
      <c r="L60" s="422"/>
      <c r="M60" s="422"/>
      <c r="N60" s="422"/>
      <c r="O60" s="422"/>
      <c r="P60" s="422"/>
      <c r="Q60" s="422"/>
      <c r="R60" s="422"/>
      <c r="S60" s="422"/>
      <c r="T60" s="422"/>
      <c r="U60" s="422"/>
      <c r="V60" s="422"/>
      <c r="W60" s="422"/>
      <c r="X60" s="422"/>
    </row>
    <row r="61" customFormat="false" ht="12" hidden="false" customHeight="false" outlineLevel="0" collapsed="false">
      <c r="A61" s="805" t="s">
        <v>842</v>
      </c>
      <c r="B61" s="803"/>
      <c r="C61" s="804" t="n">
        <f aca="false">+ESF19!U19+ESF19!U6</f>
        <v>-10808637</v>
      </c>
      <c r="D61" s="804"/>
      <c r="E61" s="804" t="n">
        <f aca="false">+ESF19!X6+ESF19!X19</f>
        <v>-7240852</v>
      </c>
      <c r="F61" s="811" t="n">
        <f aca="false">+ESF19!Z6+ESF19!Z17</f>
        <v>-4735058</v>
      </c>
      <c r="G61" s="811" t="n">
        <f aca="false">15141796-13490379-198890+4596345</f>
        <v>6048872</v>
      </c>
      <c r="H61" s="422"/>
      <c r="I61" s="422"/>
      <c r="J61" s="422"/>
      <c r="K61" s="422"/>
      <c r="L61" s="422"/>
      <c r="M61" s="422"/>
      <c r="N61" s="422"/>
      <c r="O61" s="422"/>
      <c r="P61" s="422"/>
      <c r="Q61" s="422"/>
      <c r="R61" s="422"/>
      <c r="S61" s="422"/>
      <c r="T61" s="422"/>
      <c r="U61" s="422"/>
      <c r="V61" s="422"/>
      <c r="W61" s="422"/>
      <c r="X61" s="422"/>
    </row>
    <row r="62" customFormat="false" ht="12" hidden="false" customHeight="false" outlineLevel="0" collapsed="false">
      <c r="A62" s="805" t="s">
        <v>843</v>
      </c>
      <c r="B62" s="803"/>
      <c r="C62" s="804" t="n">
        <f aca="false">+ESF19!U7+ESF19!U20</f>
        <v>-8550313</v>
      </c>
      <c r="D62" s="804"/>
      <c r="E62" s="804" t="n">
        <f aca="false">+ESF19!X7+ESF19!X20</f>
        <v>-7134782</v>
      </c>
      <c r="F62" s="811" t="n">
        <f aca="false">+ESF19!Z7+ESF19!Z18</f>
        <v>-8370991</v>
      </c>
      <c r="G62" s="811" t="n">
        <f aca="false">13238971-9192632</f>
        <v>4046339</v>
      </c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</row>
    <row r="63" customFormat="false" ht="12" hidden="false" customHeight="false" outlineLevel="0" collapsed="false">
      <c r="A63" s="808" t="s">
        <v>844</v>
      </c>
      <c r="B63" s="809"/>
      <c r="C63" s="816" t="n">
        <f aca="false">+SUM(C57:C62)</f>
        <v>-24744715</v>
      </c>
      <c r="D63" s="804"/>
      <c r="E63" s="816" t="n">
        <f aca="false">+SUM(E58:E62)</f>
        <v>-15936474</v>
      </c>
      <c r="F63" s="817" t="n">
        <f aca="false">+SUM(F58:F62)</f>
        <v>-13106049</v>
      </c>
      <c r="G63" s="804" t="n">
        <f aca="false">+SUM(G58:G62)</f>
        <v>11507310</v>
      </c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</row>
    <row r="64" customFormat="false" ht="5.1" hidden="false" customHeight="true" outlineLevel="0" collapsed="false">
      <c r="A64" s="818"/>
      <c r="B64" s="819"/>
      <c r="C64" s="815"/>
      <c r="D64" s="815"/>
      <c r="E64" s="815"/>
      <c r="F64" s="416"/>
      <c r="G64" s="416"/>
      <c r="H64" s="422"/>
      <c r="I64" s="422"/>
      <c r="J64" s="422"/>
      <c r="K64" s="422"/>
      <c r="L64" s="422"/>
      <c r="M64" s="422"/>
      <c r="N64" s="422"/>
      <c r="O64" s="422"/>
      <c r="P64" s="422"/>
      <c r="Q64" s="422"/>
      <c r="R64" s="422"/>
      <c r="S64" s="422"/>
      <c r="T64" s="422"/>
      <c r="U64" s="422"/>
      <c r="V64" s="422"/>
      <c r="W64" s="422"/>
      <c r="X64" s="422"/>
    </row>
    <row r="65" customFormat="false" ht="12" hidden="false" customHeight="false" outlineLevel="0" collapsed="false">
      <c r="A65" s="808" t="s">
        <v>845</v>
      </c>
      <c r="B65" s="803"/>
      <c r="C65" s="804" t="n">
        <f aca="false">+C63+C54+C44</f>
        <v>16323415.94</v>
      </c>
      <c r="D65" s="804"/>
      <c r="E65" s="804" t="n">
        <f aca="false">+E63+E54+E44</f>
        <v>-4637925</v>
      </c>
      <c r="F65" s="811" t="n">
        <f aca="false">+F63+F54+F44</f>
        <v>-9115106.95000002</v>
      </c>
      <c r="G65" s="811" t="n">
        <f aca="false">+G63+G54+G44</f>
        <v>7736553</v>
      </c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</row>
    <row r="66" customFormat="false" ht="12" hidden="false" customHeight="false" outlineLevel="0" collapsed="false">
      <c r="A66" s="808" t="s">
        <v>846</v>
      </c>
      <c r="B66" s="803"/>
      <c r="C66" s="804" t="n">
        <f aca="false">+ESF19!I5-ESF19!W5</f>
        <v>-3155765</v>
      </c>
      <c r="D66" s="804"/>
      <c r="E66" s="804" t="n">
        <f aca="false">+F67</f>
        <v>1482160.04999998</v>
      </c>
      <c r="F66" s="811" t="n">
        <f aca="false">+G67</f>
        <v>10597267</v>
      </c>
      <c r="G66" s="811" t="n">
        <v>2860714</v>
      </c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</row>
    <row r="67" customFormat="false" ht="12.75" hidden="false" customHeight="false" outlineLevel="0" collapsed="false">
      <c r="A67" s="808" t="s">
        <v>847</v>
      </c>
      <c r="B67" s="803" t="n">
        <v>6</v>
      </c>
      <c r="C67" s="820" t="n">
        <f aca="false">+C65+C66</f>
        <v>13167650.94</v>
      </c>
      <c r="D67" s="804"/>
      <c r="E67" s="820" t="n">
        <f aca="false">+E65+E66</f>
        <v>-3155764.95000002</v>
      </c>
      <c r="F67" s="811" t="n">
        <f aca="false">+F65+F66</f>
        <v>1482160.04999998</v>
      </c>
      <c r="G67" s="811" t="n">
        <f aca="false">+G65+G66</f>
        <v>10597267</v>
      </c>
      <c r="H67" s="422"/>
      <c r="I67" s="422"/>
      <c r="J67" s="422"/>
      <c r="K67" s="422"/>
      <c r="L67" s="422"/>
      <c r="M67" s="422"/>
      <c r="N67" s="422"/>
      <c r="O67" s="422"/>
      <c r="P67" s="422"/>
      <c r="Q67" s="422"/>
      <c r="R67" s="422"/>
      <c r="S67" s="422"/>
      <c r="T67" s="422"/>
      <c r="U67" s="422"/>
      <c r="V67" s="422"/>
      <c r="W67" s="422"/>
      <c r="X67" s="422"/>
    </row>
    <row r="68" customFormat="false" ht="5.1" hidden="false" customHeight="true" outlineLevel="0" collapsed="false">
      <c r="A68" s="422"/>
      <c r="B68" s="422"/>
      <c r="C68" s="821"/>
      <c r="D68" s="821"/>
      <c r="E68" s="821"/>
      <c r="F68" s="821"/>
      <c r="G68" s="821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</row>
    <row r="69" customFormat="false" ht="11.25" hidden="false" customHeight="true" outlineLevel="0" collapsed="false">
      <c r="A69" s="422" t="s">
        <v>848</v>
      </c>
      <c r="B69" s="422"/>
      <c r="C69" s="821"/>
      <c r="D69" s="821"/>
      <c r="E69" s="821"/>
      <c r="F69" s="821"/>
      <c r="G69" s="821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</row>
    <row r="70" customFormat="false" ht="5.1" hidden="false" customHeight="true" outlineLevel="0" collapsed="false">
      <c r="A70" s="422"/>
      <c r="B70" s="422"/>
      <c r="C70" s="821"/>
      <c r="D70" s="821"/>
      <c r="E70" s="821"/>
      <c r="F70" s="821"/>
      <c r="G70" s="821"/>
      <c r="H70" s="422"/>
      <c r="I70" s="422"/>
      <c r="J70" s="422"/>
      <c r="K70" s="422"/>
      <c r="L70" s="422"/>
      <c r="M70" s="422"/>
      <c r="N70" s="422"/>
      <c r="O70" s="422"/>
      <c r="P70" s="422"/>
      <c r="Q70" s="422"/>
      <c r="R70" s="422"/>
      <c r="S70" s="422"/>
      <c r="T70" s="422"/>
      <c r="U70" s="422"/>
      <c r="V70" s="422"/>
      <c r="W70" s="422"/>
      <c r="X70" s="422"/>
    </row>
    <row r="71" customFormat="false" ht="12" hidden="false" customHeight="false" outlineLevel="0" collapsed="false">
      <c r="C71" s="822" t="n">
        <f aca="false">+ESF19!F5-ESF19!T5-C67</f>
        <v>-7355720.94</v>
      </c>
      <c r="D71" s="822"/>
      <c r="E71" s="821"/>
      <c r="F71" s="821"/>
      <c r="G71" s="821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</row>
    <row r="72" customFormat="false" ht="12" hidden="false" customHeight="false" outlineLevel="0" collapsed="false">
      <c r="C72" s="436"/>
      <c r="D72" s="436"/>
      <c r="E72" s="821"/>
      <c r="F72" s="821"/>
      <c r="G72" s="821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</row>
    <row r="73" customFormat="false" ht="12" hidden="false" customHeight="false" outlineLevel="0" collapsed="false">
      <c r="C73" s="436"/>
      <c r="D73" s="436"/>
      <c r="E73" s="821"/>
      <c r="F73" s="821"/>
      <c r="G73" s="821"/>
      <c r="H73" s="422"/>
      <c r="I73" s="422"/>
      <c r="J73" s="422"/>
      <c r="K73" s="422"/>
      <c r="L73" s="422"/>
      <c r="M73" s="422"/>
      <c r="N73" s="422"/>
      <c r="O73" s="422"/>
      <c r="P73" s="422"/>
      <c r="Q73" s="422"/>
      <c r="R73" s="422"/>
      <c r="S73" s="422"/>
      <c r="T73" s="422"/>
      <c r="U73" s="422"/>
      <c r="V73" s="422"/>
      <c r="W73" s="422"/>
      <c r="X73" s="422"/>
    </row>
    <row r="74" customFormat="false" ht="12" hidden="false" customHeight="false" outlineLevel="0" collapsed="false">
      <c r="E74" s="422"/>
      <c r="F74" s="668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</row>
    <row r="75" customFormat="false" ht="12" hidden="false" customHeight="false" outlineLevel="0" collapsed="false"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</row>
    <row r="76" customFormat="false" ht="12" hidden="false" customHeight="false" outlineLevel="0" collapsed="false"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</row>
    <row r="77" customFormat="false" ht="12" hidden="false" customHeight="false" outlineLevel="0" collapsed="false">
      <c r="E77" s="422"/>
      <c r="F77" s="422"/>
      <c r="G77" s="422"/>
      <c r="H77" s="422"/>
      <c r="I77" s="422"/>
      <c r="J77" s="422"/>
      <c r="K77" s="422"/>
      <c r="L77" s="422"/>
      <c r="M77" s="422"/>
      <c r="N77" s="422"/>
      <c r="O77" s="422"/>
      <c r="P77" s="422"/>
      <c r="Q77" s="422"/>
      <c r="R77" s="422"/>
      <c r="S77" s="422"/>
      <c r="T77" s="422"/>
      <c r="U77" s="422"/>
      <c r="V77" s="422"/>
      <c r="W77" s="422"/>
      <c r="X77" s="422"/>
    </row>
    <row r="78" customFormat="false" ht="12" hidden="false" customHeight="false" outlineLevel="0" collapsed="false"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</row>
    <row r="79" customFormat="false" ht="12" hidden="false" customHeight="false" outlineLevel="0" collapsed="false">
      <c r="E79" s="422"/>
      <c r="F79" s="422"/>
      <c r="G79" s="422"/>
      <c r="H79" s="422"/>
      <c r="I79" s="422"/>
      <c r="J79" s="422"/>
      <c r="K79" s="422"/>
      <c r="L79" s="422"/>
      <c r="M79" s="422"/>
      <c r="N79" s="422"/>
      <c r="O79" s="422"/>
      <c r="P79" s="422"/>
      <c r="Q79" s="422"/>
      <c r="R79" s="422"/>
      <c r="S79" s="422"/>
      <c r="T79" s="422"/>
      <c r="U79" s="422"/>
      <c r="V79" s="422"/>
      <c r="W79" s="422"/>
      <c r="X79" s="422"/>
    </row>
    <row r="80" customFormat="false" ht="12" hidden="false" customHeight="false" outlineLevel="0" collapsed="false"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2"/>
      <c r="P80" s="422"/>
      <c r="Q80" s="422"/>
      <c r="R80" s="422"/>
      <c r="S80" s="422"/>
      <c r="T80" s="422"/>
      <c r="U80" s="422"/>
      <c r="V80" s="422"/>
      <c r="W80" s="422"/>
      <c r="X80" s="4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8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15968"/>
    <pageSetUpPr fitToPage="false"/>
  </sheetPr>
  <dimension ref="A1:W8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4" topLeftCell="H53" activePane="bottomRight" state="frozen"/>
      <selection pane="topLeft" activeCell="A1" activeCellId="0" sqref="A1"/>
      <selection pane="topRight" activeCell="H1" activeCellId="0" sqref="H1"/>
      <selection pane="bottomLeft" activeCell="A53" activeCellId="0" sqref="A53"/>
      <selection pane="bottomRight" activeCell="J18" activeCellId="0" sqref="J1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823" width="47.7"/>
    <col collapsed="false" customWidth="true" hidden="false" outlineLevel="0" max="2" min="2" style="823" width="17.29"/>
    <col collapsed="false" customWidth="true" hidden="false" outlineLevel="0" max="3" min="3" style="823" width="17.13"/>
    <col collapsed="false" customWidth="true" hidden="false" outlineLevel="0" max="4" min="4" style="823" width="19.14"/>
    <col collapsed="false" customWidth="true" hidden="false" outlineLevel="0" max="5" min="5" style="823" width="14.15"/>
    <col collapsed="false" customWidth="true" hidden="false" outlineLevel="0" max="6" min="6" style="823" width="14.69"/>
    <col collapsed="false" customWidth="true" hidden="false" outlineLevel="0" max="7" min="7" style="823" width="13.7"/>
    <col collapsed="false" customWidth="true" hidden="false" outlineLevel="0" max="8" min="8" style="823" width="16.29"/>
    <col collapsed="false" customWidth="true" hidden="false" outlineLevel="0" max="9" min="9" style="823" width="14.86"/>
    <col collapsed="false" customWidth="true" hidden="false" outlineLevel="0" max="10" min="10" style="823" width="15.88"/>
    <col collapsed="false" customWidth="true" hidden="false" outlineLevel="0" max="11" min="11" style="823" width="14.86"/>
    <col collapsed="false" customWidth="true" hidden="false" outlineLevel="0" max="12" min="12" style="823" width="14.43"/>
    <col collapsed="false" customWidth="true" hidden="false" outlineLevel="0" max="13" min="13" style="823" width="15.88"/>
    <col collapsed="false" customWidth="true" hidden="false" outlineLevel="0" max="14" min="14" style="823" width="18"/>
    <col collapsed="false" customWidth="true" hidden="false" outlineLevel="0" max="15" min="15" style="823" width="8.29"/>
    <col collapsed="false" customWidth="true" hidden="false" outlineLevel="0" max="17" min="16" style="823" width="16.29"/>
    <col collapsed="false" customWidth="true" hidden="false" outlineLevel="0" max="18" min="18" style="823" width="17.4"/>
    <col collapsed="false" customWidth="true" hidden="false" outlineLevel="0" max="19" min="19" style="823" width="14.28"/>
    <col collapsed="false" customWidth="true" hidden="false" outlineLevel="0" max="20" min="20" style="823" width="14.43"/>
    <col collapsed="false" customWidth="false" hidden="false" outlineLevel="0" max="21" min="21" style="823" width="11.42"/>
    <col collapsed="false" customWidth="true" hidden="false" outlineLevel="0" max="22" min="22" style="823" width="14.01"/>
    <col collapsed="false" customWidth="true" hidden="false" outlineLevel="0" max="23" min="23" style="823" width="13.29"/>
    <col collapsed="false" customWidth="false" hidden="false" outlineLevel="0" max="1024" min="24" style="823" width="11.42"/>
  </cols>
  <sheetData>
    <row r="1" customFormat="false" ht="12.75" hidden="false" customHeight="false" outlineLevel="0" collapsed="false">
      <c r="A1" s="824" t="s">
        <v>0</v>
      </c>
      <c r="C1" s="825"/>
    </row>
    <row r="2" customFormat="false" ht="12.75" hidden="false" customHeight="false" outlineLevel="0" collapsed="false">
      <c r="A2" s="826" t="s">
        <v>1</v>
      </c>
      <c r="C2" s="827"/>
    </row>
    <row r="3" customFormat="false" ht="15" hidden="false" customHeight="true" outlineLevel="0" collapsed="false">
      <c r="A3" s="828"/>
      <c r="E3" s="825"/>
      <c r="P3" s="829" t="s">
        <v>2</v>
      </c>
      <c r="Q3" s="829"/>
    </row>
    <row r="4" customFormat="false" ht="38.25" hidden="false" customHeight="false" outlineLevel="0" collapsed="false">
      <c r="A4" s="830" t="s">
        <v>3</v>
      </c>
      <c r="B4" s="831" t="s">
        <v>849</v>
      </c>
      <c r="C4" s="831" t="s">
        <v>850</v>
      </c>
      <c r="D4" s="831" t="s">
        <v>851</v>
      </c>
      <c r="E4" s="831" t="s">
        <v>852</v>
      </c>
      <c r="F4" s="831" t="s">
        <v>853</v>
      </c>
      <c r="G4" s="831" t="s">
        <v>854</v>
      </c>
      <c r="H4" s="831" t="s">
        <v>855</v>
      </c>
      <c r="I4" s="831" t="s">
        <v>856</v>
      </c>
      <c r="J4" s="831" t="s">
        <v>857</v>
      </c>
      <c r="K4" s="831" t="s">
        <v>858</v>
      </c>
      <c r="L4" s="831" t="s">
        <v>859</v>
      </c>
      <c r="M4" s="831" t="s">
        <v>860</v>
      </c>
      <c r="N4" s="831" t="s">
        <v>259</v>
      </c>
      <c r="O4" s="831" t="s">
        <v>17</v>
      </c>
      <c r="P4" s="831" t="s">
        <v>18</v>
      </c>
      <c r="Q4" s="831" t="s">
        <v>19</v>
      </c>
      <c r="R4" s="831" t="s">
        <v>33</v>
      </c>
    </row>
    <row r="5" customFormat="false" ht="15.75" hidden="false" customHeight="true" outlineLevel="0" collapsed="false">
      <c r="A5" s="832" t="s">
        <v>35</v>
      </c>
      <c r="B5" s="334" t="n">
        <v>1607132</v>
      </c>
      <c r="C5" s="334" t="n">
        <v>42926</v>
      </c>
      <c r="D5" s="334" t="n">
        <v>6856</v>
      </c>
      <c r="E5" s="334" t="n">
        <v>2227</v>
      </c>
      <c r="F5" s="334" t="n">
        <v>3845</v>
      </c>
      <c r="G5" s="334" t="n">
        <v>0</v>
      </c>
      <c r="H5" s="334" t="n">
        <v>0</v>
      </c>
      <c r="I5" s="334" t="n">
        <v>10000</v>
      </c>
      <c r="J5" s="334" t="n">
        <v>0</v>
      </c>
      <c r="K5" s="334" t="n">
        <v>5631</v>
      </c>
      <c r="L5" s="334" t="n">
        <v>10301</v>
      </c>
      <c r="M5" s="334" t="n">
        <v>53644</v>
      </c>
      <c r="N5" s="833" t="n">
        <f aca="false">SUM(B5:M5)</f>
        <v>1742562</v>
      </c>
      <c r="O5" s="834"/>
      <c r="P5" s="334"/>
      <c r="Q5" s="334"/>
      <c r="R5" s="335" t="n">
        <f aca="false">N5+P5-Q5</f>
        <v>1742562</v>
      </c>
    </row>
    <row r="6" customFormat="false" ht="27.75" hidden="false" customHeight="true" outlineLevel="0" collapsed="false">
      <c r="A6" s="832" t="s">
        <v>36</v>
      </c>
      <c r="B6" s="334" t="n">
        <v>2644455</v>
      </c>
      <c r="C6" s="334" t="n">
        <v>0</v>
      </c>
      <c r="D6" s="334" t="n">
        <v>0</v>
      </c>
      <c r="E6" s="334" t="n">
        <v>0</v>
      </c>
      <c r="F6" s="334" t="n">
        <v>0</v>
      </c>
      <c r="G6" s="334" t="n">
        <v>0</v>
      </c>
      <c r="H6" s="334" t="n">
        <v>0</v>
      </c>
      <c r="I6" s="334" t="n">
        <v>0</v>
      </c>
      <c r="J6" s="334" t="n">
        <v>0</v>
      </c>
      <c r="K6" s="334" t="n">
        <v>0</v>
      </c>
      <c r="L6" s="334" t="n">
        <v>0</v>
      </c>
      <c r="M6" s="334" t="n">
        <v>0</v>
      </c>
      <c r="N6" s="833" t="n">
        <f aca="false">SUM(B6:M6)</f>
        <v>2644455</v>
      </c>
      <c r="O6" s="834"/>
      <c r="P6" s="334"/>
      <c r="Q6" s="334"/>
      <c r="R6" s="335" t="n">
        <f aca="false">N6+P6-Q6</f>
        <v>2644455</v>
      </c>
    </row>
    <row r="7" customFormat="false" ht="26.25" hidden="false" customHeight="true" outlineLevel="0" collapsed="false">
      <c r="A7" s="832" t="s">
        <v>37</v>
      </c>
      <c r="B7" s="334" t="n">
        <v>102620</v>
      </c>
      <c r="C7" s="334" t="n">
        <v>0</v>
      </c>
      <c r="D7" s="334" t="n">
        <v>0</v>
      </c>
      <c r="E7" s="334" t="n">
        <v>0</v>
      </c>
      <c r="F7" s="334" t="n">
        <v>0</v>
      </c>
      <c r="G7" s="334" t="n">
        <v>0</v>
      </c>
      <c r="H7" s="334" t="n">
        <v>0</v>
      </c>
      <c r="I7" s="334" t="n">
        <v>0</v>
      </c>
      <c r="J7" s="334" t="n">
        <v>0</v>
      </c>
      <c r="K7" s="334" t="n">
        <v>0</v>
      </c>
      <c r="L7" s="334" t="n">
        <v>0</v>
      </c>
      <c r="M7" s="334" t="n">
        <v>0</v>
      </c>
      <c r="N7" s="833" t="n">
        <f aca="false">SUM(B7:M7)</f>
        <v>102620</v>
      </c>
      <c r="O7" s="834"/>
      <c r="P7" s="334"/>
      <c r="Q7" s="334"/>
      <c r="R7" s="335" t="n">
        <f aca="false">N7+P7-Q7</f>
        <v>102620</v>
      </c>
    </row>
    <row r="8" customFormat="false" ht="15.75" hidden="false" customHeight="true" outlineLevel="0" collapsed="false">
      <c r="A8" s="832" t="s">
        <v>38</v>
      </c>
      <c r="B8" s="334" t="n">
        <v>10565005</v>
      </c>
      <c r="C8" s="334" t="n">
        <v>4461516</v>
      </c>
      <c r="D8" s="334" t="n">
        <v>273861</v>
      </c>
      <c r="E8" s="334" t="n">
        <v>0</v>
      </c>
      <c r="F8" s="334" t="n">
        <v>18892</v>
      </c>
      <c r="G8" s="334" t="n">
        <v>0</v>
      </c>
      <c r="H8" s="334" t="n">
        <v>0</v>
      </c>
      <c r="I8" s="334" t="n">
        <v>0</v>
      </c>
      <c r="J8" s="334" t="n">
        <v>0</v>
      </c>
      <c r="K8" s="334" t="n">
        <v>41672</v>
      </c>
      <c r="L8" s="334" t="n">
        <f aca="false">81977-46414</f>
        <v>35563</v>
      </c>
      <c r="M8" s="334" t="n">
        <v>166895</v>
      </c>
      <c r="N8" s="833" t="n">
        <f aca="false">SUM(B8:M8)</f>
        <v>15563404</v>
      </c>
      <c r="O8" s="834" t="s">
        <v>39</v>
      </c>
      <c r="P8" s="334"/>
      <c r="Q8" s="334" t="n">
        <f aca="false">+'Diarios Cxc Cxp relac (c)'!E36</f>
        <v>0</v>
      </c>
      <c r="R8" s="335" t="n">
        <f aca="false">N8+P8-Q8</f>
        <v>15563404</v>
      </c>
      <c r="T8" s="825"/>
    </row>
    <row r="9" customFormat="false" ht="12.75" hidden="false" customHeight="false" outlineLevel="0" collapsed="false">
      <c r="A9" s="832" t="s">
        <v>40</v>
      </c>
      <c r="B9" s="334" t="n">
        <v>32908556</v>
      </c>
      <c r="C9" s="334" t="n">
        <v>2044176</v>
      </c>
      <c r="D9" s="334" t="n">
        <v>717537</v>
      </c>
      <c r="E9" s="334" t="n">
        <v>990080</v>
      </c>
      <c r="F9" s="334" t="n">
        <v>0</v>
      </c>
      <c r="G9" s="334" t="n">
        <v>0</v>
      </c>
      <c r="H9" s="334" t="n">
        <v>0</v>
      </c>
      <c r="I9" s="334" t="n">
        <v>0</v>
      </c>
      <c r="J9" s="334" t="n">
        <v>0</v>
      </c>
      <c r="K9" s="334" t="n">
        <v>0</v>
      </c>
      <c r="L9" s="334" t="n">
        <v>0</v>
      </c>
      <c r="M9" s="334" t="n">
        <v>10000</v>
      </c>
      <c r="N9" s="833" t="n">
        <f aca="false">SUM(B9:M9)</f>
        <v>36670349</v>
      </c>
      <c r="O9" s="834" t="s">
        <v>39</v>
      </c>
      <c r="P9" s="334"/>
      <c r="Q9" s="334" t="n">
        <v>11595352</v>
      </c>
      <c r="R9" s="335" t="n">
        <f aca="false">N9+P9-Q9</f>
        <v>25074997</v>
      </c>
    </row>
    <row r="10" customFormat="false" ht="15.75" hidden="false" customHeight="true" outlineLevel="0" collapsed="false">
      <c r="A10" s="832" t="s">
        <v>42</v>
      </c>
      <c r="B10" s="334" t="n">
        <v>5481731</v>
      </c>
      <c r="C10" s="334" t="n">
        <v>4477</v>
      </c>
      <c r="D10" s="334" t="n">
        <v>0</v>
      </c>
      <c r="E10" s="334" t="n">
        <v>0</v>
      </c>
      <c r="F10" s="334"/>
      <c r="G10" s="334" t="n">
        <v>0</v>
      </c>
      <c r="H10" s="334" t="n">
        <v>0</v>
      </c>
      <c r="I10" s="334" t="n">
        <v>0</v>
      </c>
      <c r="J10" s="334" t="n">
        <v>0</v>
      </c>
      <c r="K10" s="334" t="n">
        <v>448</v>
      </c>
      <c r="L10" s="334" t="n">
        <f aca="false">35886+1569+4835</f>
        <v>42290</v>
      </c>
      <c r="M10" s="334" t="n">
        <v>9502</v>
      </c>
      <c r="N10" s="833" t="n">
        <f aca="false">SUM(B10:M10)</f>
        <v>5538448</v>
      </c>
      <c r="O10" s="834" t="s">
        <v>39</v>
      </c>
      <c r="P10" s="334"/>
      <c r="Q10" s="334" t="n">
        <f aca="false">'Diarios Cxc Cxp relac (c)'!E35</f>
        <v>0</v>
      </c>
      <c r="R10" s="335" t="n">
        <f aca="false">N10+P10-Q10</f>
        <v>5538448</v>
      </c>
    </row>
    <row r="11" customFormat="false" ht="15.75" hidden="false" customHeight="true" outlineLevel="0" collapsed="false">
      <c r="A11" s="832" t="s">
        <v>43</v>
      </c>
      <c r="B11" s="334" t="n">
        <v>480186</v>
      </c>
      <c r="C11" s="334" t="n">
        <v>0</v>
      </c>
      <c r="D11" s="334" t="n">
        <v>60656</v>
      </c>
      <c r="E11" s="334" t="n">
        <v>134914</v>
      </c>
      <c r="F11" s="334" t="n">
        <v>123577</v>
      </c>
      <c r="G11" s="334" t="n">
        <v>0</v>
      </c>
      <c r="H11" s="334" t="n">
        <v>7989</v>
      </c>
      <c r="I11" s="334" t="n">
        <v>0</v>
      </c>
      <c r="J11" s="334" t="n">
        <v>0</v>
      </c>
      <c r="K11" s="334" t="n">
        <v>242520</v>
      </c>
      <c r="L11" s="334" t="n">
        <v>74937</v>
      </c>
      <c r="M11" s="334" t="s">
        <v>44</v>
      </c>
      <c r="N11" s="833" t="n">
        <f aca="false">SUM(B11:M11)</f>
        <v>1124779</v>
      </c>
      <c r="O11" s="834"/>
      <c r="P11" s="334"/>
      <c r="Q11" s="334"/>
      <c r="R11" s="335" t="n">
        <f aca="false">N11+P11-Q11</f>
        <v>1124779</v>
      </c>
    </row>
    <row r="12" customFormat="false" ht="15.75" hidden="false" customHeight="true" outlineLevel="0" collapsed="false">
      <c r="A12" s="832" t="s">
        <v>45</v>
      </c>
      <c r="B12" s="334" t="n">
        <v>625964</v>
      </c>
      <c r="C12" s="334" t="n">
        <v>0</v>
      </c>
      <c r="D12" s="334" t="n">
        <v>152</v>
      </c>
      <c r="E12" s="334" t="n">
        <v>0</v>
      </c>
      <c r="F12" s="334" t="n">
        <v>0</v>
      </c>
      <c r="G12" s="334" t="n">
        <v>0</v>
      </c>
      <c r="H12" s="334" t="n">
        <v>0</v>
      </c>
      <c r="I12" s="334" t="n">
        <v>0</v>
      </c>
      <c r="J12" s="334" t="n">
        <v>0</v>
      </c>
      <c r="K12" s="334" t="n">
        <v>16068</v>
      </c>
      <c r="L12" s="334" t="n">
        <v>0</v>
      </c>
      <c r="M12" s="334" t="n">
        <v>0</v>
      </c>
      <c r="N12" s="833" t="n">
        <f aca="false">SUM(B12:M12)</f>
        <v>642184</v>
      </c>
      <c r="O12" s="834"/>
      <c r="P12" s="334"/>
      <c r="Q12" s="334"/>
      <c r="R12" s="335" t="n">
        <f aca="false">N12+P12-Q12</f>
        <v>642184</v>
      </c>
    </row>
    <row r="13" customFormat="false" ht="15.75" hidden="false" customHeight="true" outlineLevel="0" collapsed="false">
      <c r="A13" s="832" t="s">
        <v>46</v>
      </c>
      <c r="B13" s="334" t="n">
        <v>14883321</v>
      </c>
      <c r="C13" s="334" t="n">
        <v>0</v>
      </c>
      <c r="D13" s="334" t="n">
        <v>1706</v>
      </c>
      <c r="E13" s="334" t="n">
        <v>0</v>
      </c>
      <c r="F13" s="334" t="n">
        <v>0</v>
      </c>
      <c r="G13" s="334" t="n">
        <v>0</v>
      </c>
      <c r="H13" s="334" t="n">
        <v>0</v>
      </c>
      <c r="I13" s="334" t="n">
        <v>0</v>
      </c>
      <c r="J13" s="334" t="n">
        <v>0</v>
      </c>
      <c r="K13" s="334" t="n">
        <v>11306</v>
      </c>
      <c r="L13" s="334" t="n">
        <v>0</v>
      </c>
      <c r="M13" s="334" t="n">
        <v>0</v>
      </c>
      <c r="N13" s="833" t="n">
        <f aca="false">SUM(B13:M13)</f>
        <v>14896333</v>
      </c>
      <c r="O13" s="834"/>
      <c r="P13" s="334"/>
      <c r="Q13" s="334" t="n">
        <f aca="false">'Ventas-Compras (d)'!E30</f>
        <v>11306</v>
      </c>
      <c r="R13" s="335" t="n">
        <f aca="false">N13+P13-Q13</f>
        <v>14885027</v>
      </c>
    </row>
    <row r="14" customFormat="false" ht="15.75" hidden="false" customHeight="true" outlineLevel="0" collapsed="false">
      <c r="A14" s="832" t="s">
        <v>48</v>
      </c>
      <c r="B14" s="334" t="n">
        <v>40694</v>
      </c>
      <c r="C14" s="334" t="n">
        <v>0</v>
      </c>
      <c r="D14" s="334" t="n">
        <v>0</v>
      </c>
      <c r="E14" s="334" t="n">
        <v>0</v>
      </c>
      <c r="F14" s="334" t="n">
        <v>0</v>
      </c>
      <c r="G14" s="334" t="n">
        <v>0</v>
      </c>
      <c r="H14" s="334" t="n">
        <v>0</v>
      </c>
      <c r="I14" s="334" t="n">
        <v>0</v>
      </c>
      <c r="J14" s="334" t="n">
        <v>0</v>
      </c>
      <c r="K14" s="334" t="n">
        <v>0</v>
      </c>
      <c r="L14" s="334" t="n">
        <v>0</v>
      </c>
      <c r="M14" s="334" t="n">
        <v>0</v>
      </c>
      <c r="N14" s="833" t="n">
        <f aca="false">SUM(B14:M14)</f>
        <v>40694</v>
      </c>
      <c r="O14" s="834" t="s">
        <v>39</v>
      </c>
      <c r="P14" s="334" t="n">
        <v>3150764</v>
      </c>
      <c r="Q14" s="334" t="n">
        <f aca="false">'Diarios Cxc Cxp relac (c)'!E34</f>
        <v>40694</v>
      </c>
      <c r="R14" s="835" t="n">
        <f aca="false">N14+P14-Q14</f>
        <v>3150764</v>
      </c>
    </row>
    <row r="15" customFormat="false" ht="15.75" hidden="false" customHeight="true" outlineLevel="0" collapsed="false">
      <c r="A15" s="832" t="s">
        <v>49</v>
      </c>
      <c r="B15" s="334" t="n">
        <v>3212434</v>
      </c>
      <c r="C15" s="334" t="n">
        <v>0</v>
      </c>
      <c r="D15" s="334" t="n">
        <v>0</v>
      </c>
      <c r="E15" s="334" t="n">
        <v>0</v>
      </c>
      <c r="F15" s="334" t="n">
        <v>0</v>
      </c>
      <c r="G15" s="334" t="n">
        <v>0</v>
      </c>
      <c r="H15" s="334" t="n">
        <v>0</v>
      </c>
      <c r="I15" s="334" t="n">
        <v>0</v>
      </c>
      <c r="J15" s="334" t="n">
        <v>0</v>
      </c>
      <c r="K15" s="334" t="n">
        <v>0</v>
      </c>
      <c r="L15" s="334" t="n">
        <v>0</v>
      </c>
      <c r="M15" s="334" t="n">
        <v>0</v>
      </c>
      <c r="N15" s="833" t="n">
        <f aca="false">SUM(B15:M15)</f>
        <v>3212434</v>
      </c>
      <c r="O15" s="834"/>
      <c r="P15" s="334"/>
      <c r="Q15" s="334"/>
      <c r="R15" s="335" t="n">
        <f aca="false">N15+P15-Q15</f>
        <v>3212434</v>
      </c>
      <c r="V15" s="825" t="n">
        <f aca="false">B15-R15</f>
        <v>0</v>
      </c>
    </row>
    <row r="16" customFormat="false" ht="14.25" hidden="false" customHeight="true" outlineLevel="0" collapsed="false">
      <c r="A16" s="832" t="s">
        <v>50</v>
      </c>
      <c r="B16" s="334" t="n">
        <v>66573020</v>
      </c>
      <c r="C16" s="334" t="n">
        <v>44671913</v>
      </c>
      <c r="D16" s="334" t="n">
        <v>3233810</v>
      </c>
      <c r="E16" s="334" t="n">
        <v>33545</v>
      </c>
      <c r="F16" s="334" t="n">
        <v>218631</v>
      </c>
      <c r="G16" s="334" t="n">
        <v>373713</v>
      </c>
      <c r="H16" s="334" t="n">
        <v>0</v>
      </c>
      <c r="I16" s="334" t="n">
        <v>0</v>
      </c>
      <c r="J16" s="334" t="n">
        <v>1140</v>
      </c>
      <c r="K16" s="334" t="n">
        <v>1718909</v>
      </c>
      <c r="L16" s="334" t="n">
        <v>367967</v>
      </c>
      <c r="M16" s="334" t="n">
        <v>204656</v>
      </c>
      <c r="N16" s="833" t="n">
        <f aca="false">SUM(B16:M16)</f>
        <v>117397304</v>
      </c>
      <c r="O16" s="834" t="s">
        <v>52</v>
      </c>
      <c r="P16" s="334" t="n">
        <f aca="false">'Diario 2015 (a)'!C10</f>
        <v>881973.000000006</v>
      </c>
      <c r="Q16" s="334" t="n">
        <v>5392876</v>
      </c>
      <c r="R16" s="335" t="n">
        <f aca="false">N16+P16-Q16</f>
        <v>112886401</v>
      </c>
      <c r="S16" s="825"/>
    </row>
    <row r="17" customFormat="false" ht="15.75" hidden="false" customHeight="true" outlineLevel="0" collapsed="false">
      <c r="A17" s="832" t="s">
        <v>53</v>
      </c>
      <c r="B17" s="334" t="n">
        <v>661755</v>
      </c>
      <c r="C17" s="334" t="n">
        <v>0</v>
      </c>
      <c r="D17" s="334" t="n">
        <v>0</v>
      </c>
      <c r="E17" s="334" t="n">
        <v>0</v>
      </c>
      <c r="F17" s="334" t="n">
        <v>0</v>
      </c>
      <c r="G17" s="334" t="n">
        <v>0</v>
      </c>
      <c r="H17" s="334" t="n">
        <v>0</v>
      </c>
      <c r="I17" s="334" t="n">
        <v>0</v>
      </c>
      <c r="J17" s="334" t="n">
        <v>0</v>
      </c>
      <c r="K17" s="334" t="n">
        <v>0</v>
      </c>
      <c r="L17" s="334"/>
      <c r="M17" s="334" t="n">
        <v>0</v>
      </c>
      <c r="N17" s="833" t="n">
        <f aca="false">SUM(B17:M17)</f>
        <v>661755</v>
      </c>
      <c r="O17" s="834"/>
      <c r="P17" s="334"/>
      <c r="Q17" s="334"/>
      <c r="R17" s="335" t="n">
        <f aca="false">N17+P17-Q17</f>
        <v>661755</v>
      </c>
    </row>
    <row r="18" customFormat="false" ht="15.75" hidden="false" customHeight="true" outlineLevel="0" collapsed="false">
      <c r="A18" s="832" t="s">
        <v>54</v>
      </c>
      <c r="B18" s="334" t="n">
        <v>11586243</v>
      </c>
      <c r="C18" s="836" t="n">
        <v>0</v>
      </c>
      <c r="D18" s="334" t="n">
        <v>0</v>
      </c>
      <c r="E18" s="334" t="n">
        <v>0</v>
      </c>
      <c r="F18" s="334" t="n">
        <v>0</v>
      </c>
      <c r="G18" s="334" t="n">
        <v>0</v>
      </c>
      <c r="H18" s="334" t="n">
        <v>0</v>
      </c>
      <c r="I18" s="334" t="n">
        <v>0</v>
      </c>
      <c r="J18" s="334" t="n">
        <v>0</v>
      </c>
      <c r="K18" s="334" t="n">
        <v>0</v>
      </c>
      <c r="L18" s="334" t="n">
        <v>117971</v>
      </c>
      <c r="M18" s="334" t="n">
        <v>0</v>
      </c>
      <c r="N18" s="833" t="n">
        <f aca="false">SUM(B18:M18)</f>
        <v>11704214</v>
      </c>
      <c r="O18" s="834" t="s">
        <v>51</v>
      </c>
      <c r="P18" s="334" t="n">
        <v>394335</v>
      </c>
      <c r="Q18" s="334" t="n">
        <v>822437</v>
      </c>
      <c r="R18" s="335" t="n">
        <f aca="false">N18+P18-Q18</f>
        <v>11276112</v>
      </c>
      <c r="T18" s="825"/>
    </row>
    <row r="19" customFormat="false" ht="12.75" hidden="false" customHeight="false" outlineLevel="0" collapsed="false">
      <c r="A19" s="832" t="s">
        <v>56</v>
      </c>
      <c r="B19" s="334" t="n">
        <v>1422229</v>
      </c>
      <c r="C19" s="334" t="n">
        <v>0</v>
      </c>
      <c r="D19" s="334" t="n">
        <v>0</v>
      </c>
      <c r="E19" s="334" t="n">
        <v>0</v>
      </c>
      <c r="F19" s="334" t="n">
        <v>0</v>
      </c>
      <c r="G19" s="334" t="n">
        <v>0</v>
      </c>
      <c r="H19" s="334" t="n">
        <v>0</v>
      </c>
      <c r="I19" s="334" t="n">
        <v>0</v>
      </c>
      <c r="J19" s="334" t="n">
        <v>0</v>
      </c>
      <c r="K19" s="334" t="n">
        <v>0</v>
      </c>
      <c r="L19" s="334" t="n">
        <v>0</v>
      </c>
      <c r="M19" s="334" t="n">
        <v>0</v>
      </c>
      <c r="N19" s="833" t="n">
        <f aca="false">SUM(B19:M19)</f>
        <v>1422229</v>
      </c>
      <c r="O19" s="834"/>
      <c r="P19" s="334"/>
      <c r="Q19" s="334"/>
      <c r="R19" s="335" t="n">
        <f aca="false">N19+P19-Q19</f>
        <v>1422229</v>
      </c>
    </row>
    <row r="20" customFormat="false" ht="12.75" hidden="false" customHeight="false" outlineLevel="0" collapsed="false">
      <c r="A20" s="832" t="s">
        <v>57</v>
      </c>
      <c r="B20" s="334" t="n">
        <v>44513438</v>
      </c>
      <c r="C20" s="334" t="n">
        <v>100</v>
      </c>
      <c r="D20" s="334" t="n">
        <v>0</v>
      </c>
      <c r="E20" s="334" t="n">
        <v>0</v>
      </c>
      <c r="F20" s="334" t="n">
        <v>0</v>
      </c>
      <c r="G20" s="334" t="n">
        <v>0</v>
      </c>
      <c r="H20" s="334" t="n">
        <v>0</v>
      </c>
      <c r="I20" s="334" t="n">
        <v>0</v>
      </c>
      <c r="J20" s="334" t="n">
        <v>0</v>
      </c>
      <c r="K20" s="334" t="n">
        <v>0</v>
      </c>
      <c r="L20" s="334" t="n">
        <v>0</v>
      </c>
      <c r="M20" s="334" t="n">
        <v>0</v>
      </c>
      <c r="N20" s="833" t="n">
        <f aca="false">SUM(B20:M20)</f>
        <v>44513538</v>
      </c>
      <c r="O20" s="834" t="s">
        <v>59</v>
      </c>
      <c r="P20" s="334" t="n">
        <f aca="false">1231351+42502+8000</f>
        <v>1281853</v>
      </c>
      <c r="Q20" s="334" t="n">
        <f aca="false">-(-1982263-800-943459-147840-462500-140052-1834157-31550577-6000-644000-10000-1113036-340-266632-224942-1)+3150764</f>
        <v>42477363</v>
      </c>
      <c r="R20" s="335" t="n">
        <f aca="false">N20+P20-Q20</f>
        <v>3318028</v>
      </c>
    </row>
    <row r="21" customFormat="false" ht="12.75" hidden="false" customHeight="false" outlineLevel="0" collapsed="false">
      <c r="A21" s="832" t="s">
        <v>60</v>
      </c>
      <c r="B21" s="837" t="n">
        <v>0</v>
      </c>
      <c r="C21" s="837" t="n">
        <v>883849</v>
      </c>
      <c r="D21" s="334" t="n">
        <v>0</v>
      </c>
      <c r="E21" s="334" t="n">
        <v>0</v>
      </c>
      <c r="F21" s="334" t="n">
        <v>0</v>
      </c>
      <c r="G21" s="334" t="n">
        <v>0</v>
      </c>
      <c r="H21" s="334" t="n">
        <v>0</v>
      </c>
      <c r="I21" s="334" t="n">
        <v>0</v>
      </c>
      <c r="J21" s="334" t="n">
        <v>0</v>
      </c>
      <c r="L21" s="334" t="n">
        <v>0</v>
      </c>
      <c r="M21" s="334" t="n">
        <v>0</v>
      </c>
      <c r="N21" s="833" t="n">
        <f aca="false">SUM(B21:M21)</f>
        <v>883849</v>
      </c>
      <c r="O21" s="834"/>
      <c r="P21" s="334"/>
      <c r="Q21" s="334"/>
      <c r="R21" s="335" t="n">
        <f aca="false">N21+P21-Q21</f>
        <v>883849</v>
      </c>
    </row>
    <row r="22" customFormat="false" ht="12.75" hidden="false" customHeight="false" outlineLevel="0" collapsed="false">
      <c r="A22" s="832" t="s">
        <v>61</v>
      </c>
      <c r="B22" s="837" t="n">
        <v>105894</v>
      </c>
      <c r="C22" s="334" t="n">
        <v>0</v>
      </c>
      <c r="D22" s="334" t="n">
        <v>373443</v>
      </c>
      <c r="E22" s="334" t="n">
        <v>0</v>
      </c>
      <c r="F22" s="334" t="n">
        <v>0</v>
      </c>
      <c r="G22" s="334" t="n">
        <v>0</v>
      </c>
      <c r="H22" s="334" t="n">
        <v>0</v>
      </c>
      <c r="I22" s="334" t="n">
        <v>0</v>
      </c>
      <c r="J22" s="334" t="n">
        <v>0</v>
      </c>
      <c r="K22" s="334" t="n">
        <v>2963501</v>
      </c>
      <c r="L22" s="334" t="n">
        <v>0</v>
      </c>
      <c r="M22" s="334" t="n">
        <v>0</v>
      </c>
      <c r="N22" s="833" t="n">
        <f aca="false">SUM(B22:M22)</f>
        <v>3442838</v>
      </c>
      <c r="O22" s="834"/>
      <c r="P22" s="334"/>
      <c r="Q22" s="334"/>
      <c r="R22" s="335" t="n">
        <f aca="false">N22+P22-Q22</f>
        <v>3442838</v>
      </c>
    </row>
    <row r="23" customFormat="false" ht="12.75" hidden="false" customHeight="false" outlineLevel="0" collapsed="false">
      <c r="A23" s="838" t="s">
        <v>63</v>
      </c>
      <c r="B23" s="839" t="n">
        <f aca="false">SUM(B5:B22)</f>
        <v>197414677</v>
      </c>
      <c r="C23" s="839" t="n">
        <f aca="false">SUM(C5:C22)</f>
        <v>52108957</v>
      </c>
      <c r="D23" s="839" t="n">
        <f aca="false">SUM(D5:D22)</f>
        <v>4668021</v>
      </c>
      <c r="E23" s="839" t="n">
        <f aca="false">SUM(E5:E22)</f>
        <v>1160766</v>
      </c>
      <c r="F23" s="839" t="n">
        <f aca="false">SUM(F5:F22)</f>
        <v>364945</v>
      </c>
      <c r="G23" s="839" t="n">
        <f aca="false">SUM(G5:G22)</f>
        <v>373713</v>
      </c>
      <c r="H23" s="839" t="n">
        <f aca="false">SUM(H5:H22)</f>
        <v>7989</v>
      </c>
      <c r="I23" s="839" t="n">
        <f aca="false">SUM(I5:I22)</f>
        <v>10000</v>
      </c>
      <c r="J23" s="839" t="n">
        <f aca="false">SUM(J5:J22)</f>
        <v>1140</v>
      </c>
      <c r="K23" s="839" t="n">
        <f aca="false">SUM(K5:K22)</f>
        <v>5000055</v>
      </c>
      <c r="L23" s="839" t="n">
        <f aca="false">SUM(L5:L22)</f>
        <v>649029</v>
      </c>
      <c r="M23" s="839" t="n">
        <f aca="false">SUM(M5:M22)</f>
        <v>444697</v>
      </c>
      <c r="N23" s="839" t="n">
        <f aca="false">SUM(N5:N22)</f>
        <v>262203989</v>
      </c>
      <c r="O23" s="840"/>
      <c r="P23" s="839" t="n">
        <f aca="false">+SUM(P5:P22)</f>
        <v>5708925.00000001</v>
      </c>
      <c r="Q23" s="839" t="n">
        <f aca="false">+SUM(Q5:Q22)</f>
        <v>60340028</v>
      </c>
      <c r="R23" s="839" t="n">
        <f aca="false">SUM(R5:R22)</f>
        <v>207572886</v>
      </c>
    </row>
    <row r="24" customFormat="false" ht="12.75" hidden="false" customHeight="false" outlineLevel="0" collapsed="false">
      <c r="A24" s="832" t="s">
        <v>64</v>
      </c>
      <c r="B24" s="334" t="n">
        <v>260402</v>
      </c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841"/>
      <c r="N24" s="833" t="n">
        <f aca="false">SUM(B24:M24)</f>
        <v>260402</v>
      </c>
      <c r="O24" s="834"/>
      <c r="P24" s="841" t="n">
        <v>0</v>
      </c>
      <c r="Q24" s="841" t="n">
        <v>0</v>
      </c>
      <c r="R24" s="842" t="n">
        <f aca="false">N24-P24+Q24</f>
        <v>260402</v>
      </c>
    </row>
    <row r="25" customFormat="false" ht="12.75" hidden="false" customHeight="false" outlineLevel="0" collapsed="false">
      <c r="A25" s="832" t="s">
        <v>65</v>
      </c>
      <c r="B25" s="334" t="n">
        <v>13413675</v>
      </c>
      <c r="C25" s="334" t="n">
        <v>0</v>
      </c>
      <c r="D25" s="334" t="n">
        <v>0</v>
      </c>
      <c r="E25" s="334" t="n">
        <v>0</v>
      </c>
      <c r="F25" s="334" t="n">
        <v>0</v>
      </c>
      <c r="G25" s="334" t="n">
        <v>0</v>
      </c>
      <c r="H25" s="334" t="n">
        <v>0</v>
      </c>
      <c r="I25" s="334" t="n">
        <v>0</v>
      </c>
      <c r="J25" s="334" t="n">
        <v>0</v>
      </c>
      <c r="K25" s="334" t="n">
        <v>0</v>
      </c>
      <c r="L25" s="334" t="n">
        <v>0</v>
      </c>
      <c r="M25" s="334" t="n">
        <v>0</v>
      </c>
      <c r="N25" s="833" t="n">
        <f aca="false">SUM(B25:M25)</f>
        <v>13413675</v>
      </c>
      <c r="O25" s="834"/>
      <c r="P25" s="334"/>
      <c r="Q25" s="334"/>
      <c r="R25" s="842" t="n">
        <f aca="false">N25-P25+Q25</f>
        <v>13413675</v>
      </c>
    </row>
    <row r="26" customFormat="false" ht="12.75" hidden="false" customHeight="false" outlineLevel="0" collapsed="false">
      <c r="A26" s="832" t="s">
        <v>66</v>
      </c>
      <c r="B26" s="334" t="n">
        <v>11459310</v>
      </c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833" t="n">
        <f aca="false">SUM(B26:M26)</f>
        <v>11459310</v>
      </c>
      <c r="O26" s="834"/>
      <c r="P26" s="334"/>
      <c r="Q26" s="334"/>
      <c r="R26" s="842" t="n">
        <f aca="false">N26-P26+Q26</f>
        <v>11459310</v>
      </c>
    </row>
    <row r="27" customFormat="false" ht="15.75" hidden="false" customHeight="true" outlineLevel="0" collapsed="false">
      <c r="A27" s="832" t="s">
        <v>67</v>
      </c>
      <c r="B27" s="334" t="n">
        <v>18438625</v>
      </c>
      <c r="C27" s="334" t="n">
        <v>2041083</v>
      </c>
      <c r="D27" s="334" t="n">
        <v>42437</v>
      </c>
      <c r="E27" s="334" t="n">
        <v>0</v>
      </c>
      <c r="F27" s="334"/>
      <c r="G27" s="334" t="n">
        <v>0</v>
      </c>
      <c r="H27" s="334" t="n">
        <v>0</v>
      </c>
      <c r="I27" s="334" t="n">
        <v>0</v>
      </c>
      <c r="J27" s="334" t="n">
        <v>0</v>
      </c>
      <c r="K27" s="334" t="n">
        <v>24357</v>
      </c>
      <c r="L27" s="334" t="n">
        <v>10173</v>
      </c>
      <c r="M27" s="334" t="n">
        <v>55288</v>
      </c>
      <c r="N27" s="833" t="n">
        <f aca="false">SUM(B27:M27)</f>
        <v>20611963</v>
      </c>
      <c r="O27" s="834" t="s">
        <v>39</v>
      </c>
      <c r="P27" s="334" t="n">
        <v>175918</v>
      </c>
      <c r="Q27" s="334"/>
      <c r="R27" s="842" t="n">
        <f aca="false">N27-P27+Q27</f>
        <v>20436045</v>
      </c>
    </row>
    <row r="28" customFormat="false" ht="15.75" hidden="false" customHeight="true" outlineLevel="0" collapsed="false">
      <c r="A28" s="832" t="s">
        <v>68</v>
      </c>
      <c r="B28" s="334" t="n">
        <v>1314903</v>
      </c>
      <c r="C28" s="334" t="n">
        <f aca="false">4733+865104+5397853+278023</f>
        <v>6545713</v>
      </c>
      <c r="D28" s="334" t="n">
        <v>0</v>
      </c>
      <c r="E28" s="334" t="n">
        <v>180603</v>
      </c>
      <c r="F28" s="334" t="n">
        <v>1296079</v>
      </c>
      <c r="G28" s="334" t="n">
        <v>0</v>
      </c>
      <c r="H28" s="334" t="n">
        <v>0</v>
      </c>
      <c r="I28" s="334" t="n">
        <v>0</v>
      </c>
      <c r="J28" s="334" t="n">
        <v>0</v>
      </c>
      <c r="K28" s="334" t="n">
        <v>0</v>
      </c>
      <c r="L28" s="334" t="n">
        <v>125748</v>
      </c>
      <c r="M28" s="334" t="n">
        <v>901340</v>
      </c>
      <c r="N28" s="833" t="n">
        <f aca="false">SUM(B28:M28)</f>
        <v>10364386</v>
      </c>
      <c r="O28" s="834" t="s">
        <v>69</v>
      </c>
      <c r="P28" s="334" t="n">
        <f aca="false">8450783-26</f>
        <v>8450757</v>
      </c>
      <c r="Q28" s="334"/>
      <c r="R28" s="842" t="n">
        <f aca="false">N28-P28+Q28</f>
        <v>1913629</v>
      </c>
    </row>
    <row r="29" customFormat="false" ht="15.75" hidden="false" customHeight="true" outlineLevel="0" collapsed="false">
      <c r="A29" s="832" t="s">
        <v>71</v>
      </c>
      <c r="B29" s="334" t="n">
        <v>4228478</v>
      </c>
      <c r="C29" s="334" t="n">
        <v>0</v>
      </c>
      <c r="D29" s="334" t="n">
        <v>39874</v>
      </c>
      <c r="E29" s="334" t="n">
        <v>0</v>
      </c>
      <c r="F29" s="334" t="n">
        <v>0</v>
      </c>
      <c r="G29" s="334" t="n">
        <v>0</v>
      </c>
      <c r="H29" s="334" t="n">
        <v>0</v>
      </c>
      <c r="I29" s="334" t="n">
        <v>0</v>
      </c>
      <c r="J29" s="334" t="n">
        <v>0</v>
      </c>
      <c r="K29" s="334" t="n">
        <v>0</v>
      </c>
      <c r="L29" s="334" t="n">
        <v>6555</v>
      </c>
      <c r="M29" s="334" t="n">
        <v>0</v>
      </c>
      <c r="N29" s="833" t="n">
        <f aca="false">SUM(B29:M29)</f>
        <v>4274907</v>
      </c>
      <c r="O29" s="834"/>
      <c r="P29" s="334"/>
      <c r="Q29" s="334"/>
      <c r="R29" s="842" t="n">
        <f aca="false">N29-P29+Q29</f>
        <v>4274907</v>
      </c>
    </row>
    <row r="30" customFormat="false" ht="15.75" hidden="false" customHeight="true" outlineLevel="0" collapsed="false">
      <c r="A30" s="832" t="s">
        <v>72</v>
      </c>
      <c r="B30" s="334" t="n">
        <v>4870701</v>
      </c>
      <c r="C30" s="334" t="n">
        <v>0</v>
      </c>
      <c r="D30" s="334" t="n">
        <v>19615</v>
      </c>
      <c r="E30" s="334" t="n">
        <v>0</v>
      </c>
      <c r="F30" s="334" t="n">
        <v>0</v>
      </c>
      <c r="G30" s="334" t="n">
        <v>0</v>
      </c>
      <c r="H30" s="334" t="n">
        <v>0</v>
      </c>
      <c r="I30" s="334" t="n">
        <v>0</v>
      </c>
      <c r="J30" s="334" t="n">
        <v>0</v>
      </c>
      <c r="K30" s="334" t="n">
        <v>551</v>
      </c>
      <c r="L30" s="334" t="n">
        <f aca="false">26629+15462+477</f>
        <v>42568</v>
      </c>
      <c r="M30" s="334" t="n">
        <v>22519</v>
      </c>
      <c r="N30" s="833" t="n">
        <f aca="false">SUM(B30:M30)</f>
        <v>4955954</v>
      </c>
      <c r="O30" s="834" t="s">
        <v>73</v>
      </c>
      <c r="P30" s="334" t="n">
        <f aca="false">1380360+25</f>
        <v>1380385</v>
      </c>
      <c r="Q30" s="334" t="e">
        <f aca="false">+#REF!</f>
        <v>#REF!</v>
      </c>
      <c r="R30" s="842" t="e">
        <f aca="false">N30-P30+Q30</f>
        <v>#REF!</v>
      </c>
    </row>
    <row r="31" customFormat="false" ht="15.75" hidden="false" customHeight="true" outlineLevel="0" collapsed="false">
      <c r="A31" s="832" t="s">
        <v>74</v>
      </c>
      <c r="B31" s="334" t="n">
        <v>1953502</v>
      </c>
      <c r="C31" s="334" t="n">
        <f aca="false">6540980-865104-5397853-278023</f>
        <v>0</v>
      </c>
      <c r="D31" s="334" t="n">
        <v>0</v>
      </c>
      <c r="E31" s="334" t="n">
        <v>0</v>
      </c>
      <c r="F31" s="334" t="n">
        <v>0</v>
      </c>
      <c r="G31" s="334" t="n">
        <v>0</v>
      </c>
      <c r="H31" s="334" t="n">
        <v>0</v>
      </c>
      <c r="I31" s="334" t="n">
        <v>0</v>
      </c>
      <c r="J31" s="334" t="n">
        <v>0</v>
      </c>
      <c r="K31" s="334" t="n">
        <v>0</v>
      </c>
      <c r="L31" s="334" t="n">
        <v>0</v>
      </c>
      <c r="M31" s="334" t="n">
        <v>0</v>
      </c>
      <c r="N31" s="833" t="n">
        <f aca="false">SUM(B31:M31)</f>
        <v>1953502</v>
      </c>
      <c r="O31" s="834"/>
      <c r="P31" s="334"/>
      <c r="Q31" s="334"/>
      <c r="R31" s="842" t="n">
        <f aca="false">N31-P31+Q31</f>
        <v>1953502</v>
      </c>
    </row>
    <row r="32" customFormat="false" ht="15.75" hidden="false" customHeight="true" outlineLevel="0" collapsed="false">
      <c r="A32" s="832" t="s">
        <v>75</v>
      </c>
      <c r="B32" s="334" t="n">
        <v>4524107</v>
      </c>
      <c r="C32" s="334" t="n">
        <v>0</v>
      </c>
      <c r="D32" s="334" t="n">
        <v>14447</v>
      </c>
      <c r="E32" s="334" t="n">
        <v>0</v>
      </c>
      <c r="F32" s="334" t="n">
        <v>0</v>
      </c>
      <c r="G32" s="334" t="n">
        <v>0</v>
      </c>
      <c r="H32" s="334" t="n">
        <v>0</v>
      </c>
      <c r="I32" s="334" t="n">
        <v>0</v>
      </c>
      <c r="J32" s="334" t="n">
        <v>0</v>
      </c>
      <c r="K32" s="334" t="n">
        <v>6596</v>
      </c>
      <c r="L32" s="334" t="n">
        <f aca="false">11535+2782</f>
        <v>14317</v>
      </c>
      <c r="M32" s="334" t="n">
        <v>0</v>
      </c>
      <c r="N32" s="833" t="n">
        <f aca="false">SUM(B32:M32)</f>
        <v>4559467</v>
      </c>
      <c r="O32" s="834"/>
      <c r="P32" s="334"/>
      <c r="Q32" s="334"/>
      <c r="R32" s="842" t="n">
        <f aca="false">N32-P32+Q32</f>
        <v>4559467</v>
      </c>
    </row>
    <row r="33" customFormat="false" ht="15.75" hidden="false" customHeight="true" outlineLevel="0" collapsed="false">
      <c r="A33" s="832" t="s">
        <v>76</v>
      </c>
      <c r="B33" s="837" t="n">
        <v>4183053</v>
      </c>
      <c r="C33" s="334" t="n">
        <v>0</v>
      </c>
      <c r="D33" s="334" t="n">
        <v>0</v>
      </c>
      <c r="E33" s="334" t="n">
        <v>0</v>
      </c>
      <c r="F33" s="334" t="n">
        <v>0</v>
      </c>
      <c r="G33" s="334" t="n">
        <v>0</v>
      </c>
      <c r="H33" s="334" t="n">
        <v>0</v>
      </c>
      <c r="I33" s="334" t="n">
        <v>0</v>
      </c>
      <c r="J33" s="334" t="n">
        <v>0</v>
      </c>
      <c r="K33" s="334" t="n">
        <v>0</v>
      </c>
      <c r="L33" s="334" t="n">
        <v>0</v>
      </c>
      <c r="M33" s="334" t="n">
        <v>0</v>
      </c>
      <c r="N33" s="833" t="n">
        <f aca="false">SUM(B33:M33)</f>
        <v>4183053</v>
      </c>
      <c r="O33" s="834"/>
      <c r="P33" s="334"/>
      <c r="Q33" s="334"/>
      <c r="R33" s="842" t="n">
        <f aca="false">N33-P33+Q33</f>
        <v>4183053</v>
      </c>
    </row>
    <row r="34" customFormat="false" ht="15.75" hidden="false" customHeight="true" outlineLevel="0" collapsed="false">
      <c r="A34" s="832" t="s">
        <v>77</v>
      </c>
      <c r="B34" s="837" t="n">
        <v>9674932</v>
      </c>
      <c r="C34" s="334" t="n">
        <v>0</v>
      </c>
      <c r="D34" s="334" t="n">
        <v>0</v>
      </c>
      <c r="E34" s="334" t="n">
        <v>0</v>
      </c>
      <c r="F34" s="334" t="n">
        <v>0</v>
      </c>
      <c r="G34" s="334" t="n">
        <v>0</v>
      </c>
      <c r="H34" s="334" t="n">
        <v>0</v>
      </c>
      <c r="I34" s="334" t="n">
        <v>0</v>
      </c>
      <c r="J34" s="334" t="n">
        <v>0</v>
      </c>
      <c r="K34" s="334" t="n">
        <v>0</v>
      </c>
      <c r="L34" s="334" t="n">
        <v>0</v>
      </c>
      <c r="M34" s="334" t="n">
        <v>0</v>
      </c>
      <c r="N34" s="833" t="n">
        <f aca="false">SUM(B34:M34)</f>
        <v>9674932</v>
      </c>
      <c r="O34" s="834"/>
      <c r="P34" s="334"/>
      <c r="Q34" s="334"/>
      <c r="R34" s="842" t="n">
        <f aca="false">N34-P34+Q34</f>
        <v>9674932</v>
      </c>
    </row>
    <row r="35" customFormat="false" ht="15.75" hidden="false" customHeight="true" outlineLevel="0" collapsed="false">
      <c r="A35" s="832" t="s">
        <v>78</v>
      </c>
      <c r="B35" s="837" t="n">
        <v>6710516</v>
      </c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833" t="n">
        <f aca="false">SUM(B35:M35)</f>
        <v>6710516</v>
      </c>
      <c r="O35" s="834"/>
      <c r="P35" s="334"/>
      <c r="Q35" s="334"/>
      <c r="R35" s="842" t="n">
        <f aca="false">N35-P35+Q35</f>
        <v>6710516</v>
      </c>
    </row>
    <row r="36" customFormat="false" ht="15.75" hidden="false" customHeight="true" outlineLevel="0" collapsed="false">
      <c r="A36" s="832" t="s">
        <v>79</v>
      </c>
      <c r="B36" s="837" t="n">
        <v>2203673</v>
      </c>
      <c r="C36" s="334" t="n">
        <v>0</v>
      </c>
      <c r="D36" s="334" t="n">
        <v>0</v>
      </c>
      <c r="E36" s="334" t="n">
        <v>0</v>
      </c>
      <c r="F36" s="334" t="n">
        <v>0</v>
      </c>
      <c r="G36" s="334" t="n">
        <v>0</v>
      </c>
      <c r="H36" s="334" t="n">
        <v>0</v>
      </c>
      <c r="I36" s="334" t="n">
        <v>0</v>
      </c>
      <c r="J36" s="334" t="n">
        <v>0</v>
      </c>
      <c r="K36" s="334" t="n">
        <v>0</v>
      </c>
      <c r="L36" s="334" t="n">
        <v>0</v>
      </c>
      <c r="M36" s="334" t="n">
        <v>0</v>
      </c>
      <c r="N36" s="833" t="n">
        <f aca="false">SUM(B36:M36)</f>
        <v>2203673</v>
      </c>
      <c r="O36" s="834"/>
      <c r="P36" s="334"/>
      <c r="Q36" s="334"/>
      <c r="R36" s="842" t="n">
        <f aca="false">N36-P36+Q36</f>
        <v>2203673</v>
      </c>
    </row>
    <row r="37" customFormat="false" ht="15.75" hidden="false" customHeight="true" outlineLevel="0" collapsed="false">
      <c r="A37" s="832" t="s">
        <v>80</v>
      </c>
      <c r="B37" s="837" t="n">
        <v>10628880</v>
      </c>
      <c r="C37" s="334" t="n">
        <v>0</v>
      </c>
      <c r="D37" s="837" t="n">
        <v>2566935</v>
      </c>
      <c r="E37" s="334" t="n">
        <v>0</v>
      </c>
      <c r="F37" s="334" t="n">
        <v>0</v>
      </c>
      <c r="G37" s="334" t="n">
        <v>0</v>
      </c>
      <c r="H37" s="334" t="n">
        <v>0</v>
      </c>
      <c r="I37" s="334" t="n">
        <v>0</v>
      </c>
      <c r="J37" s="334" t="n">
        <v>0</v>
      </c>
      <c r="K37" s="837" t="n">
        <v>3477854</v>
      </c>
      <c r="L37" s="334" t="n">
        <v>507600</v>
      </c>
      <c r="M37" s="334" t="n">
        <v>0</v>
      </c>
      <c r="N37" s="833" t="n">
        <f aca="false">SUM(B37:M37)</f>
        <v>17181269</v>
      </c>
      <c r="O37" s="834" t="s">
        <v>39</v>
      </c>
      <c r="P37" s="334" t="n">
        <v>6552389</v>
      </c>
      <c r="Q37" s="334"/>
      <c r="R37" s="842" t="n">
        <f aca="false">N37-P37+Q37</f>
        <v>10628880</v>
      </c>
    </row>
    <row r="38" customFormat="false" ht="15.75" hidden="false" customHeight="true" outlineLevel="0" collapsed="false">
      <c r="A38" s="832" t="s">
        <v>81</v>
      </c>
      <c r="B38" s="837" t="n">
        <v>3182459</v>
      </c>
      <c r="C38" s="334" t="n">
        <v>0</v>
      </c>
      <c r="D38" s="334" t="n">
        <v>0</v>
      </c>
      <c r="E38" s="334" t="n">
        <v>0</v>
      </c>
      <c r="F38" s="334" t="n">
        <v>0</v>
      </c>
      <c r="G38" s="334" t="n">
        <v>0</v>
      </c>
      <c r="H38" s="334" t="n">
        <v>0</v>
      </c>
      <c r="I38" s="334" t="n">
        <v>0</v>
      </c>
      <c r="J38" s="334" t="n">
        <v>0</v>
      </c>
      <c r="K38" s="334" t="n">
        <v>16045</v>
      </c>
      <c r="L38" s="334" t="n">
        <v>0</v>
      </c>
      <c r="M38" s="334" t="n">
        <v>0</v>
      </c>
      <c r="N38" s="833" t="n">
        <f aca="false">SUM(B38:M38)</f>
        <v>3198504</v>
      </c>
      <c r="O38" s="834" t="s">
        <v>39</v>
      </c>
      <c r="P38" s="334" t="n">
        <v>882525</v>
      </c>
      <c r="Q38" s="334"/>
      <c r="R38" s="842" t="n">
        <f aca="false">N38-P38+Q38</f>
        <v>2315979</v>
      </c>
    </row>
    <row r="39" customFormat="false" ht="15.75" hidden="false" customHeight="true" outlineLevel="0" collapsed="false">
      <c r="A39" s="832" t="s">
        <v>83</v>
      </c>
      <c r="B39" s="837" t="n">
        <v>5140510</v>
      </c>
      <c r="C39" s="334" t="n">
        <v>0</v>
      </c>
      <c r="D39" s="334" t="n">
        <v>0</v>
      </c>
      <c r="E39" s="334" t="n">
        <v>0</v>
      </c>
      <c r="F39" s="334" t="n">
        <v>0</v>
      </c>
      <c r="G39" s="334" t="n">
        <v>0</v>
      </c>
      <c r="H39" s="334" t="n">
        <v>0</v>
      </c>
      <c r="I39" s="334" t="n">
        <v>0</v>
      </c>
      <c r="J39" s="334" t="n">
        <v>0</v>
      </c>
      <c r="K39" s="837" t="n">
        <v>0</v>
      </c>
      <c r="L39" s="837" t="n">
        <v>45037</v>
      </c>
      <c r="M39" s="334" t="n">
        <v>0</v>
      </c>
      <c r="N39" s="833" t="n">
        <f aca="false">SUM(B39:M39)</f>
        <v>5185547</v>
      </c>
      <c r="O39" s="834"/>
      <c r="P39" s="334"/>
      <c r="Q39" s="334"/>
      <c r="R39" s="842" t="n">
        <f aca="false">N39-P39+Q39</f>
        <v>5185547</v>
      </c>
    </row>
    <row r="40" customFormat="false" ht="15.75" hidden="false" customHeight="true" outlineLevel="0" collapsed="false">
      <c r="A40" s="832" t="s">
        <v>84</v>
      </c>
      <c r="B40" s="837" t="n">
        <v>20813206</v>
      </c>
      <c r="C40" s="334" t="n">
        <v>0</v>
      </c>
      <c r="D40" s="334" t="n">
        <v>0</v>
      </c>
      <c r="E40" s="334" t="n">
        <v>0</v>
      </c>
      <c r="F40" s="334" t="n">
        <v>0</v>
      </c>
      <c r="G40" s="334" t="n">
        <v>0</v>
      </c>
      <c r="H40" s="334" t="n">
        <v>0</v>
      </c>
      <c r="I40" s="334" t="n">
        <v>0</v>
      </c>
      <c r="J40" s="334" t="n">
        <v>0</v>
      </c>
      <c r="K40" s="837" t="n">
        <v>0</v>
      </c>
      <c r="L40" s="334" t="n">
        <v>0</v>
      </c>
      <c r="M40" s="334" t="n">
        <v>0</v>
      </c>
      <c r="N40" s="833" t="n">
        <f aca="false">SUM(B40:M40)</f>
        <v>20813206</v>
      </c>
      <c r="O40" s="834"/>
      <c r="P40" s="334"/>
      <c r="Q40" s="334"/>
      <c r="R40" s="842" t="n">
        <f aca="false">N40-P40+Q40</f>
        <v>20813206</v>
      </c>
    </row>
    <row r="41" customFormat="false" ht="15.75" hidden="false" customHeight="true" outlineLevel="0" collapsed="false">
      <c r="A41" s="832" t="s">
        <v>85</v>
      </c>
      <c r="B41" s="843" t="n">
        <v>3572443</v>
      </c>
      <c r="C41" s="843" t="n">
        <v>0</v>
      </c>
      <c r="D41" s="843" t="n">
        <v>0</v>
      </c>
      <c r="E41" s="843" t="n">
        <v>0</v>
      </c>
      <c r="F41" s="843" t="n">
        <v>0</v>
      </c>
      <c r="G41" s="843" t="n">
        <v>0</v>
      </c>
      <c r="H41" s="843" t="n">
        <v>0</v>
      </c>
      <c r="I41" s="843" t="n">
        <v>0</v>
      </c>
      <c r="J41" s="843" t="n">
        <v>0</v>
      </c>
      <c r="K41" s="843" t="n">
        <v>0</v>
      </c>
      <c r="L41" s="843" t="n">
        <v>0</v>
      </c>
      <c r="M41" s="843" t="n">
        <v>0</v>
      </c>
      <c r="N41" s="844" t="n">
        <f aca="false">SUM(B41:M41)</f>
        <v>3572443</v>
      </c>
      <c r="O41" s="834"/>
      <c r="P41" s="334"/>
      <c r="Q41" s="334"/>
      <c r="R41" s="845" t="n">
        <f aca="false">N41-P41+Q41</f>
        <v>3572443</v>
      </c>
    </row>
    <row r="42" customFormat="false" ht="12.75" hidden="false" customHeight="false" outlineLevel="0" collapsed="false">
      <c r="A42" s="838" t="s">
        <v>86</v>
      </c>
      <c r="B42" s="839" t="n">
        <f aca="false">SUM(B24:B41)</f>
        <v>126573375</v>
      </c>
      <c r="C42" s="839" t="n">
        <f aca="false">SUM(C25:C41)</f>
        <v>8586796</v>
      </c>
      <c r="D42" s="839" t="n">
        <f aca="false">SUM(D25:D41)</f>
        <v>2683308</v>
      </c>
      <c r="E42" s="839" t="n">
        <f aca="false">SUM(E25:E41)</f>
        <v>180603</v>
      </c>
      <c r="F42" s="839" t="n">
        <f aca="false">SUM(F25:F41)</f>
        <v>1296079</v>
      </c>
      <c r="G42" s="839" t="n">
        <f aca="false">SUM(G25:G41)</f>
        <v>0</v>
      </c>
      <c r="H42" s="839" t="n">
        <f aca="false">SUM(H25:H41)</f>
        <v>0</v>
      </c>
      <c r="I42" s="839" t="n">
        <f aca="false">SUM(I25:I41)</f>
        <v>0</v>
      </c>
      <c r="J42" s="839" t="n">
        <f aca="false">SUM(J25:J41)</f>
        <v>0</v>
      </c>
      <c r="K42" s="839" t="n">
        <f aca="false">SUM(K25:K41)</f>
        <v>3525403</v>
      </c>
      <c r="L42" s="839" t="n">
        <f aca="false">SUM(L25:L41)</f>
        <v>751998</v>
      </c>
      <c r="M42" s="839" t="n">
        <f aca="false">SUM(M25:M41)</f>
        <v>979147</v>
      </c>
      <c r="N42" s="839" t="n">
        <f aca="false">SUM(N24:N41)</f>
        <v>144576709</v>
      </c>
      <c r="O42" s="840"/>
      <c r="P42" s="839"/>
      <c r="Q42" s="839"/>
      <c r="R42" s="839" t="e">
        <f aca="false">SUM(R24:R41)</f>
        <v>#REF!</v>
      </c>
    </row>
    <row r="43" customFormat="false" ht="15.75" hidden="false" customHeight="true" outlineLevel="0" collapsed="false">
      <c r="A43" s="832" t="s">
        <v>87</v>
      </c>
      <c r="B43" s="334" t="n">
        <v>30006697</v>
      </c>
      <c r="C43" s="846" t="n">
        <v>5000</v>
      </c>
      <c r="D43" s="846" t="n">
        <v>1105000</v>
      </c>
      <c r="E43" s="846" t="n">
        <v>10000</v>
      </c>
      <c r="F43" s="334" t="n">
        <v>1000</v>
      </c>
      <c r="G43" s="334" t="n">
        <v>1000</v>
      </c>
      <c r="H43" s="334" t="n">
        <v>5000</v>
      </c>
      <c r="I43" s="334" t="n">
        <v>10000</v>
      </c>
      <c r="J43" s="334" t="n">
        <v>800</v>
      </c>
      <c r="K43" s="334" t="n">
        <v>800</v>
      </c>
      <c r="L43" s="334" t="n">
        <v>3661400</v>
      </c>
      <c r="M43" s="334" t="n">
        <v>10000</v>
      </c>
      <c r="N43" s="833" t="n">
        <f aca="false">SUM(B43:M43)</f>
        <v>34816697</v>
      </c>
      <c r="O43" s="834" t="s">
        <v>59</v>
      </c>
      <c r="P43" s="334" t="n">
        <f aca="false">-(-1104950-800-6800-500-750-4640-740-3751-6000-3624786-10000)</f>
        <v>4763717</v>
      </c>
      <c r="Q43" s="334"/>
      <c r="R43" s="842" t="n">
        <f aca="false">N43-P43+Q43</f>
        <v>30052980</v>
      </c>
      <c r="S43" s="825"/>
    </row>
    <row r="44" customFormat="false" ht="15.75" hidden="false" customHeight="true" outlineLevel="0" collapsed="false">
      <c r="A44" s="832" t="s">
        <v>88</v>
      </c>
      <c r="B44" s="334" t="n">
        <v>920</v>
      </c>
      <c r="C44" s="846" t="n">
        <v>42340052</v>
      </c>
      <c r="D44" s="846" t="n">
        <v>877313</v>
      </c>
      <c r="E44" s="334" t="n">
        <v>0</v>
      </c>
      <c r="F44" s="334" t="n">
        <v>49015</v>
      </c>
      <c r="G44" s="334" t="n">
        <v>330450</v>
      </c>
      <c r="H44" s="334" t="n">
        <v>0</v>
      </c>
      <c r="I44" s="334" t="n">
        <v>0</v>
      </c>
      <c r="J44" s="334" t="n">
        <v>0</v>
      </c>
      <c r="K44" s="334" t="n">
        <v>1833417</v>
      </c>
      <c r="L44" s="334" t="n">
        <v>406800</v>
      </c>
      <c r="M44" s="334" t="n">
        <v>0</v>
      </c>
      <c r="N44" s="833" t="n">
        <f aca="false">SUM(B44:M44)</f>
        <v>45837967</v>
      </c>
      <c r="O44" s="834" t="s">
        <v>59</v>
      </c>
      <c r="P44" s="334" t="n">
        <f aca="false">-(-877313-49015-330450-1833417-31546825-292500)</f>
        <v>34929520</v>
      </c>
      <c r="Q44" s="334"/>
      <c r="R44" s="842" t="n">
        <f aca="false">N44-P44+Q44</f>
        <v>10908447</v>
      </c>
      <c r="S44" s="825"/>
      <c r="V44" s="847"/>
    </row>
    <row r="45" customFormat="false" ht="15.75" hidden="false" customHeight="true" outlineLevel="0" collapsed="false">
      <c r="A45" s="832" t="s">
        <v>90</v>
      </c>
      <c r="B45" s="334" t="n">
        <v>4662954</v>
      </c>
      <c r="C45" s="334" t="n">
        <v>0</v>
      </c>
      <c r="D45" s="334" t="n">
        <v>0</v>
      </c>
      <c r="E45" s="846" t="n">
        <v>0</v>
      </c>
      <c r="F45" s="334" t="n">
        <v>500</v>
      </c>
      <c r="G45" s="334" t="n">
        <v>0</v>
      </c>
      <c r="H45" s="334" t="n">
        <v>0</v>
      </c>
      <c r="I45" s="334" t="n">
        <v>0</v>
      </c>
      <c r="J45" s="334" t="n">
        <v>340</v>
      </c>
      <c r="K45" s="334" t="n">
        <v>0</v>
      </c>
      <c r="L45" s="334" t="n">
        <v>0</v>
      </c>
      <c r="M45" s="334" t="n">
        <v>0</v>
      </c>
      <c r="N45" s="833" t="n">
        <f aca="false">SUM(B45:M45)</f>
        <v>4663794</v>
      </c>
      <c r="O45" s="834" t="s">
        <v>52</v>
      </c>
      <c r="P45" s="334" t="n">
        <f aca="false">-(-500-340)</f>
        <v>840</v>
      </c>
      <c r="Q45" s="334"/>
      <c r="R45" s="842" t="n">
        <f aca="false">N45-P45+Q45</f>
        <v>4662954</v>
      </c>
      <c r="S45" s="825"/>
    </row>
    <row r="46" customFormat="false" ht="15.75" hidden="false" customHeight="true" outlineLevel="0" collapsed="false">
      <c r="A46" s="832" t="s">
        <v>91</v>
      </c>
      <c r="B46" s="334" t="n">
        <v>34797</v>
      </c>
      <c r="C46" s="334" t="n">
        <v>0</v>
      </c>
      <c r="D46" s="334" t="n">
        <v>0</v>
      </c>
      <c r="E46" s="334" t="n">
        <v>0</v>
      </c>
      <c r="F46" s="334" t="n">
        <v>0</v>
      </c>
      <c r="G46" s="334" t="n">
        <v>0</v>
      </c>
      <c r="H46" s="334" t="n">
        <v>0</v>
      </c>
      <c r="I46" s="334" t="n">
        <v>0</v>
      </c>
      <c r="J46" s="334" t="n">
        <v>0</v>
      </c>
      <c r="K46" s="334" t="n">
        <v>0</v>
      </c>
      <c r="L46" s="334" t="n">
        <v>0</v>
      </c>
      <c r="M46" s="334" t="n">
        <v>0</v>
      </c>
      <c r="N46" s="833" t="n">
        <f aca="false">SUM(B46:M46)</f>
        <v>34797</v>
      </c>
      <c r="O46" s="834"/>
      <c r="P46" s="334"/>
      <c r="Q46" s="334"/>
      <c r="R46" s="842" t="n">
        <f aca="false">N46-P46+Q46</f>
        <v>34797</v>
      </c>
      <c r="S46" s="825"/>
    </row>
    <row r="47" customFormat="false" ht="15.75" hidden="false" customHeight="true" outlineLevel="0" collapsed="false">
      <c r="A47" s="832" t="s">
        <v>92</v>
      </c>
      <c r="B47" s="334" t="n">
        <v>227072</v>
      </c>
      <c r="C47" s="334" t="n">
        <v>0</v>
      </c>
      <c r="D47" s="334" t="n">
        <v>0</v>
      </c>
      <c r="E47" s="846" t="n">
        <v>74426</v>
      </c>
      <c r="F47" s="334" t="n">
        <v>0</v>
      </c>
      <c r="G47" s="334" t="n">
        <v>109633</v>
      </c>
      <c r="H47" s="334" t="n">
        <v>1226</v>
      </c>
      <c r="I47" s="334" t="n">
        <v>0</v>
      </c>
      <c r="J47" s="334" t="n">
        <v>0</v>
      </c>
      <c r="K47" s="334" t="n">
        <v>0</v>
      </c>
      <c r="L47" s="334" t="n">
        <v>274690</v>
      </c>
      <c r="M47" s="334" t="n">
        <v>0</v>
      </c>
      <c r="N47" s="833" t="n">
        <f aca="false">SUM(B47:M47)</f>
        <v>687047</v>
      </c>
      <c r="O47" s="834" t="s">
        <v>52</v>
      </c>
      <c r="P47" s="334" t="n">
        <f aca="false">-(-74426-109633-1226-274690)</f>
        <v>459975</v>
      </c>
      <c r="Q47" s="334"/>
      <c r="R47" s="842" t="n">
        <f aca="false">N47-P47+Q47</f>
        <v>227072</v>
      </c>
      <c r="S47" s="825"/>
      <c r="V47" s="825"/>
    </row>
    <row r="48" customFormat="false" ht="15.75" hidden="false" customHeight="true" outlineLevel="0" collapsed="false">
      <c r="A48" s="832" t="s">
        <v>93</v>
      </c>
      <c r="B48" s="334" t="n">
        <v>-3202431</v>
      </c>
      <c r="C48" s="334" t="n">
        <v>0</v>
      </c>
      <c r="D48" s="334" t="n">
        <v>0</v>
      </c>
      <c r="E48" s="334" t="n">
        <v>0</v>
      </c>
      <c r="F48" s="334" t="n">
        <v>0</v>
      </c>
      <c r="G48" s="334" t="n">
        <v>0</v>
      </c>
      <c r="H48" s="334" t="n">
        <v>0</v>
      </c>
      <c r="I48" s="334" t="n">
        <v>0</v>
      </c>
      <c r="J48" s="334" t="n">
        <v>0</v>
      </c>
      <c r="K48" s="334" t="n">
        <v>0</v>
      </c>
      <c r="L48" s="334" t="n">
        <v>-56932</v>
      </c>
      <c r="M48" s="334" t="n">
        <v>0</v>
      </c>
      <c r="N48" s="833" t="n">
        <f aca="false">SUM(B48:M48)</f>
        <v>-3259363</v>
      </c>
      <c r="O48" s="834" t="s">
        <v>59</v>
      </c>
      <c r="P48" s="334"/>
      <c r="Q48" s="334" t="n">
        <v>56932</v>
      </c>
      <c r="R48" s="842" t="n">
        <f aca="false">N48-P48+Q48</f>
        <v>-3202431</v>
      </c>
      <c r="S48" s="825"/>
      <c r="W48" s="827"/>
    </row>
    <row r="49" customFormat="false" ht="15.75" hidden="false" customHeight="true" outlineLevel="0" collapsed="false">
      <c r="A49" s="832" t="s">
        <v>94</v>
      </c>
      <c r="B49" s="334" t="n">
        <f aca="false">1849659-495802</f>
        <v>1353857</v>
      </c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833" t="n">
        <f aca="false">SUM(B49:M49)</f>
        <v>1353857</v>
      </c>
      <c r="O49" s="834"/>
      <c r="P49" s="334"/>
      <c r="Q49" s="334"/>
      <c r="R49" s="842" t="n">
        <f aca="false">N49-P49+Q49</f>
        <v>1353857</v>
      </c>
      <c r="S49" s="825"/>
      <c r="W49" s="827"/>
    </row>
    <row r="50" customFormat="false" ht="15.75" hidden="false" customHeight="true" outlineLevel="0" collapsed="false">
      <c r="A50" s="832" t="s">
        <v>95</v>
      </c>
      <c r="B50" s="334" t="n">
        <f aca="false">31666289+495802-200+5595545</f>
        <v>37757436</v>
      </c>
      <c r="C50" s="846" t="n">
        <f aca="false">2254833-1077724</f>
        <v>1177109</v>
      </c>
      <c r="D50" s="846" t="n">
        <f aca="false">-16937+19337</f>
        <v>2400</v>
      </c>
      <c r="E50" s="846" t="n">
        <f aca="false">911628-15891</f>
        <v>895737</v>
      </c>
      <c r="F50" s="334" t="n">
        <f aca="false">-488265-493384</f>
        <v>-981649</v>
      </c>
      <c r="G50" s="334" t="n">
        <f aca="false">-53896-13474</f>
        <v>-67370</v>
      </c>
      <c r="H50" s="334" t="n">
        <v>1763</v>
      </c>
      <c r="I50" s="334" t="n">
        <v>0</v>
      </c>
      <c r="J50" s="334" t="n">
        <v>0</v>
      </c>
      <c r="K50" s="334" t="n">
        <f aca="false">-15422-344143</f>
        <v>-359565</v>
      </c>
      <c r="L50" s="334" t="n">
        <f aca="false">-3886526-502401</f>
        <v>-4388927</v>
      </c>
      <c r="M50" s="334" t="n">
        <f aca="false">-142959-401491</f>
        <v>-544450</v>
      </c>
      <c r="N50" s="833" t="n">
        <f aca="false">SUM(B50:M50)</f>
        <v>33492484</v>
      </c>
      <c r="O50" s="834" t="s">
        <v>97</v>
      </c>
      <c r="P50" s="334" t="n">
        <f aca="false">-(-862233-97825-21667-1763-822437-266632-224942)</f>
        <v>2297499</v>
      </c>
      <c r="Q50" s="334" t="n">
        <f aca="false">3491044+394445+42502+1160144+4556</f>
        <v>5092691</v>
      </c>
      <c r="R50" s="334" t="n">
        <f aca="false">N50-P50+Q50</f>
        <v>36287676</v>
      </c>
      <c r="S50" s="825"/>
      <c r="T50" s="825"/>
      <c r="V50" s="825"/>
      <c r="W50" s="827"/>
    </row>
    <row r="51" customFormat="false" ht="12.75" hidden="false" customHeight="false" outlineLevel="0" collapsed="false">
      <c r="A51" s="838" t="s">
        <v>100</v>
      </c>
      <c r="B51" s="839" t="n">
        <f aca="false">SUM(B43:B50)</f>
        <v>70841302</v>
      </c>
      <c r="C51" s="839" t="n">
        <f aca="false">SUM(C43:C50)</f>
        <v>43522161</v>
      </c>
      <c r="D51" s="839" t="n">
        <f aca="false">SUM(D43:D50)</f>
        <v>1984713</v>
      </c>
      <c r="E51" s="839" t="n">
        <f aca="false">SUM(E43:E50)</f>
        <v>980163</v>
      </c>
      <c r="F51" s="839" t="n">
        <f aca="false">SUM(F43:F50)</f>
        <v>-931134</v>
      </c>
      <c r="G51" s="839" t="n">
        <f aca="false">SUM(G43:G50)</f>
        <v>373713</v>
      </c>
      <c r="H51" s="839" t="n">
        <f aca="false">SUM(H43:H50)</f>
        <v>7989</v>
      </c>
      <c r="I51" s="839" t="n">
        <f aca="false">SUM(I43:I50)</f>
        <v>10000</v>
      </c>
      <c r="J51" s="839" t="n">
        <f aca="false">SUM(J43:J50)</f>
        <v>1140</v>
      </c>
      <c r="K51" s="839" t="n">
        <f aca="false">SUM(K43:K50)</f>
        <v>1474652</v>
      </c>
      <c r="L51" s="839" t="n">
        <f aca="false">SUM(L43:L50)</f>
        <v>-102969</v>
      </c>
      <c r="M51" s="839" t="n">
        <f aca="false">SUM(M43:M50)</f>
        <v>-534450</v>
      </c>
      <c r="N51" s="839" t="n">
        <f aca="false">SUM(N43:N50)</f>
        <v>117627280</v>
      </c>
      <c r="O51" s="840"/>
      <c r="P51" s="839" t="n">
        <f aca="false">+SUM(P24:P50)</f>
        <v>59893525</v>
      </c>
      <c r="Q51" s="839" t="e">
        <f aca="false">+SUM(Q24:Q50)</f>
        <v>#REF!</v>
      </c>
      <c r="R51" s="839" t="n">
        <f aca="false">SUM(R43:R50)</f>
        <v>80325352</v>
      </c>
    </row>
    <row r="52" s="852" customFormat="true" ht="15.75" hidden="false" customHeight="true" outlineLevel="0" collapsed="false">
      <c r="A52" s="848"/>
      <c r="B52" s="849" t="n">
        <f aca="false">B23-B42-B51</f>
        <v>0</v>
      </c>
      <c r="C52" s="849" t="n">
        <f aca="false">C23-C42-C51</f>
        <v>0</v>
      </c>
      <c r="D52" s="849" t="n">
        <f aca="false">D23-D42-D51</f>
        <v>0</v>
      </c>
      <c r="E52" s="849" t="n">
        <f aca="false">E23-E42-E51</f>
        <v>0</v>
      </c>
      <c r="F52" s="849" t="n">
        <f aca="false">F23-F42-F51</f>
        <v>0</v>
      </c>
      <c r="G52" s="849" t="n">
        <f aca="false">G23-G42-G51</f>
        <v>0</v>
      </c>
      <c r="H52" s="849" t="n">
        <f aca="false">H23-H42-H51</f>
        <v>0</v>
      </c>
      <c r="I52" s="849" t="n">
        <f aca="false">I23-I42-I51</f>
        <v>0</v>
      </c>
      <c r="J52" s="849" t="n">
        <f aca="false">J23-J42-J51</f>
        <v>0</v>
      </c>
      <c r="K52" s="849" t="n">
        <f aca="false">K23-K42-K51</f>
        <v>0</v>
      </c>
      <c r="L52" s="849" t="n">
        <f aca="false">L23-L42-L51</f>
        <v>0</v>
      </c>
      <c r="M52" s="849" t="n">
        <f aca="false">M23-M42-M51</f>
        <v>0</v>
      </c>
      <c r="N52" s="849" t="n">
        <f aca="false">N23-N42-N51</f>
        <v>0</v>
      </c>
      <c r="O52" s="850"/>
      <c r="P52" s="849" t="n">
        <f aca="false">P23-P42-P51</f>
        <v>-54184600</v>
      </c>
      <c r="Q52" s="849" t="e">
        <f aca="false">Q23-Q42-Q51</f>
        <v>#REF!</v>
      </c>
      <c r="R52" s="849" t="e">
        <f aca="false">R23-R42-R51</f>
        <v>#REF!</v>
      </c>
      <c r="S52" s="851" t="e">
        <f aca="false">+R51+R42</f>
        <v>#REF!</v>
      </c>
      <c r="T52" s="851" t="e">
        <f aca="false">+S52-R23</f>
        <v>#REF!</v>
      </c>
    </row>
    <row r="53" s="852" customFormat="true" ht="15.75" hidden="false" customHeight="true" outlineLevel="0" collapsed="false">
      <c r="A53" s="848"/>
      <c r="B53" s="849"/>
      <c r="C53" s="849"/>
      <c r="D53" s="849"/>
      <c r="E53" s="849"/>
      <c r="F53" s="849"/>
      <c r="G53" s="849"/>
      <c r="H53" s="849"/>
      <c r="I53" s="849"/>
      <c r="J53" s="849"/>
      <c r="K53" s="849"/>
      <c r="L53" s="849"/>
      <c r="M53" s="849"/>
      <c r="N53" s="849"/>
      <c r="O53" s="850"/>
      <c r="P53" s="849" t="n">
        <f aca="false">+Q23-P23</f>
        <v>54631103</v>
      </c>
      <c r="Q53" s="853" t="e">
        <f aca="false">+P51-Q51</f>
        <v>#REF!</v>
      </c>
      <c r="R53" s="849"/>
      <c r="S53" s="851"/>
      <c r="T53" s="851"/>
    </row>
    <row r="54" customFormat="false" ht="78" hidden="false" customHeight="true" outlineLevel="0" collapsed="false">
      <c r="A54" s="830" t="s">
        <v>3</v>
      </c>
      <c r="B54" s="831" t="s">
        <v>849</v>
      </c>
      <c r="C54" s="831" t="s">
        <v>850</v>
      </c>
      <c r="D54" s="831" t="s">
        <v>851</v>
      </c>
      <c r="E54" s="831" t="s">
        <v>852</v>
      </c>
      <c r="F54" s="831" t="s">
        <v>853</v>
      </c>
      <c r="G54" s="831" t="s">
        <v>854</v>
      </c>
      <c r="H54" s="831" t="s">
        <v>855</v>
      </c>
      <c r="I54" s="831" t="s">
        <v>856</v>
      </c>
      <c r="J54" s="831" t="s">
        <v>857</v>
      </c>
      <c r="K54" s="831" t="s">
        <v>858</v>
      </c>
      <c r="L54" s="831" t="s">
        <v>859</v>
      </c>
      <c r="M54" s="831" t="s">
        <v>860</v>
      </c>
      <c r="N54" s="831" t="s">
        <v>259</v>
      </c>
      <c r="O54" s="831" t="s">
        <v>17</v>
      </c>
      <c r="P54" s="831" t="s">
        <v>18</v>
      </c>
      <c r="Q54" s="831" t="s">
        <v>19</v>
      </c>
      <c r="R54" s="831" t="s">
        <v>33</v>
      </c>
    </row>
    <row r="55" customFormat="false" ht="15.75" hidden="false" customHeight="true" outlineLevel="0" collapsed="false">
      <c r="A55" s="854" t="s">
        <v>101</v>
      </c>
      <c r="B55" s="855" t="n">
        <v>152924768</v>
      </c>
      <c r="C55" s="855" t="n">
        <v>1907995</v>
      </c>
      <c r="D55" s="855" t="n">
        <v>636407</v>
      </c>
      <c r="E55" s="855" t="n">
        <v>0</v>
      </c>
      <c r="F55" s="855" t="n">
        <v>0</v>
      </c>
      <c r="G55" s="855" t="n">
        <v>0</v>
      </c>
      <c r="H55" s="855" t="n">
        <v>0</v>
      </c>
      <c r="I55" s="855" t="n">
        <v>0</v>
      </c>
      <c r="J55" s="855" t="n">
        <v>0</v>
      </c>
      <c r="K55" s="855" t="n">
        <v>120923</v>
      </c>
      <c r="L55" s="855" t="n">
        <v>280002</v>
      </c>
      <c r="M55" s="855" t="n">
        <v>162445</v>
      </c>
      <c r="N55" s="856" t="n">
        <f aca="false">SUM(B55:M55)</f>
        <v>156032540</v>
      </c>
      <c r="O55" s="857" t="s">
        <v>41</v>
      </c>
      <c r="P55" s="855" t="n">
        <f aca="false">'Ventas-Compras (d)'!D26</f>
        <v>376468.58</v>
      </c>
      <c r="Q55" s="855"/>
      <c r="R55" s="858" t="n">
        <f aca="false">N55-P55+Q55</f>
        <v>155656071.42</v>
      </c>
    </row>
    <row r="56" customFormat="false" ht="15.75" hidden="false" customHeight="true" outlineLevel="0" collapsed="false">
      <c r="A56" s="832" t="s">
        <v>102</v>
      </c>
      <c r="B56" s="859" t="n">
        <v>-100189814</v>
      </c>
      <c r="C56" s="859" t="n">
        <v>-2677882</v>
      </c>
      <c r="D56" s="859" t="n">
        <v>-187557</v>
      </c>
      <c r="E56" s="859" t="n">
        <v>0</v>
      </c>
      <c r="F56" s="859" t="n">
        <v>0</v>
      </c>
      <c r="G56" s="859" t="n">
        <v>0</v>
      </c>
      <c r="H56" s="859" t="n">
        <v>0</v>
      </c>
      <c r="I56" s="859" t="n">
        <v>0</v>
      </c>
      <c r="J56" s="859" t="n">
        <v>0</v>
      </c>
      <c r="K56" s="859" t="n">
        <v>-299751</v>
      </c>
      <c r="L56" s="859" t="n">
        <v>-199020</v>
      </c>
      <c r="M56" s="859" t="n">
        <v>-118573</v>
      </c>
      <c r="N56" s="844" t="n">
        <f aca="false">SUM(B56:M56)</f>
        <v>-103672597</v>
      </c>
      <c r="O56" s="860" t="s">
        <v>41</v>
      </c>
      <c r="P56" s="859"/>
      <c r="Q56" s="859" t="n">
        <f aca="false">'Ventas-Compras (d)'!E27</f>
        <v>357344</v>
      </c>
      <c r="R56" s="843" t="n">
        <f aca="false">N56-P56+Q56</f>
        <v>-103315253</v>
      </c>
    </row>
    <row r="57" customFormat="false" ht="15.75" hidden="false" customHeight="true" outlineLevel="0" collapsed="false">
      <c r="A57" s="832" t="s">
        <v>103</v>
      </c>
      <c r="B57" s="861" t="n">
        <f aca="false">SUM(B55:B56)</f>
        <v>52734954</v>
      </c>
      <c r="C57" s="861" t="n">
        <f aca="false">SUM(C55:C56)</f>
        <v>-769887</v>
      </c>
      <c r="D57" s="861" t="n">
        <f aca="false">SUM(D55:D56)</f>
        <v>448850</v>
      </c>
      <c r="E57" s="861" t="n">
        <f aca="false">SUM(E55:E56)</f>
        <v>0</v>
      </c>
      <c r="F57" s="861" t="n">
        <f aca="false">SUM(F55:F56)</f>
        <v>0</v>
      </c>
      <c r="G57" s="861" t="n">
        <f aca="false">SUM(G55:G56)</f>
        <v>0</v>
      </c>
      <c r="H57" s="861" t="n">
        <f aca="false">SUM(H55:H56)</f>
        <v>0</v>
      </c>
      <c r="I57" s="861" t="n">
        <f aca="false">SUM(I55:I56)</f>
        <v>0</v>
      </c>
      <c r="J57" s="861" t="n">
        <f aca="false">SUM(J55:J56)</f>
        <v>0</v>
      </c>
      <c r="K57" s="861" t="n">
        <f aca="false">SUM(K55:K56)</f>
        <v>-178828</v>
      </c>
      <c r="L57" s="861" t="n">
        <f aca="false">SUM(L55:L56)</f>
        <v>80982</v>
      </c>
      <c r="M57" s="861" t="n">
        <f aca="false">SUM(M55:M56)</f>
        <v>43872</v>
      </c>
      <c r="N57" s="861" t="n">
        <f aca="false">SUM(N55:N56)</f>
        <v>52359943</v>
      </c>
      <c r="O57" s="860"/>
      <c r="P57" s="861" t="n">
        <f aca="false">SUM(P55:P56)</f>
        <v>376468.58</v>
      </c>
      <c r="Q57" s="861" t="n">
        <f aca="false">SUM(Q55:Q56)</f>
        <v>357344</v>
      </c>
      <c r="R57" s="861" t="n">
        <f aca="false">SUM(R55:R56)</f>
        <v>52340818.42</v>
      </c>
    </row>
    <row r="58" customFormat="false" ht="15.75" hidden="false" customHeight="true" outlineLevel="0" collapsed="false">
      <c r="A58" s="862"/>
      <c r="B58" s="863"/>
      <c r="C58" s="863"/>
      <c r="D58" s="863"/>
      <c r="E58" s="863"/>
      <c r="F58" s="863"/>
      <c r="G58" s="863"/>
      <c r="H58" s="863"/>
      <c r="I58" s="863"/>
      <c r="J58" s="863"/>
      <c r="K58" s="863"/>
      <c r="L58" s="863"/>
      <c r="M58" s="863"/>
      <c r="N58" s="833"/>
      <c r="O58" s="860"/>
      <c r="P58" s="863"/>
      <c r="Q58" s="863"/>
      <c r="R58" s="334"/>
    </row>
    <row r="59" customFormat="false" ht="15.75" hidden="false" customHeight="true" outlineLevel="0" collapsed="false">
      <c r="A59" s="832" t="s">
        <v>104</v>
      </c>
      <c r="B59" s="863" t="n">
        <v>-33320786</v>
      </c>
      <c r="C59" s="863" t="n">
        <v>-306890</v>
      </c>
      <c r="D59" s="863" t="n">
        <f aca="false">-429513+54059</f>
        <v>-375454</v>
      </c>
      <c r="E59" s="863" t="n">
        <v>-15891</v>
      </c>
      <c r="F59" s="863" t="n">
        <v>-493384</v>
      </c>
      <c r="G59" s="863" t="n">
        <v>-13474</v>
      </c>
      <c r="H59" s="863" t="n">
        <v>0</v>
      </c>
      <c r="I59" s="863" t="n">
        <v>0</v>
      </c>
      <c r="J59" s="863" t="n">
        <v>0</v>
      </c>
      <c r="K59" s="863" t="n">
        <f aca="false">-165338+23</f>
        <v>-165315</v>
      </c>
      <c r="L59" s="863" t="n">
        <v>-586188</v>
      </c>
      <c r="M59" s="863" t="n">
        <v>-444288</v>
      </c>
      <c r="N59" s="833" t="n">
        <f aca="false">SUM(B59:M59)</f>
        <v>-35721670</v>
      </c>
      <c r="O59" s="860"/>
      <c r="P59" s="863"/>
      <c r="Q59" s="863" t="n">
        <f aca="false">'Ventas-Compras (d)'!E28</f>
        <v>7818.58</v>
      </c>
      <c r="R59" s="334" t="n">
        <f aca="false">N59-P59+Q59</f>
        <v>-35713851.42</v>
      </c>
    </row>
    <row r="60" customFormat="false" ht="15.75" hidden="false" customHeight="true" outlineLevel="0" collapsed="false">
      <c r="A60" s="864" t="s">
        <v>105</v>
      </c>
      <c r="B60" s="859" t="n">
        <v>-3618624</v>
      </c>
      <c r="C60" s="859" t="n">
        <v>-947</v>
      </c>
      <c r="D60" s="859" t="n">
        <v>0</v>
      </c>
      <c r="E60" s="859" t="n">
        <v>0</v>
      </c>
      <c r="F60" s="859" t="n">
        <v>0</v>
      </c>
      <c r="G60" s="859" t="n">
        <v>0</v>
      </c>
      <c r="H60" s="859" t="n">
        <v>0</v>
      </c>
      <c r="I60" s="859" t="n">
        <v>0</v>
      </c>
      <c r="J60" s="859" t="n">
        <v>0</v>
      </c>
      <c r="K60" s="859" t="n">
        <v>0</v>
      </c>
      <c r="L60" s="859" t="n">
        <v>17690</v>
      </c>
      <c r="M60" s="859" t="n">
        <v>4857</v>
      </c>
      <c r="N60" s="844" t="n">
        <f aca="false">SUM(B60:M60)</f>
        <v>-3597024</v>
      </c>
      <c r="O60" s="860" t="s">
        <v>51</v>
      </c>
      <c r="P60" s="859" t="e">
        <f aca="false">#REF!</f>
        <v>#REF!</v>
      </c>
      <c r="Q60" s="859" t="e">
        <f aca="false">#REF!</f>
        <v>#REF!</v>
      </c>
      <c r="R60" s="843" t="e">
        <f aca="false">N60-P60+Q60</f>
        <v>#REF!</v>
      </c>
    </row>
    <row r="61" customFormat="false" ht="15.75" hidden="false" customHeight="true" outlineLevel="0" collapsed="false">
      <c r="A61" s="864" t="s">
        <v>107</v>
      </c>
      <c r="B61" s="861" t="n">
        <f aca="false">SUM(B57:B60)</f>
        <v>15795544</v>
      </c>
      <c r="C61" s="861" t="n">
        <f aca="false">SUM(C57:C60)</f>
        <v>-1077724</v>
      </c>
      <c r="D61" s="861" t="n">
        <f aca="false">SUM(D57:D60)</f>
        <v>73396</v>
      </c>
      <c r="E61" s="861" t="n">
        <f aca="false">SUM(E57:E60)</f>
        <v>-15891</v>
      </c>
      <c r="F61" s="861" t="n">
        <f aca="false">SUM(F57:F60)</f>
        <v>-493384</v>
      </c>
      <c r="G61" s="861" t="n">
        <f aca="false">SUM(G57:G60)</f>
        <v>-13474</v>
      </c>
      <c r="H61" s="861" t="n">
        <f aca="false">SUM(H57:H60)</f>
        <v>0</v>
      </c>
      <c r="I61" s="861" t="n">
        <f aca="false">SUM(I57:I60)</f>
        <v>0</v>
      </c>
      <c r="J61" s="861" t="n">
        <f aca="false">SUM(J57:J60)</f>
        <v>0</v>
      </c>
      <c r="K61" s="861" t="n">
        <f aca="false">SUM(K57:K60)</f>
        <v>-344143</v>
      </c>
      <c r="L61" s="861" t="n">
        <f aca="false">SUM(L57:L60)</f>
        <v>-487516</v>
      </c>
      <c r="M61" s="861" t="n">
        <f aca="false">SUM(M57:M60)</f>
        <v>-395559</v>
      </c>
      <c r="N61" s="861" t="n">
        <f aca="false">SUM(N57:N60)</f>
        <v>13041249</v>
      </c>
      <c r="O61" s="860"/>
      <c r="P61" s="861" t="e">
        <f aca="false">SUM(P57:P60)</f>
        <v>#REF!</v>
      </c>
      <c r="Q61" s="861" t="e">
        <f aca="false">SUM(Q57:Q60)</f>
        <v>#REF!</v>
      </c>
      <c r="R61" s="861" t="e">
        <f aca="false">SUM(R57:R60)</f>
        <v>#REF!</v>
      </c>
    </row>
    <row r="62" customFormat="false" ht="15.75" hidden="false" customHeight="true" outlineLevel="0" collapsed="false">
      <c r="A62" s="864"/>
      <c r="B62" s="863"/>
      <c r="C62" s="863"/>
      <c r="D62" s="863"/>
      <c r="E62" s="863"/>
      <c r="F62" s="863"/>
      <c r="G62" s="863"/>
      <c r="H62" s="863"/>
      <c r="I62" s="863"/>
      <c r="J62" s="863"/>
      <c r="K62" s="863"/>
      <c r="L62" s="863"/>
      <c r="M62" s="863"/>
      <c r="N62" s="833"/>
      <c r="O62" s="860"/>
      <c r="P62" s="863"/>
      <c r="Q62" s="863"/>
      <c r="R62" s="334"/>
      <c r="S62" s="825" t="e">
        <f aca="false">Q60+Q59+Q56</f>
        <v>#REF!</v>
      </c>
    </row>
    <row r="63" customFormat="false" ht="15.75" hidden="false" customHeight="true" outlineLevel="0" collapsed="false">
      <c r="A63" s="864" t="s">
        <v>108</v>
      </c>
      <c r="B63" s="859" t="n">
        <f aca="false">-5186848</f>
        <v>-5186848</v>
      </c>
      <c r="C63" s="859" t="n">
        <v>0</v>
      </c>
      <c r="D63" s="859" t="n">
        <v>0</v>
      </c>
      <c r="E63" s="859" t="n">
        <v>0</v>
      </c>
      <c r="F63" s="859" t="n">
        <v>0</v>
      </c>
      <c r="G63" s="859" t="n">
        <v>0</v>
      </c>
      <c r="H63" s="859" t="n">
        <v>0</v>
      </c>
      <c r="I63" s="859" t="n">
        <v>0</v>
      </c>
      <c r="J63" s="859" t="n">
        <v>0</v>
      </c>
      <c r="K63" s="859" t="n">
        <v>0</v>
      </c>
      <c r="L63" s="859" t="n">
        <v>-14885</v>
      </c>
      <c r="M63" s="859" t="n">
        <v>0</v>
      </c>
      <c r="N63" s="844" t="n">
        <f aca="false">SUM(B63:M63)</f>
        <v>-5201733</v>
      </c>
      <c r="O63" s="860"/>
      <c r="P63" s="859"/>
      <c r="Q63" s="859"/>
      <c r="R63" s="843" t="n">
        <f aca="false">N63-P63+Q63</f>
        <v>-5201733</v>
      </c>
      <c r="S63" s="825" t="n">
        <f aca="false">P55</f>
        <v>376468.58</v>
      </c>
    </row>
    <row r="64" customFormat="false" ht="15.75" hidden="false" customHeight="true" outlineLevel="0" collapsed="false">
      <c r="A64" s="864" t="s">
        <v>109</v>
      </c>
      <c r="B64" s="861" t="n">
        <f aca="false">+B61+B63</f>
        <v>10608696</v>
      </c>
      <c r="C64" s="861" t="n">
        <f aca="false">+C61+C63</f>
        <v>-1077724</v>
      </c>
      <c r="D64" s="861" t="n">
        <f aca="false">+D61+D63</f>
        <v>73396</v>
      </c>
      <c r="E64" s="861" t="n">
        <f aca="false">+E61+E63</f>
        <v>-15891</v>
      </c>
      <c r="F64" s="861" t="n">
        <f aca="false">+F61+F63</f>
        <v>-493384</v>
      </c>
      <c r="G64" s="861" t="n">
        <f aca="false">+G61+G63</f>
        <v>-13474</v>
      </c>
      <c r="H64" s="861" t="n">
        <f aca="false">+H61+H63</f>
        <v>0</v>
      </c>
      <c r="I64" s="861" t="n">
        <f aca="false">+I61+I63</f>
        <v>0</v>
      </c>
      <c r="J64" s="861" t="n">
        <f aca="false">+J61+J63</f>
        <v>0</v>
      </c>
      <c r="K64" s="861" t="n">
        <f aca="false">+K61+K63</f>
        <v>-344143</v>
      </c>
      <c r="L64" s="861" t="n">
        <f aca="false">+L61+L63</f>
        <v>-502401</v>
      </c>
      <c r="M64" s="861" t="n">
        <f aca="false">+M61+M63</f>
        <v>-395559</v>
      </c>
      <c r="N64" s="861" t="n">
        <f aca="false">+N61+N63</f>
        <v>7839516</v>
      </c>
      <c r="O64" s="860"/>
      <c r="P64" s="861" t="e">
        <f aca="false">+P61+P63</f>
        <v>#REF!</v>
      </c>
      <c r="Q64" s="861" t="e">
        <f aca="false">+Q61+Q63</f>
        <v>#REF!</v>
      </c>
      <c r="R64" s="861" t="e">
        <f aca="false">+R61+R63</f>
        <v>#REF!</v>
      </c>
      <c r="S64" s="825" t="e">
        <f aca="false">S63-S62</f>
        <v>#REF!</v>
      </c>
    </row>
    <row r="65" customFormat="false" ht="15.75" hidden="false" customHeight="true" outlineLevel="0" collapsed="false">
      <c r="A65" s="864"/>
      <c r="B65" s="861"/>
      <c r="C65" s="861"/>
      <c r="D65" s="861"/>
      <c r="E65" s="861"/>
      <c r="F65" s="861"/>
      <c r="G65" s="861"/>
      <c r="H65" s="861"/>
      <c r="I65" s="861"/>
      <c r="J65" s="861"/>
      <c r="K65" s="861"/>
      <c r="L65" s="861"/>
      <c r="M65" s="861"/>
      <c r="N65" s="861"/>
      <c r="O65" s="860"/>
      <c r="P65" s="863"/>
      <c r="Q65" s="863"/>
      <c r="R65" s="861"/>
    </row>
    <row r="66" customFormat="false" ht="15.75" hidden="false" customHeight="true" outlineLevel="0" collapsed="false">
      <c r="A66" s="864" t="s">
        <v>110</v>
      </c>
      <c r="B66" s="863" t="n">
        <v>-1591304</v>
      </c>
      <c r="C66" s="863"/>
      <c r="D66" s="863"/>
      <c r="E66" s="863"/>
      <c r="F66" s="863"/>
      <c r="G66" s="863"/>
      <c r="H66" s="863"/>
      <c r="I66" s="863"/>
      <c r="J66" s="863"/>
      <c r="K66" s="863"/>
      <c r="L66" s="863"/>
      <c r="M66" s="863"/>
      <c r="N66" s="833" t="n">
        <f aca="false">SUM(B66:M66)</f>
        <v>-1591304</v>
      </c>
      <c r="O66" s="860"/>
      <c r="P66" s="863"/>
      <c r="Q66" s="863"/>
      <c r="R66" s="334" t="n">
        <f aca="false">N66-P66+Q66</f>
        <v>-1591304</v>
      </c>
    </row>
    <row r="67" customFormat="false" ht="15.75" hidden="false" customHeight="true" outlineLevel="0" collapsed="false">
      <c r="A67" s="832" t="s">
        <v>111</v>
      </c>
      <c r="B67" s="334" t="n">
        <v>-3421847</v>
      </c>
      <c r="C67" s="334" t="n">
        <v>0</v>
      </c>
      <c r="D67" s="334" t="n">
        <v>-54059</v>
      </c>
      <c r="E67" s="334"/>
      <c r="F67" s="843" t="n">
        <v>0</v>
      </c>
      <c r="G67" s="843" t="n">
        <v>0</v>
      </c>
      <c r="H67" s="843" t="n">
        <v>0</v>
      </c>
      <c r="I67" s="843" t="n">
        <v>0</v>
      </c>
      <c r="J67" s="843" t="n">
        <v>0</v>
      </c>
      <c r="K67" s="843" t="n">
        <v>0</v>
      </c>
      <c r="L67" s="843" t="n">
        <v>0</v>
      </c>
      <c r="M67" s="843" t="n">
        <v>0</v>
      </c>
      <c r="N67" s="844" t="n">
        <f aca="false">SUM(B67:M67)</f>
        <v>-3475906</v>
      </c>
      <c r="O67" s="834"/>
      <c r="P67" s="843"/>
      <c r="Q67" s="859"/>
      <c r="R67" s="843" t="n">
        <f aca="false">N67-P67+Q67</f>
        <v>-3475906</v>
      </c>
    </row>
    <row r="68" customFormat="false" ht="12.75" hidden="false" customHeight="false" outlineLevel="0" collapsed="false">
      <c r="A68" s="832" t="s">
        <v>112</v>
      </c>
      <c r="B68" s="841" t="n">
        <f aca="false">+B64+B66+B67</f>
        <v>5595545</v>
      </c>
      <c r="C68" s="841" t="n">
        <f aca="false">+C64+C66+C67</f>
        <v>-1077724</v>
      </c>
      <c r="D68" s="841" t="n">
        <f aca="false">+D64+D66+D67</f>
        <v>19337</v>
      </c>
      <c r="E68" s="841" t="n">
        <f aca="false">+E64+E66+E67</f>
        <v>-15891</v>
      </c>
      <c r="F68" s="865" t="n">
        <f aca="false">+F64+F66+F67</f>
        <v>-493384</v>
      </c>
      <c r="G68" s="865" t="n">
        <f aca="false">+G64+G66+G67</f>
        <v>-13474</v>
      </c>
      <c r="H68" s="865" t="n">
        <f aca="false">+H64+H67</f>
        <v>0</v>
      </c>
      <c r="I68" s="865" t="n">
        <f aca="false">+I64+I67</f>
        <v>0</v>
      </c>
      <c r="J68" s="865" t="n">
        <f aca="false">+J64+J67</f>
        <v>0</v>
      </c>
      <c r="K68" s="865" t="n">
        <f aca="false">+K64+K66+K67</f>
        <v>-344143</v>
      </c>
      <c r="L68" s="865" t="n">
        <f aca="false">+L64+L66+L67</f>
        <v>-502401</v>
      </c>
      <c r="M68" s="865" t="n">
        <f aca="false">+M64+M66+M67</f>
        <v>-395559</v>
      </c>
      <c r="N68" s="865" t="n">
        <f aca="false">+N64+N66+N67</f>
        <v>2772306</v>
      </c>
      <c r="O68" s="834"/>
      <c r="P68" s="865" t="e">
        <f aca="false">+P64+P66+P67</f>
        <v>#REF!</v>
      </c>
      <c r="Q68" s="865" t="e">
        <f aca="false">+Q64+Q66+Q67</f>
        <v>#REF!</v>
      </c>
      <c r="R68" s="865" t="e">
        <f aca="false">+R64+R66+R67</f>
        <v>#REF!</v>
      </c>
    </row>
    <row r="69" customFormat="false" ht="12.75" hidden="false" customHeight="false" outlineLevel="0" collapsed="false">
      <c r="A69" s="832"/>
      <c r="B69" s="841"/>
      <c r="C69" s="841"/>
      <c r="D69" s="841"/>
      <c r="E69" s="841"/>
      <c r="F69" s="841"/>
      <c r="G69" s="841"/>
      <c r="H69" s="841"/>
      <c r="I69" s="841"/>
      <c r="J69" s="841"/>
      <c r="K69" s="841"/>
      <c r="L69" s="841"/>
      <c r="M69" s="841"/>
      <c r="N69" s="841"/>
      <c r="O69" s="834"/>
      <c r="P69" s="841"/>
      <c r="Q69" s="841"/>
      <c r="R69" s="841"/>
    </row>
    <row r="70" customFormat="false" ht="12.75" hidden="false" customHeight="false" outlineLevel="0" collapsed="false">
      <c r="A70" s="832" t="s">
        <v>113</v>
      </c>
      <c r="B70" s="334" t="n">
        <f aca="false">ECP19!J29</f>
        <v>1849659</v>
      </c>
      <c r="C70" s="841"/>
      <c r="D70" s="841"/>
      <c r="E70" s="841"/>
      <c r="F70" s="841"/>
      <c r="G70" s="841"/>
      <c r="H70" s="841"/>
      <c r="I70" s="841"/>
      <c r="J70" s="841"/>
      <c r="K70" s="841"/>
      <c r="L70" s="841"/>
      <c r="M70" s="841"/>
      <c r="N70" s="833" t="n">
        <f aca="false">SUM(B70:M70)</f>
        <v>1849659</v>
      </c>
      <c r="O70" s="834"/>
      <c r="P70" s="841"/>
      <c r="Q70" s="841"/>
      <c r="R70" s="334" t="n">
        <f aca="false">N70-P70+Q70</f>
        <v>1849659</v>
      </c>
    </row>
    <row r="71" customFormat="false" ht="12.75" hidden="false" customHeight="false" outlineLevel="0" collapsed="false">
      <c r="A71" s="838" t="s">
        <v>98</v>
      </c>
      <c r="B71" s="839" t="n">
        <f aca="false">B68+B70</f>
        <v>7445204</v>
      </c>
      <c r="C71" s="839" t="n">
        <f aca="false">C68+C70</f>
        <v>-1077724</v>
      </c>
      <c r="D71" s="839" t="n">
        <f aca="false">D68+D70</f>
        <v>19337</v>
      </c>
      <c r="E71" s="839" t="n">
        <f aca="false">E68+E70</f>
        <v>-15891</v>
      </c>
      <c r="F71" s="839" t="n">
        <f aca="false">F68+F70</f>
        <v>-493384</v>
      </c>
      <c r="G71" s="839" t="n">
        <f aca="false">G68+G70</f>
        <v>-13474</v>
      </c>
      <c r="H71" s="839" t="n">
        <f aca="false">H68+H70</f>
        <v>0</v>
      </c>
      <c r="I71" s="839" t="n">
        <f aca="false">I68+I70</f>
        <v>0</v>
      </c>
      <c r="J71" s="839" t="n">
        <f aca="false">J68+J70</f>
        <v>0</v>
      </c>
      <c r="K71" s="839" t="n">
        <f aca="false">K68+K70</f>
        <v>-344143</v>
      </c>
      <c r="L71" s="839" t="n">
        <f aca="false">L68+L70</f>
        <v>-502401</v>
      </c>
      <c r="M71" s="839" t="n">
        <f aca="false">M68+M70</f>
        <v>-395559</v>
      </c>
      <c r="N71" s="839" t="n">
        <f aca="false">N68+N70</f>
        <v>4621965</v>
      </c>
      <c r="O71" s="840"/>
      <c r="P71" s="839" t="e">
        <f aca="false">P68+P70</f>
        <v>#REF!</v>
      </c>
      <c r="Q71" s="839" t="e">
        <f aca="false">Q68+Q70</f>
        <v>#REF!</v>
      </c>
      <c r="R71" s="839" t="e">
        <f aca="false">R68+R70</f>
        <v>#REF!</v>
      </c>
    </row>
    <row r="72" customFormat="false" ht="12.75" hidden="false" customHeight="false" outlineLevel="0" collapsed="false">
      <c r="A72" s="848"/>
      <c r="B72" s="866"/>
      <c r="C72" s="866"/>
      <c r="D72" s="866"/>
      <c r="E72" s="867"/>
      <c r="F72" s="866"/>
      <c r="G72" s="866"/>
      <c r="H72" s="866"/>
      <c r="I72" s="866"/>
      <c r="J72" s="866"/>
      <c r="K72" s="866"/>
      <c r="L72" s="866"/>
      <c r="M72" s="866"/>
      <c r="N72" s="866"/>
      <c r="O72" s="868"/>
      <c r="P72" s="866"/>
      <c r="Q72" s="866"/>
      <c r="R72" s="866"/>
    </row>
    <row r="73" customFormat="false" ht="21.75" hidden="false" customHeight="true" outlineLevel="0" collapsed="false">
      <c r="A73" s="869"/>
      <c r="B73" s="825"/>
    </row>
    <row r="74" customFormat="false" ht="21.75" hidden="false" customHeight="true" outlineLevel="0" collapsed="false">
      <c r="A74" s="870"/>
      <c r="B74" s="871" t="n">
        <f aca="false">+B51+B42-B23</f>
        <v>0</v>
      </c>
      <c r="C74" s="871" t="n">
        <f aca="false">+C51+C42-C23</f>
        <v>0</v>
      </c>
      <c r="D74" s="871" t="n">
        <f aca="false">+D51+D42-D23</f>
        <v>0</v>
      </c>
      <c r="E74" s="871" t="n">
        <f aca="false">+E51+E42-E23</f>
        <v>0</v>
      </c>
      <c r="F74" s="871" t="n">
        <f aca="false">+F51+F42-F23</f>
        <v>0</v>
      </c>
      <c r="G74" s="871" t="n">
        <f aca="false">+G51+G42-G23</f>
        <v>0</v>
      </c>
      <c r="H74" s="871" t="n">
        <f aca="false">+H51+H42-H23</f>
        <v>0</v>
      </c>
      <c r="I74" s="871" t="n">
        <f aca="false">+I51+I42-I23</f>
        <v>0</v>
      </c>
      <c r="J74" s="871" t="n">
        <f aca="false">+J51+J42-J23</f>
        <v>0</v>
      </c>
      <c r="K74" s="871" t="n">
        <f aca="false">+K51+K42-K23</f>
        <v>0</v>
      </c>
      <c r="L74" s="871" t="n">
        <f aca="false">+L51+L42-L23</f>
        <v>0</v>
      </c>
      <c r="M74" s="871" t="n">
        <f aca="false">+M51+M42-M23</f>
        <v>0</v>
      </c>
      <c r="N74" s="871" t="n">
        <f aca="false">+N51+N42-N23</f>
        <v>0</v>
      </c>
      <c r="P74" s="825" t="e">
        <f aca="false">SUM(P5:P73)</f>
        <v>#REF!</v>
      </c>
      <c r="Q74" s="825" t="e">
        <f aca="false">SUM(Q5:Q73)</f>
        <v>#REF!</v>
      </c>
      <c r="R74" s="871" t="e">
        <f aca="false">+R51+R42-R23</f>
        <v>#REF!</v>
      </c>
    </row>
    <row r="75" customFormat="false" ht="12.75" hidden="false" customHeight="false" outlineLevel="0" collapsed="false">
      <c r="B75" s="825"/>
      <c r="C75" s="825"/>
      <c r="D75" s="825"/>
      <c r="E75" s="825"/>
      <c r="F75" s="825"/>
      <c r="G75" s="825"/>
      <c r="H75" s="825"/>
      <c r="I75" s="825"/>
      <c r="J75" s="825"/>
      <c r="K75" s="825"/>
      <c r="L75" s="825"/>
      <c r="M75" s="825"/>
      <c r="Q75" s="825"/>
      <c r="T75" s="825"/>
    </row>
    <row r="76" customFormat="false" ht="12.75" hidden="false" customHeight="false" outlineLevel="0" collapsed="false">
      <c r="A76" s="872" t="s">
        <v>115</v>
      </c>
      <c r="B76" s="827" t="n">
        <f aca="false">+B71*100%</f>
        <v>7445204</v>
      </c>
      <c r="C76" s="827" t="n">
        <f aca="false">+C71*'Variación Patrimonio 2017-2016'!L4</f>
        <v>-808508.5448</v>
      </c>
      <c r="D76" s="827" t="n">
        <f aca="false">+D71*'Variación Patrimonio 2017-2016'!L21</f>
        <v>19336.1250226244</v>
      </c>
      <c r="E76" s="825" t="n">
        <f aca="false">+E71*'Variación Patrimonio 2017-2016'!L40</f>
        <v>-10805.88</v>
      </c>
      <c r="F76" s="825" t="n">
        <f aca="false">+F71*'Variación Patrimonio 2017-2016'!L56</f>
        <v>-246692</v>
      </c>
      <c r="G76" s="825" t="n">
        <f aca="false">+G71*'Variación Patrimonio 2017-2016'!L74</f>
        <v>-10105.5</v>
      </c>
      <c r="H76" s="827" t="n">
        <v>0</v>
      </c>
      <c r="I76" s="827" t="n">
        <v>0</v>
      </c>
      <c r="J76" s="827" t="n">
        <v>0</v>
      </c>
      <c r="K76" s="827" t="n">
        <f aca="false">+K71*'Variación Patrimonio 2017-2016'!L143</f>
        <v>-318332.275</v>
      </c>
      <c r="L76" s="827" t="n">
        <f aca="false">+L71*'Variación Patrimonio 2017-2016'!L160</f>
        <v>-492352.98</v>
      </c>
      <c r="M76" s="827" t="n">
        <f aca="false">+M71*'Variación Patrimonio 2017-2016'!L185</f>
        <v>-395559</v>
      </c>
      <c r="N76" s="873" t="n">
        <f aca="false">SUM(B76:M76)</f>
        <v>5182183.94522262</v>
      </c>
      <c r="P76" s="825" t="e">
        <f aca="false">+P60+P55</f>
        <v>#REF!</v>
      </c>
      <c r="Q76" s="873" t="e">
        <f aca="false">Q56+Q60+Q59</f>
        <v>#REF!</v>
      </c>
      <c r="R76" s="873" t="e">
        <f aca="false">+N76-P76+Q76</f>
        <v>#REF!</v>
      </c>
      <c r="S76" s="874"/>
    </row>
    <row r="77" customFormat="false" ht="12.75" hidden="false" customHeight="false" outlineLevel="0" collapsed="false">
      <c r="A77" s="872" t="s">
        <v>117</v>
      </c>
      <c r="B77" s="827" t="n">
        <f aca="false">+B71-B76</f>
        <v>0</v>
      </c>
      <c r="C77" s="847" t="n">
        <f aca="false">+C71-C76</f>
        <v>-269215.4552</v>
      </c>
      <c r="D77" s="847" t="n">
        <f aca="false">+D71-D76</f>
        <v>0.874977375558956</v>
      </c>
      <c r="E77" s="827" t="n">
        <f aca="false">+E71-E76</f>
        <v>-5085.12</v>
      </c>
      <c r="F77" s="827" t="n">
        <f aca="false">+F71-F76</f>
        <v>-246692</v>
      </c>
      <c r="G77" s="827" t="n">
        <f aca="false">+G71-G76</f>
        <v>-3368.5</v>
      </c>
      <c r="H77" s="827" t="n">
        <f aca="false">+H71-H76</f>
        <v>0</v>
      </c>
      <c r="I77" s="827" t="n">
        <f aca="false">+I71-I76</f>
        <v>0</v>
      </c>
      <c r="J77" s="827" t="n">
        <f aca="false">+J71-J76</f>
        <v>0</v>
      </c>
      <c r="K77" s="847" t="n">
        <f aca="false">+K71-K76</f>
        <v>-25810.725</v>
      </c>
      <c r="L77" s="847" t="n">
        <f aca="false">+L71-L76</f>
        <v>-10048.02</v>
      </c>
      <c r="M77" s="827" t="n">
        <f aca="false">+M71-M76</f>
        <v>0</v>
      </c>
      <c r="N77" s="873" t="n">
        <f aca="false">SUM(B77:M77)</f>
        <v>-560218.945222624</v>
      </c>
      <c r="Q77" s="873"/>
      <c r="R77" s="873" t="n">
        <f aca="false">+N77-P77+Q77</f>
        <v>-560218.945222624</v>
      </c>
      <c r="U77" s="827"/>
      <c r="V77" s="873"/>
    </row>
    <row r="78" customFormat="false" ht="12.75" hidden="false" customHeight="false" outlineLevel="0" collapsed="false">
      <c r="C78" s="874" t="n">
        <f aca="false">+C76+C77</f>
        <v>-1077724</v>
      </c>
      <c r="D78" s="874" t="n">
        <f aca="false">+D76+D77</f>
        <v>19337</v>
      </c>
      <c r="E78" s="874" t="n">
        <f aca="false">+E76+E77</f>
        <v>-15891</v>
      </c>
      <c r="F78" s="874" t="n">
        <f aca="false">+F76+F77</f>
        <v>-493384</v>
      </c>
      <c r="G78" s="874" t="n">
        <f aca="false">+G76+G77</f>
        <v>-13474</v>
      </c>
      <c r="K78" s="874" t="n">
        <f aca="false">+K76+K77</f>
        <v>-344143</v>
      </c>
      <c r="L78" s="874" t="n">
        <f aca="false">+L76+L77</f>
        <v>-502401</v>
      </c>
      <c r="M78" s="874" t="n">
        <f aca="false">+M76+M77</f>
        <v>-395559</v>
      </c>
    </row>
    <row r="80" customFormat="false" ht="12.75" hidden="false" customHeight="false" outlineLevel="0" collapsed="false">
      <c r="Q80" s="847" t="e">
        <f aca="false">'Diario 2015 (a)'!F15</f>
        <v>#REF!</v>
      </c>
    </row>
  </sheetData>
  <mergeCells count="1">
    <mergeCell ref="P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15968"/>
    <pageSetUpPr fitToPage="true"/>
  </sheetPr>
  <dimension ref="A1:AI4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J18" activeCellId="0" sqref="J18"/>
    </sheetView>
  </sheetViews>
  <sheetFormatPr defaultColWidth="11.43359375" defaultRowHeight="9.75" zeroHeight="false" outlineLevelRow="0" outlineLevelCol="0"/>
  <cols>
    <col collapsed="false" customWidth="true" hidden="false" outlineLevel="0" max="1" min="1" style="362" width="27.99"/>
    <col collapsed="false" customWidth="true" hidden="false" outlineLevel="0" max="2" min="2" style="362" width="1.71"/>
    <col collapsed="false" customWidth="true" hidden="false" outlineLevel="0" max="3" min="3" style="362" width="10.99"/>
    <col collapsed="false" customWidth="true" hidden="false" outlineLevel="0" max="4" min="4" style="362" width="1.71"/>
    <col collapsed="false" customWidth="true" hidden="false" outlineLevel="0" max="5" min="5" style="362" width="10.99"/>
    <col collapsed="false" customWidth="true" hidden="false" outlineLevel="0" max="6" min="6" style="362" width="1.71"/>
    <col collapsed="false" customWidth="true" hidden="false" outlineLevel="0" max="7" min="7" style="362" width="13.29"/>
    <col collapsed="false" customWidth="true" hidden="false" outlineLevel="0" max="8" min="8" style="362" width="1.71"/>
    <col collapsed="false" customWidth="true" hidden="false" outlineLevel="0" max="9" min="9" style="362" width="9.29"/>
    <col collapsed="false" customWidth="true" hidden="false" outlineLevel="0" max="10" min="10" style="362" width="1.71"/>
    <col collapsed="false" customWidth="true" hidden="false" outlineLevel="0" max="11" min="11" style="362" width="9.13"/>
    <col collapsed="false" customWidth="true" hidden="false" outlineLevel="0" max="12" min="12" style="362" width="1.71"/>
    <col collapsed="false" customWidth="true" hidden="false" outlineLevel="0" max="13" min="13" style="362" width="8.57"/>
    <col collapsed="false" customWidth="true" hidden="false" outlineLevel="0" max="14" min="14" style="362" width="1.71"/>
    <col collapsed="false" customWidth="false" hidden="false" outlineLevel="0" max="15" min="15" style="362" width="11.42"/>
    <col collapsed="false" customWidth="true" hidden="false" outlineLevel="0" max="16" min="16" style="362" width="1.71"/>
    <col collapsed="false" customWidth="true" hidden="false" outlineLevel="0" max="17" min="17" style="362" width="12.42"/>
    <col collapsed="false" customWidth="true" hidden="false" outlineLevel="0" max="18" min="18" style="362" width="1.71"/>
    <col collapsed="false" customWidth="true" hidden="false" outlineLevel="0" max="19" min="19" style="362" width="12.42"/>
    <col collapsed="false" customWidth="true" hidden="false" outlineLevel="0" max="20" min="20" style="362" width="1.71"/>
    <col collapsed="false" customWidth="true" hidden="false" outlineLevel="0" max="21" min="21" style="362" width="10"/>
    <col collapsed="false" customWidth="true" hidden="false" outlineLevel="0" max="22" min="22" style="362" width="1.71"/>
    <col collapsed="false" customWidth="true" hidden="false" outlineLevel="0" max="23" min="23" style="362" width="10.58"/>
    <col collapsed="false" customWidth="true" hidden="false" outlineLevel="0" max="24" min="24" style="362" width="1.71"/>
    <col collapsed="false" customWidth="true" hidden="false" outlineLevel="0" max="25" min="25" style="362" width="8.86"/>
    <col collapsed="false" customWidth="true" hidden="false" outlineLevel="0" max="26" min="26" style="362" width="1.71"/>
    <col collapsed="false" customWidth="true" hidden="false" outlineLevel="0" max="27" min="27" style="362" width="11.99"/>
    <col collapsed="false" customWidth="true" hidden="false" outlineLevel="0" max="28" min="28" style="362" width="1.71"/>
    <col collapsed="false" customWidth="true" hidden="false" outlineLevel="0" max="29" min="29" style="362" width="11.57"/>
    <col collapsed="false" customWidth="true" hidden="false" outlineLevel="0" max="30" min="30" style="362" width="1.71"/>
    <col collapsed="false" customWidth="true" hidden="false" outlineLevel="0" max="31" min="31" style="362" width="11.57"/>
    <col collapsed="false" customWidth="true" hidden="false" outlineLevel="0" max="32" min="32" style="362" width="1.71"/>
    <col collapsed="false" customWidth="true" hidden="false" outlineLevel="0" max="33" min="33" style="363" width="11.99"/>
    <col collapsed="false" customWidth="false" hidden="false" outlineLevel="0" max="1024" min="34" style="362" width="11.42"/>
  </cols>
  <sheetData>
    <row r="1" s="364" customFormat="true" ht="19.5" hidden="false" customHeight="false" outlineLevel="0" collapsed="false">
      <c r="C1" s="364" t="s">
        <v>212</v>
      </c>
      <c r="E1" s="364" t="s">
        <v>430</v>
      </c>
      <c r="G1" s="364" t="s">
        <v>431</v>
      </c>
      <c r="I1" s="364" t="s">
        <v>280</v>
      </c>
      <c r="K1" s="364" t="s">
        <v>281</v>
      </c>
      <c r="M1" s="364" t="s">
        <v>432</v>
      </c>
      <c r="O1" s="364" t="s">
        <v>282</v>
      </c>
      <c r="Q1" s="364" t="s">
        <v>433</v>
      </c>
      <c r="S1" s="364" t="s">
        <v>434</v>
      </c>
      <c r="U1" s="364" t="s">
        <v>245</v>
      </c>
      <c r="W1" s="364" t="s">
        <v>247</v>
      </c>
      <c r="Y1" s="364" t="s">
        <v>32</v>
      </c>
      <c r="AA1" s="364" t="s">
        <v>259</v>
      </c>
      <c r="AC1" s="364" t="s">
        <v>200</v>
      </c>
      <c r="AE1" s="364" t="s">
        <v>201</v>
      </c>
      <c r="AG1" s="364" t="s">
        <v>259</v>
      </c>
    </row>
    <row r="3" customFormat="false" ht="9.75" hidden="false" customHeight="false" outlineLevel="0" collapsed="false">
      <c r="A3" s="365" t="s">
        <v>172</v>
      </c>
      <c r="B3" s="365"/>
      <c r="C3" s="366" t="n">
        <v>30006697</v>
      </c>
      <c r="D3" s="367"/>
      <c r="E3" s="366" t="n">
        <v>5000</v>
      </c>
      <c r="F3" s="367"/>
      <c r="G3" s="366" t="n">
        <v>1105000</v>
      </c>
      <c r="H3" s="367"/>
      <c r="I3" s="366" t="n">
        <v>10000</v>
      </c>
      <c r="J3" s="367"/>
      <c r="K3" s="366" t="n">
        <v>1000</v>
      </c>
      <c r="L3" s="367"/>
      <c r="M3" s="366" t="n">
        <v>1000</v>
      </c>
      <c r="N3" s="367"/>
      <c r="O3" s="366" t="n">
        <v>5000</v>
      </c>
      <c r="P3" s="367"/>
      <c r="Q3" s="366" t="n">
        <v>10000</v>
      </c>
      <c r="R3" s="367"/>
      <c r="S3" s="366" t="n">
        <v>800</v>
      </c>
      <c r="T3" s="367"/>
      <c r="U3" s="366" t="n">
        <v>800</v>
      </c>
      <c r="V3" s="368"/>
      <c r="W3" s="366" t="n">
        <v>3661400</v>
      </c>
      <c r="X3" s="368"/>
      <c r="Y3" s="366" t="n">
        <v>10000</v>
      </c>
      <c r="Z3" s="367"/>
      <c r="AA3" s="367" t="n">
        <f aca="false">+SUM(C3:Y3)</f>
        <v>34816697</v>
      </c>
      <c r="AB3" s="367"/>
      <c r="AC3" s="367" t="n">
        <f aca="false">-1104950-800-6800-500-750-4640-740-3751-6000-3624786-10000</f>
        <v>-4763717</v>
      </c>
      <c r="AD3" s="367"/>
      <c r="AE3" s="367"/>
      <c r="AF3" s="367"/>
      <c r="AG3" s="369" t="n">
        <f aca="false">+AA3+AC3+AE3</f>
        <v>30052980</v>
      </c>
      <c r="AI3" s="370"/>
    </row>
    <row r="4" customFormat="false" ht="9.75" hidden="false" customHeight="false" outlineLevel="0" collapsed="false">
      <c r="A4" s="365" t="s">
        <v>435</v>
      </c>
      <c r="B4" s="365"/>
      <c r="C4" s="367" t="n">
        <v>920</v>
      </c>
      <c r="D4" s="367"/>
      <c r="E4" s="367" t="n">
        <v>42340052</v>
      </c>
      <c r="F4" s="367"/>
      <c r="G4" s="367" t="n">
        <v>877313</v>
      </c>
      <c r="H4" s="367"/>
      <c r="I4" s="367" t="n">
        <v>0</v>
      </c>
      <c r="J4" s="367"/>
      <c r="K4" s="367" t="n">
        <v>49015</v>
      </c>
      <c r="L4" s="367"/>
      <c r="M4" s="367" t="n">
        <v>330450</v>
      </c>
      <c r="N4" s="367"/>
      <c r="O4" s="367" t="n">
        <v>0</v>
      </c>
      <c r="P4" s="367"/>
      <c r="Q4" s="367" t="n">
        <v>0</v>
      </c>
      <c r="R4" s="367"/>
      <c r="S4" s="367" t="n">
        <v>0</v>
      </c>
      <c r="T4" s="367"/>
      <c r="U4" s="367" t="n">
        <v>1833417</v>
      </c>
      <c r="V4" s="368"/>
      <c r="W4" s="367" t="n">
        <v>406800</v>
      </c>
      <c r="X4" s="368"/>
      <c r="Y4" s="367" t="n">
        <v>0</v>
      </c>
      <c r="Z4" s="367"/>
      <c r="AA4" s="367" t="n">
        <f aca="false">+SUM(C4:Y4)</f>
        <v>45837967</v>
      </c>
      <c r="AB4" s="367"/>
      <c r="AC4" s="367" t="n">
        <f aca="false">-877313-49015-330450-1833417-31546825-292500</f>
        <v>-34929520</v>
      </c>
      <c r="AD4" s="367"/>
      <c r="AE4" s="367"/>
      <c r="AF4" s="367"/>
      <c r="AG4" s="369" t="n">
        <f aca="false">+AA4+AC4+AE4</f>
        <v>10908447</v>
      </c>
    </row>
    <row r="5" customFormat="false" ht="9.75" hidden="false" customHeight="false" outlineLevel="0" collapsed="false">
      <c r="A5" s="365" t="s">
        <v>90</v>
      </c>
      <c r="B5" s="371"/>
      <c r="C5" s="367" t="n">
        <v>4662954</v>
      </c>
      <c r="D5" s="367"/>
      <c r="E5" s="367" t="n">
        <v>0</v>
      </c>
      <c r="F5" s="367"/>
      <c r="G5" s="367" t="n">
        <v>0</v>
      </c>
      <c r="H5" s="367"/>
      <c r="I5" s="367" t="n">
        <v>0</v>
      </c>
      <c r="J5" s="367"/>
      <c r="K5" s="367" t="n">
        <v>500</v>
      </c>
      <c r="L5" s="367"/>
      <c r="M5" s="367" t="n">
        <v>0</v>
      </c>
      <c r="N5" s="367"/>
      <c r="O5" s="367" t="n">
        <v>0</v>
      </c>
      <c r="P5" s="367"/>
      <c r="Q5" s="367" t="n">
        <v>0</v>
      </c>
      <c r="R5" s="367"/>
      <c r="S5" s="367" t="n">
        <v>340</v>
      </c>
      <c r="T5" s="367"/>
      <c r="U5" s="367" t="n">
        <v>0</v>
      </c>
      <c r="V5" s="368"/>
      <c r="W5" s="367" t="n">
        <v>0</v>
      </c>
      <c r="X5" s="368"/>
      <c r="Y5" s="367" t="n">
        <v>0</v>
      </c>
      <c r="Z5" s="367"/>
      <c r="AA5" s="367" t="n">
        <f aca="false">+SUM(C5:Y5)</f>
        <v>4663794</v>
      </c>
      <c r="AB5" s="367"/>
      <c r="AC5" s="367" t="n">
        <f aca="false">-500-340</f>
        <v>-840</v>
      </c>
      <c r="AD5" s="367"/>
      <c r="AE5" s="367"/>
      <c r="AF5" s="367"/>
      <c r="AG5" s="369" t="n">
        <f aca="false">+AA5+AC5+AE5</f>
        <v>4662954</v>
      </c>
    </row>
    <row r="6" customFormat="false" ht="9.75" hidden="false" customHeight="false" outlineLevel="0" collapsed="false">
      <c r="A6" s="365" t="s">
        <v>91</v>
      </c>
      <c r="B6" s="371"/>
      <c r="C6" s="367" t="n">
        <v>34797</v>
      </c>
      <c r="D6" s="367"/>
      <c r="E6" s="367" t="n">
        <v>0</v>
      </c>
      <c r="F6" s="367"/>
      <c r="G6" s="367" t="n">
        <v>0</v>
      </c>
      <c r="H6" s="367"/>
      <c r="I6" s="367" t="n">
        <v>0</v>
      </c>
      <c r="J6" s="367"/>
      <c r="K6" s="367" t="n">
        <v>0</v>
      </c>
      <c r="L6" s="367"/>
      <c r="M6" s="367" t="n">
        <v>0</v>
      </c>
      <c r="N6" s="367"/>
      <c r="O6" s="367" t="n">
        <v>0</v>
      </c>
      <c r="P6" s="367"/>
      <c r="Q6" s="367" t="n">
        <v>0</v>
      </c>
      <c r="R6" s="367"/>
      <c r="S6" s="367" t="n">
        <v>0</v>
      </c>
      <c r="T6" s="367"/>
      <c r="U6" s="367" t="n">
        <v>0</v>
      </c>
      <c r="V6" s="368"/>
      <c r="W6" s="367" t="n">
        <v>0</v>
      </c>
      <c r="X6" s="368"/>
      <c r="Y6" s="367" t="n">
        <v>0</v>
      </c>
      <c r="Z6" s="367"/>
      <c r="AA6" s="367" t="n">
        <f aca="false">+SUM(C6:Y6)</f>
        <v>34797</v>
      </c>
      <c r="AB6" s="367"/>
      <c r="AC6" s="367" t="n">
        <v>0</v>
      </c>
      <c r="AD6" s="367"/>
      <c r="AE6" s="367"/>
      <c r="AF6" s="367"/>
      <c r="AG6" s="369" t="n">
        <f aca="false">+AA6+AC6+AE6</f>
        <v>34797</v>
      </c>
    </row>
    <row r="7" customFormat="false" ht="9.75" hidden="false" customHeight="false" outlineLevel="0" collapsed="false">
      <c r="A7" s="365" t="s">
        <v>437</v>
      </c>
      <c r="B7" s="371"/>
      <c r="C7" s="367" t="n">
        <v>1353857</v>
      </c>
      <c r="D7" s="367"/>
      <c r="E7" s="367" t="n">
        <v>0</v>
      </c>
      <c r="F7" s="367"/>
      <c r="G7" s="367" t="n">
        <v>0</v>
      </c>
      <c r="H7" s="367"/>
      <c r="I7" s="367" t="n">
        <v>0</v>
      </c>
      <c r="J7" s="367"/>
      <c r="K7" s="367" t="n">
        <v>0</v>
      </c>
      <c r="L7" s="367"/>
      <c r="M7" s="367" t="n">
        <v>0</v>
      </c>
      <c r="N7" s="367"/>
      <c r="O7" s="367" t="n">
        <v>0</v>
      </c>
      <c r="P7" s="367"/>
      <c r="Q7" s="367" t="n">
        <v>0</v>
      </c>
      <c r="R7" s="367"/>
      <c r="S7" s="367" t="n">
        <v>0</v>
      </c>
      <c r="T7" s="367"/>
      <c r="U7" s="367" t="n">
        <v>0</v>
      </c>
      <c r="V7" s="368"/>
      <c r="W7" s="367" t="n">
        <v>0</v>
      </c>
      <c r="X7" s="368"/>
      <c r="Y7" s="367" t="n">
        <v>0</v>
      </c>
      <c r="Z7" s="367"/>
      <c r="AA7" s="367" t="n">
        <f aca="false">+SUM(C7:Y7)</f>
        <v>1353857</v>
      </c>
      <c r="AB7" s="367"/>
      <c r="AC7" s="367" t="n">
        <v>0</v>
      </c>
      <c r="AD7" s="367"/>
      <c r="AE7" s="367"/>
      <c r="AF7" s="367"/>
      <c r="AG7" s="369" t="n">
        <f aca="false">+AA7+AC7+AE7</f>
        <v>1353857</v>
      </c>
    </row>
    <row r="8" customFormat="false" ht="9.75" hidden="false" customHeight="false" outlineLevel="0" collapsed="false">
      <c r="A8" s="365" t="s">
        <v>436</v>
      </c>
      <c r="B8" s="371"/>
      <c r="C8" s="367" t="n">
        <v>227072</v>
      </c>
      <c r="D8" s="367"/>
      <c r="E8" s="367" t="n">
        <v>0</v>
      </c>
      <c r="F8" s="367"/>
      <c r="G8" s="367" t="n">
        <v>0</v>
      </c>
      <c r="H8" s="367"/>
      <c r="I8" s="367" t="n">
        <v>74426</v>
      </c>
      <c r="J8" s="367"/>
      <c r="K8" s="367" t="n">
        <v>0</v>
      </c>
      <c r="L8" s="367"/>
      <c r="M8" s="367" t="n">
        <v>109633</v>
      </c>
      <c r="N8" s="367"/>
      <c r="O8" s="367" t="n">
        <v>1226</v>
      </c>
      <c r="P8" s="367"/>
      <c r="Q8" s="367" t="n">
        <v>0</v>
      </c>
      <c r="R8" s="367"/>
      <c r="S8" s="367" t="n">
        <v>0</v>
      </c>
      <c r="T8" s="367"/>
      <c r="U8" s="367" t="n">
        <v>0</v>
      </c>
      <c r="V8" s="368"/>
      <c r="W8" s="367" t="n">
        <v>0</v>
      </c>
      <c r="X8" s="368"/>
      <c r="Y8" s="367" t="n">
        <v>0</v>
      </c>
      <c r="Z8" s="367"/>
      <c r="AA8" s="367" t="n">
        <f aca="false">+SUM(C8:Y8)</f>
        <v>412357</v>
      </c>
      <c r="AB8" s="367"/>
      <c r="AC8" s="367" t="n">
        <f aca="false">-74426-109633-1226</f>
        <v>-185285</v>
      </c>
      <c r="AD8" s="367"/>
      <c r="AE8" s="367"/>
      <c r="AF8" s="367"/>
      <c r="AG8" s="369" t="n">
        <f aca="false">+AA8+AC8+AE8</f>
        <v>227072</v>
      </c>
    </row>
    <row r="9" customFormat="false" ht="9.75" hidden="false" customHeight="false" outlineLevel="0" collapsed="false">
      <c r="A9" s="365" t="s">
        <v>439</v>
      </c>
      <c r="B9" s="371"/>
      <c r="C9" s="367" t="n">
        <v>-3202431</v>
      </c>
      <c r="D9" s="367"/>
      <c r="E9" s="367" t="n">
        <v>0</v>
      </c>
      <c r="F9" s="367"/>
      <c r="G9" s="367" t="n">
        <v>0</v>
      </c>
      <c r="H9" s="367"/>
      <c r="I9" s="367" t="n">
        <v>0</v>
      </c>
      <c r="J9" s="367"/>
      <c r="K9" s="367" t="n">
        <v>0</v>
      </c>
      <c r="L9" s="367"/>
      <c r="M9" s="367" t="n">
        <v>0</v>
      </c>
      <c r="N9" s="367"/>
      <c r="O9" s="367" t="n">
        <v>0</v>
      </c>
      <c r="P9" s="367"/>
      <c r="Q9" s="367" t="n">
        <v>0</v>
      </c>
      <c r="R9" s="367"/>
      <c r="S9" s="367" t="n">
        <v>0</v>
      </c>
      <c r="T9" s="367"/>
      <c r="U9" s="367" t="n">
        <v>0</v>
      </c>
      <c r="V9" s="368"/>
      <c r="W9" s="367" t="n">
        <v>-56932</v>
      </c>
      <c r="X9" s="368"/>
      <c r="Y9" s="367" t="n">
        <v>0</v>
      </c>
      <c r="Z9" s="367"/>
      <c r="AA9" s="367" t="n">
        <f aca="false">+SUM(C9:Y9)</f>
        <v>-3259363</v>
      </c>
      <c r="AB9" s="367"/>
      <c r="AC9" s="367" t="n">
        <v>0</v>
      </c>
      <c r="AD9" s="367"/>
      <c r="AE9" s="367" t="n">
        <v>56932</v>
      </c>
      <c r="AF9" s="367"/>
      <c r="AG9" s="369" t="n">
        <f aca="false">+AA9+AC9+AE9</f>
        <v>-3202431</v>
      </c>
    </row>
    <row r="10" customFormat="false" ht="9.75" hidden="false" customHeight="false" outlineLevel="0" collapsed="false">
      <c r="A10" s="365" t="s">
        <v>861</v>
      </c>
      <c r="B10" s="371"/>
      <c r="C10" s="367" t="n">
        <v>0</v>
      </c>
      <c r="D10" s="367"/>
      <c r="E10" s="367" t="n">
        <v>0</v>
      </c>
      <c r="F10" s="367"/>
      <c r="G10" s="367" t="n">
        <v>0</v>
      </c>
      <c r="H10" s="367"/>
      <c r="I10" s="367" t="n">
        <v>0</v>
      </c>
      <c r="J10" s="367"/>
      <c r="K10" s="367" t="n">
        <v>0</v>
      </c>
      <c r="L10" s="367"/>
      <c r="M10" s="367" t="n">
        <v>0</v>
      </c>
      <c r="N10" s="367"/>
      <c r="O10" s="367" t="n">
        <v>0</v>
      </c>
      <c r="P10" s="367"/>
      <c r="Q10" s="367" t="n">
        <v>0</v>
      </c>
      <c r="R10" s="367"/>
      <c r="S10" s="367" t="n">
        <v>0</v>
      </c>
      <c r="T10" s="367"/>
      <c r="U10" s="367" t="n">
        <v>0</v>
      </c>
      <c r="V10" s="368"/>
      <c r="W10" s="367" t="n">
        <v>274690</v>
      </c>
      <c r="X10" s="368"/>
      <c r="Y10" s="367" t="n">
        <v>0</v>
      </c>
      <c r="Z10" s="367"/>
      <c r="AA10" s="367" t="n">
        <f aca="false">+SUM(C10:Y10)</f>
        <v>274690</v>
      </c>
      <c r="AB10" s="367"/>
      <c r="AC10" s="367" t="n">
        <v>-274690</v>
      </c>
      <c r="AD10" s="367"/>
      <c r="AE10" s="367"/>
      <c r="AF10" s="367"/>
      <c r="AG10" s="369" t="n">
        <f aca="false">+AA10+AC10+AE10</f>
        <v>0</v>
      </c>
    </row>
    <row r="11" customFormat="false" ht="9.75" hidden="false" customHeight="false" outlineLevel="0" collapsed="false">
      <c r="A11" s="365" t="s">
        <v>149</v>
      </c>
      <c r="B11" s="371"/>
      <c r="C11" s="367" t="n">
        <v>37757436</v>
      </c>
      <c r="D11" s="367"/>
      <c r="E11" s="367" t="n">
        <f aca="false">2254833-1077724</f>
        <v>1177109</v>
      </c>
      <c r="F11" s="367"/>
      <c r="G11" s="367" t="n">
        <f aca="false">-16938+19337+1</f>
        <v>2400</v>
      </c>
      <c r="H11" s="367"/>
      <c r="I11" s="367" t="n">
        <f aca="false">911628-15891</f>
        <v>895737</v>
      </c>
      <c r="J11" s="367"/>
      <c r="K11" s="367" t="n">
        <f aca="false">-488265-493384</f>
        <v>-981649</v>
      </c>
      <c r="L11" s="367"/>
      <c r="M11" s="367" t="n">
        <f aca="false">-53896-13474</f>
        <v>-67370</v>
      </c>
      <c r="N11" s="367"/>
      <c r="O11" s="367" t="n">
        <v>1763</v>
      </c>
      <c r="P11" s="367"/>
      <c r="Q11" s="367" t="n">
        <v>0</v>
      </c>
      <c r="R11" s="367"/>
      <c r="S11" s="367" t="n">
        <v>0</v>
      </c>
      <c r="T11" s="367"/>
      <c r="U11" s="367" t="n">
        <v>-359565</v>
      </c>
      <c r="V11" s="368"/>
      <c r="W11" s="367" t="n">
        <v>-4388927</v>
      </c>
      <c r="X11" s="368"/>
      <c r="Y11" s="367" t="n">
        <f aca="false">-(142959+401491)</f>
        <v>-544450</v>
      </c>
      <c r="Z11" s="367"/>
      <c r="AA11" s="367" t="n">
        <f aca="false">+SUM(C11:Y11)</f>
        <v>33492484</v>
      </c>
      <c r="AB11" s="367"/>
      <c r="AC11" s="367" t="n">
        <f aca="false">-862233-97825-21667-1763-822437-266632-224942</f>
        <v>-2297499</v>
      </c>
      <c r="AD11" s="367"/>
      <c r="AE11" s="367" t="n">
        <f aca="false">3491044+394445+42502+1160144+4556</f>
        <v>5092691</v>
      </c>
      <c r="AF11" s="367"/>
      <c r="AG11" s="369" t="n">
        <f aca="false">+AA11+AC11+AE11</f>
        <v>36287676</v>
      </c>
    </row>
    <row r="12" customFormat="false" ht="5.1" hidden="false" customHeight="true" outlineLevel="0" collapsed="false"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8"/>
      <c r="W12" s="367"/>
      <c r="X12" s="368"/>
      <c r="Y12" s="367"/>
      <c r="Z12" s="367"/>
      <c r="AA12" s="367"/>
      <c r="AB12" s="367"/>
      <c r="AC12" s="367"/>
      <c r="AD12" s="367"/>
      <c r="AE12" s="367"/>
      <c r="AF12" s="367"/>
      <c r="AG12" s="369"/>
    </row>
    <row r="13" customFormat="false" ht="10.5" hidden="false" customHeight="false" outlineLevel="0" collapsed="false">
      <c r="A13" s="362" t="s">
        <v>862</v>
      </c>
      <c r="C13" s="372" t="n">
        <f aca="false">+SUM(C3:C11)</f>
        <v>70841302</v>
      </c>
      <c r="D13" s="367"/>
      <c r="E13" s="372" t="n">
        <f aca="false">+SUM(E3:E11)</f>
        <v>43522161</v>
      </c>
      <c r="F13" s="367"/>
      <c r="G13" s="372" t="n">
        <f aca="false">+SUM(G3:G11)</f>
        <v>1984713</v>
      </c>
      <c r="H13" s="367"/>
      <c r="I13" s="372" t="n">
        <f aca="false">+SUM(I3:I11)</f>
        <v>980163</v>
      </c>
      <c r="J13" s="367"/>
      <c r="K13" s="372" t="n">
        <f aca="false">+SUM(K3:K11)</f>
        <v>-931134</v>
      </c>
      <c r="L13" s="367"/>
      <c r="M13" s="372" t="n">
        <f aca="false">+SUM(M3:M11)</f>
        <v>373713</v>
      </c>
      <c r="N13" s="367"/>
      <c r="O13" s="372" t="n">
        <f aca="false">+SUM(O3:O11)</f>
        <v>7989</v>
      </c>
      <c r="P13" s="367"/>
      <c r="Q13" s="372" t="n">
        <f aca="false">+SUM(Q3:Q11)</f>
        <v>10000</v>
      </c>
      <c r="R13" s="367"/>
      <c r="S13" s="372" t="n">
        <f aca="false">+SUM(S3:S11)</f>
        <v>1140</v>
      </c>
      <c r="T13" s="367"/>
      <c r="U13" s="372" t="n">
        <f aca="false">+SUM(U3:U11)</f>
        <v>1474652</v>
      </c>
      <c r="V13" s="368"/>
      <c r="W13" s="372" t="n">
        <f aca="false">+SUM(W3:W11)</f>
        <v>-102969</v>
      </c>
      <c r="X13" s="368"/>
      <c r="Y13" s="372" t="n">
        <f aca="false">+SUM(Y3:Y11)</f>
        <v>-534450</v>
      </c>
      <c r="Z13" s="367"/>
      <c r="AA13" s="372" t="n">
        <f aca="false">+SUM(AA3:AA11)</f>
        <v>117627280</v>
      </c>
      <c r="AB13" s="367"/>
      <c r="AC13" s="372" t="n">
        <f aca="false">+SUM(AC3:AC11)</f>
        <v>-42451551</v>
      </c>
      <c r="AD13" s="367"/>
      <c r="AE13" s="372" t="n">
        <f aca="false">+SUM(AE3:AE11)</f>
        <v>5149623</v>
      </c>
      <c r="AF13" s="367"/>
      <c r="AG13" s="373" t="n">
        <f aca="false">+SUM(AG3:AG11)</f>
        <v>80325352</v>
      </c>
    </row>
    <row r="14" customFormat="false" ht="5.1" hidden="false" customHeight="true" outlineLevel="0" collapsed="false"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367"/>
      <c r="O14" s="367"/>
      <c r="P14" s="367"/>
      <c r="Q14" s="367"/>
      <c r="R14" s="367"/>
      <c r="S14" s="367"/>
      <c r="T14" s="367"/>
      <c r="U14" s="367"/>
      <c r="V14" s="368"/>
      <c r="W14" s="367"/>
      <c r="X14" s="368"/>
      <c r="Y14" s="367"/>
      <c r="Z14" s="367"/>
      <c r="AA14" s="367"/>
      <c r="AB14" s="367"/>
      <c r="AC14" s="367"/>
      <c r="AD14" s="367"/>
      <c r="AE14" s="367"/>
      <c r="AF14" s="367"/>
      <c r="AG14" s="369"/>
    </row>
    <row r="15" customFormat="false" ht="5.1" hidden="false" customHeight="true" outlineLevel="0" collapsed="false">
      <c r="V15" s="374"/>
      <c r="X15" s="374"/>
      <c r="AC15" s="375"/>
      <c r="AE15" s="375"/>
    </row>
    <row r="16" s="376" customFormat="true" ht="9.75" hidden="false" customHeight="false" outlineLevel="0" collapsed="false">
      <c r="A16" s="376" t="s">
        <v>440</v>
      </c>
      <c r="C16" s="376" t="n">
        <v>1</v>
      </c>
      <c r="E16" s="376" t="n">
        <v>0.7502</v>
      </c>
      <c r="G16" s="376" t="n">
        <f aca="false">+(1104950/1105000)</f>
        <v>0.999954751131222</v>
      </c>
      <c r="I16" s="376" t="n">
        <f aca="false">+(0.68)*100%</f>
        <v>0.68</v>
      </c>
      <c r="K16" s="376" t="n">
        <v>0.5</v>
      </c>
      <c r="M16" s="376" t="n">
        <v>0.75</v>
      </c>
      <c r="O16" s="376" t="n">
        <f aca="false">+(0.928)*100%</f>
        <v>0.928</v>
      </c>
      <c r="Q16" s="376" t="n">
        <v>0.6</v>
      </c>
      <c r="S16" s="376" t="n">
        <f aca="false">+(799.96/800)*100%</f>
        <v>0.99995</v>
      </c>
      <c r="U16" s="376" t="n">
        <v>0.925</v>
      </c>
      <c r="V16" s="379"/>
      <c r="W16" s="376" t="n">
        <v>0.99</v>
      </c>
      <c r="X16" s="379"/>
      <c r="Y16" s="376" t="n">
        <v>1</v>
      </c>
      <c r="AE16" s="380"/>
      <c r="AG16" s="381"/>
    </row>
    <row r="17" customFormat="false" ht="5.1" hidden="false" customHeight="true" outlineLevel="0" collapsed="false">
      <c r="C17" s="375"/>
      <c r="E17" s="375"/>
      <c r="I17" s="375"/>
      <c r="K17" s="375"/>
      <c r="M17" s="375"/>
      <c r="O17" s="375"/>
      <c r="Q17" s="375"/>
      <c r="S17" s="375"/>
      <c r="U17" s="375"/>
      <c r="V17" s="374"/>
      <c r="W17" s="375"/>
      <c r="X17" s="374"/>
      <c r="Y17" s="375"/>
      <c r="AC17" s="375"/>
      <c r="AG17" s="382"/>
    </row>
    <row r="18" customFormat="false" ht="9.75" hidden="false" customHeight="false" outlineLevel="0" collapsed="false">
      <c r="A18" s="383" t="s">
        <v>441</v>
      </c>
      <c r="C18" s="375"/>
      <c r="E18" s="375"/>
      <c r="I18" s="375"/>
      <c r="K18" s="375"/>
      <c r="M18" s="375"/>
      <c r="O18" s="375"/>
      <c r="Q18" s="375"/>
      <c r="S18" s="375"/>
      <c r="U18" s="375"/>
      <c r="V18" s="374"/>
      <c r="W18" s="375"/>
      <c r="X18" s="374"/>
      <c r="Y18" s="375"/>
      <c r="AC18" s="375"/>
      <c r="AE18" s="375"/>
      <c r="AG18" s="382"/>
    </row>
    <row r="19" customFormat="false" ht="9.75" hidden="false" customHeight="false" outlineLevel="0" collapsed="false">
      <c r="A19" s="365" t="s">
        <v>172</v>
      </c>
      <c r="C19" s="367" t="n">
        <f aca="false">+C3*C$16</f>
        <v>30006697</v>
      </c>
      <c r="D19" s="367"/>
      <c r="E19" s="367" t="n">
        <f aca="false">+E3*E$16</f>
        <v>3751</v>
      </c>
      <c r="F19" s="367"/>
      <c r="G19" s="367" t="n">
        <f aca="false">+G3*G$16</f>
        <v>1104950</v>
      </c>
      <c r="H19" s="367"/>
      <c r="I19" s="367" t="n">
        <f aca="false">+I3*I$16</f>
        <v>6800</v>
      </c>
      <c r="J19" s="367"/>
      <c r="K19" s="367" t="n">
        <f aca="false">+K3*K$16</f>
        <v>500</v>
      </c>
      <c r="L19" s="367"/>
      <c r="M19" s="367" t="n">
        <f aca="false">+M3*M$16</f>
        <v>750</v>
      </c>
      <c r="N19" s="367"/>
      <c r="O19" s="367" t="n">
        <f aca="false">+O3*O$16</f>
        <v>4640</v>
      </c>
      <c r="P19" s="367"/>
      <c r="Q19" s="367" t="n">
        <f aca="false">+Q3*Q$16</f>
        <v>6000</v>
      </c>
      <c r="R19" s="367"/>
      <c r="S19" s="367" t="n">
        <f aca="false">+S3*S$16</f>
        <v>799.96</v>
      </c>
      <c r="T19" s="367"/>
      <c r="U19" s="367" t="n">
        <f aca="false">+U3*U$16</f>
        <v>740</v>
      </c>
      <c r="V19" s="368"/>
      <c r="W19" s="367" t="n">
        <f aca="false">+W3*W$16</f>
        <v>3624786</v>
      </c>
      <c r="X19" s="368"/>
      <c r="Y19" s="367" t="n">
        <f aca="false">+Y3*Y$16</f>
        <v>10000</v>
      </c>
      <c r="Z19" s="367"/>
      <c r="AA19" s="367" t="n">
        <f aca="false">+SUM(C19:Z19)</f>
        <v>34770413.96</v>
      </c>
      <c r="AC19" s="375" t="n">
        <f aca="false">+AC3</f>
        <v>-4763717</v>
      </c>
      <c r="AE19" s="384" t="n">
        <f aca="false">+AE3</f>
        <v>0</v>
      </c>
      <c r="AG19" s="369" t="n">
        <f aca="false">+AA19+AC19+AE19</f>
        <v>30006696.96</v>
      </c>
    </row>
    <row r="20" customFormat="false" ht="9.75" hidden="false" customHeight="false" outlineLevel="0" collapsed="false">
      <c r="A20" s="365" t="s">
        <v>435</v>
      </c>
      <c r="C20" s="367" t="n">
        <f aca="false">+C4*C$16</f>
        <v>920</v>
      </c>
      <c r="D20" s="367"/>
      <c r="E20" s="367" t="n">
        <v>31546825</v>
      </c>
      <c r="F20" s="367"/>
      <c r="G20" s="367" t="n">
        <v>877313</v>
      </c>
      <c r="H20" s="367"/>
      <c r="I20" s="367" t="n">
        <f aca="false">+I4*I$16</f>
        <v>0</v>
      </c>
      <c r="J20" s="367"/>
      <c r="K20" s="367" t="n">
        <v>49015</v>
      </c>
      <c r="L20" s="367"/>
      <c r="M20" s="367" t="n">
        <v>330450</v>
      </c>
      <c r="N20" s="367"/>
      <c r="O20" s="367" t="n">
        <f aca="false">+O4*O$16</f>
        <v>0</v>
      </c>
      <c r="P20" s="367"/>
      <c r="Q20" s="367" t="n">
        <f aca="false">+Q4*Q$16</f>
        <v>0</v>
      </c>
      <c r="R20" s="367"/>
      <c r="S20" s="367" t="n">
        <f aca="false">+S4*S$16</f>
        <v>0</v>
      </c>
      <c r="T20" s="367"/>
      <c r="U20" s="367" t="n">
        <v>1833417</v>
      </c>
      <c r="V20" s="368"/>
      <c r="W20" s="367" t="n">
        <v>292500</v>
      </c>
      <c r="X20" s="368"/>
      <c r="Y20" s="367" t="n">
        <f aca="false">+Y4*Y$16</f>
        <v>0</v>
      </c>
      <c r="Z20" s="367"/>
      <c r="AA20" s="367" t="n">
        <f aca="false">+SUM(C20:Z20)</f>
        <v>34930440</v>
      </c>
      <c r="AC20" s="375" t="n">
        <f aca="false">+AC4</f>
        <v>-34929520</v>
      </c>
      <c r="AE20" s="384" t="n">
        <f aca="false">+AE4</f>
        <v>0</v>
      </c>
      <c r="AG20" s="369" t="n">
        <f aca="false">+AA20+AC20+AE20</f>
        <v>920</v>
      </c>
    </row>
    <row r="21" customFormat="false" ht="9.75" hidden="false" customHeight="false" outlineLevel="0" collapsed="false">
      <c r="A21" s="365" t="s">
        <v>90</v>
      </c>
      <c r="C21" s="367" t="n">
        <f aca="false">+C5*C$16</f>
        <v>4662954</v>
      </c>
      <c r="D21" s="367"/>
      <c r="E21" s="367" t="n">
        <f aca="false">+E5*E$16</f>
        <v>0</v>
      </c>
      <c r="F21" s="367"/>
      <c r="G21" s="367" t="n">
        <f aca="false">+G5*G$16</f>
        <v>0</v>
      </c>
      <c r="H21" s="367"/>
      <c r="I21" s="367" t="n">
        <f aca="false">+I5*I$16</f>
        <v>0</v>
      </c>
      <c r="J21" s="367"/>
      <c r="K21" s="367" t="n">
        <v>500</v>
      </c>
      <c r="L21" s="367"/>
      <c r="M21" s="367" t="n">
        <f aca="false">+M5*M$16</f>
        <v>0</v>
      </c>
      <c r="N21" s="367"/>
      <c r="O21" s="367" t="n">
        <f aca="false">+O5*O$16</f>
        <v>0</v>
      </c>
      <c r="P21" s="367"/>
      <c r="Q21" s="367" t="n">
        <f aca="false">+Q5*Q$16</f>
        <v>0</v>
      </c>
      <c r="R21" s="367"/>
      <c r="S21" s="367" t="n">
        <f aca="false">+S5*S$16</f>
        <v>339.983</v>
      </c>
      <c r="T21" s="367"/>
      <c r="U21" s="367" t="n">
        <f aca="false">+U5*U$16</f>
        <v>0</v>
      </c>
      <c r="V21" s="368"/>
      <c r="W21" s="367" t="n">
        <f aca="false">+W5*W$16</f>
        <v>0</v>
      </c>
      <c r="X21" s="368"/>
      <c r="Y21" s="367" t="n">
        <f aca="false">+Y5*Y$16</f>
        <v>0</v>
      </c>
      <c r="Z21" s="367"/>
      <c r="AA21" s="367" t="n">
        <f aca="false">+SUM(C21:Z21)</f>
        <v>4663793.983</v>
      </c>
      <c r="AC21" s="375" t="n">
        <f aca="false">+AC5</f>
        <v>-840</v>
      </c>
      <c r="AE21" s="384" t="n">
        <f aca="false">+AE5</f>
        <v>0</v>
      </c>
      <c r="AG21" s="369" t="n">
        <f aca="false">+AA21+AC21+AE21</f>
        <v>4662953.983</v>
      </c>
    </row>
    <row r="22" customFormat="false" ht="9.75" hidden="false" customHeight="false" outlineLevel="0" collapsed="false">
      <c r="A22" s="365" t="s">
        <v>438</v>
      </c>
      <c r="C22" s="367" t="n">
        <f aca="false">+C6*C$16</f>
        <v>34797</v>
      </c>
      <c r="D22" s="367"/>
      <c r="E22" s="367" t="n">
        <f aca="false">+E6*E$16</f>
        <v>0</v>
      </c>
      <c r="F22" s="367"/>
      <c r="G22" s="367" t="n">
        <f aca="false">+G6*G$16</f>
        <v>0</v>
      </c>
      <c r="H22" s="367"/>
      <c r="I22" s="367" t="n">
        <f aca="false">+I6*I$16</f>
        <v>0</v>
      </c>
      <c r="J22" s="367"/>
      <c r="K22" s="367" t="n">
        <f aca="false">+K6*K$16</f>
        <v>0</v>
      </c>
      <c r="L22" s="367"/>
      <c r="M22" s="367" t="n">
        <f aca="false">+M6*M$16</f>
        <v>0</v>
      </c>
      <c r="N22" s="367"/>
      <c r="O22" s="367" t="n">
        <f aca="false">+O6*O$16</f>
        <v>0</v>
      </c>
      <c r="P22" s="367"/>
      <c r="Q22" s="367" t="n">
        <f aca="false">+Q6*Q$16</f>
        <v>0</v>
      </c>
      <c r="R22" s="367"/>
      <c r="S22" s="367" t="n">
        <f aca="false">+S6*S$16</f>
        <v>0</v>
      </c>
      <c r="T22" s="367"/>
      <c r="U22" s="367" t="n">
        <f aca="false">+U6*U$16</f>
        <v>0</v>
      </c>
      <c r="V22" s="368"/>
      <c r="W22" s="367" t="n">
        <f aca="false">+W6*W$16</f>
        <v>0</v>
      </c>
      <c r="X22" s="368"/>
      <c r="Y22" s="367" t="n">
        <f aca="false">+Y6*Y$16</f>
        <v>0</v>
      </c>
      <c r="Z22" s="367"/>
      <c r="AA22" s="367" t="n">
        <f aca="false">+SUM(C22:Z22)</f>
        <v>34797</v>
      </c>
      <c r="AC22" s="375" t="n">
        <f aca="false">+AC6</f>
        <v>0</v>
      </c>
      <c r="AE22" s="384" t="n">
        <f aca="false">+AE6</f>
        <v>0</v>
      </c>
      <c r="AG22" s="369" t="n">
        <f aca="false">+AA22+AC22+AE22</f>
        <v>34797</v>
      </c>
    </row>
    <row r="23" customFormat="false" ht="9.75" hidden="false" customHeight="false" outlineLevel="0" collapsed="false">
      <c r="A23" s="365" t="s">
        <v>437</v>
      </c>
      <c r="C23" s="367" t="n">
        <f aca="false">+C7*C$16</f>
        <v>1353857</v>
      </c>
      <c r="D23" s="367"/>
      <c r="E23" s="367" t="n">
        <f aca="false">+E7*E$16</f>
        <v>0</v>
      </c>
      <c r="F23" s="367"/>
      <c r="G23" s="367" t="n">
        <f aca="false">+G7*G$16</f>
        <v>0</v>
      </c>
      <c r="H23" s="367"/>
      <c r="I23" s="367" t="n">
        <f aca="false">+I7*I$16</f>
        <v>0</v>
      </c>
      <c r="J23" s="367"/>
      <c r="K23" s="367" t="n">
        <f aca="false">+K7*K$16</f>
        <v>0</v>
      </c>
      <c r="L23" s="367"/>
      <c r="M23" s="367" t="n">
        <f aca="false">+M7*M$16</f>
        <v>0</v>
      </c>
      <c r="N23" s="367"/>
      <c r="O23" s="367" t="n">
        <f aca="false">+O7*O$16</f>
        <v>0</v>
      </c>
      <c r="P23" s="367"/>
      <c r="Q23" s="367" t="n">
        <f aca="false">+Q7*Q$16</f>
        <v>0</v>
      </c>
      <c r="R23" s="367"/>
      <c r="S23" s="367" t="n">
        <f aca="false">+S7*S$16</f>
        <v>0</v>
      </c>
      <c r="T23" s="367"/>
      <c r="U23" s="367" t="n">
        <f aca="false">+U7*U$16</f>
        <v>0</v>
      </c>
      <c r="V23" s="368"/>
      <c r="W23" s="367" t="n">
        <f aca="false">+W7*W$16</f>
        <v>0</v>
      </c>
      <c r="X23" s="368"/>
      <c r="Y23" s="367" t="n">
        <f aca="false">+Y7*Y$16</f>
        <v>0</v>
      </c>
      <c r="Z23" s="367"/>
      <c r="AA23" s="367" t="n">
        <f aca="false">+SUM(C23:Z23)</f>
        <v>1353857</v>
      </c>
      <c r="AC23" s="375" t="n">
        <f aca="false">+AC7</f>
        <v>0</v>
      </c>
      <c r="AE23" s="384" t="n">
        <f aca="false">+AE7</f>
        <v>0</v>
      </c>
      <c r="AG23" s="369" t="n">
        <f aca="false">+AA23+AC23+AE23</f>
        <v>1353857</v>
      </c>
    </row>
    <row r="24" customFormat="false" ht="9.75" hidden="false" customHeight="false" outlineLevel="0" collapsed="false">
      <c r="A24" s="365" t="s">
        <v>436</v>
      </c>
      <c r="C24" s="367" t="n">
        <f aca="false">+C8*C$16</f>
        <v>227072</v>
      </c>
      <c r="D24" s="367"/>
      <c r="E24" s="367" t="n">
        <f aca="false">+E8*E$16</f>
        <v>0</v>
      </c>
      <c r="F24" s="367"/>
      <c r="G24" s="367" t="n">
        <f aca="false">+G8*G$16</f>
        <v>0</v>
      </c>
      <c r="H24" s="367"/>
      <c r="I24" s="367" t="n">
        <v>74426</v>
      </c>
      <c r="J24" s="367"/>
      <c r="K24" s="367" t="n">
        <f aca="false">+K8*K$16</f>
        <v>0</v>
      </c>
      <c r="L24" s="367"/>
      <c r="M24" s="367" t="n">
        <v>109633</v>
      </c>
      <c r="N24" s="367"/>
      <c r="O24" s="367" t="n">
        <v>1226</v>
      </c>
      <c r="P24" s="367"/>
      <c r="Q24" s="367" t="n">
        <f aca="false">+Q8*Q$16</f>
        <v>0</v>
      </c>
      <c r="R24" s="367"/>
      <c r="S24" s="367" t="n">
        <f aca="false">+S8*S$16</f>
        <v>0</v>
      </c>
      <c r="T24" s="367"/>
      <c r="U24" s="367" t="n">
        <f aca="false">+U8*U$16</f>
        <v>0</v>
      </c>
      <c r="V24" s="368"/>
      <c r="W24" s="367" t="n">
        <f aca="false">+W8*W$16</f>
        <v>0</v>
      </c>
      <c r="X24" s="368"/>
      <c r="Y24" s="367" t="n">
        <f aca="false">+Y8*Y$16</f>
        <v>0</v>
      </c>
      <c r="Z24" s="367"/>
      <c r="AA24" s="367" t="n">
        <f aca="false">+SUM(C24:Z24)</f>
        <v>412357</v>
      </c>
      <c r="AC24" s="375" t="n">
        <f aca="false">+AC8</f>
        <v>-185285</v>
      </c>
      <c r="AE24" s="384" t="n">
        <f aca="false">+AE8</f>
        <v>0</v>
      </c>
      <c r="AG24" s="369" t="n">
        <f aca="false">+AA24+AC24+AE24</f>
        <v>227072</v>
      </c>
    </row>
    <row r="25" customFormat="false" ht="9.75" hidden="false" customHeight="false" outlineLevel="0" collapsed="false">
      <c r="A25" s="365" t="s">
        <v>442</v>
      </c>
      <c r="C25" s="367" t="n">
        <f aca="false">+C9*C$16</f>
        <v>-3202431</v>
      </c>
      <c r="D25" s="367"/>
      <c r="E25" s="367" t="n">
        <f aca="false">+E9*E$16</f>
        <v>0</v>
      </c>
      <c r="F25" s="367"/>
      <c r="G25" s="367" t="n">
        <f aca="false">+G9*G$16</f>
        <v>0</v>
      </c>
      <c r="H25" s="367"/>
      <c r="I25" s="367" t="n">
        <f aca="false">+I9*I$16</f>
        <v>0</v>
      </c>
      <c r="J25" s="367"/>
      <c r="K25" s="367" t="n">
        <f aca="false">+K9*K$16</f>
        <v>0</v>
      </c>
      <c r="L25" s="367"/>
      <c r="M25" s="367" t="n">
        <f aca="false">+M9*M$16</f>
        <v>0</v>
      </c>
      <c r="N25" s="367"/>
      <c r="O25" s="367" t="n">
        <f aca="false">+O9*O$16</f>
        <v>0</v>
      </c>
      <c r="P25" s="367"/>
      <c r="Q25" s="367" t="n">
        <f aca="false">+Q9*Q$16</f>
        <v>0</v>
      </c>
      <c r="R25" s="367"/>
      <c r="S25" s="367" t="n">
        <f aca="false">+S9*S$16</f>
        <v>0</v>
      </c>
      <c r="T25" s="367"/>
      <c r="U25" s="367" t="n">
        <f aca="false">+U9*U$16</f>
        <v>0</v>
      </c>
      <c r="V25" s="368"/>
      <c r="W25" s="367" t="n">
        <v>-56932</v>
      </c>
      <c r="X25" s="368"/>
      <c r="Y25" s="367" t="n">
        <f aca="false">+Y9*Y$16</f>
        <v>0</v>
      </c>
      <c r="Z25" s="367"/>
      <c r="AA25" s="367" t="n">
        <f aca="false">+SUM(C25:Z25)</f>
        <v>-3259363</v>
      </c>
      <c r="AC25" s="375" t="n">
        <f aca="false">+AC9</f>
        <v>0</v>
      </c>
      <c r="AE25" s="367" t="n">
        <f aca="false">+AE9</f>
        <v>56932</v>
      </c>
      <c r="AG25" s="369" t="n">
        <f aca="false">+AA25+AC25+AE25</f>
        <v>-3202431</v>
      </c>
    </row>
    <row r="26" customFormat="false" ht="9.75" hidden="false" customHeight="false" outlineLevel="0" collapsed="false">
      <c r="A26" s="365" t="s">
        <v>861</v>
      </c>
      <c r="B26" s="371"/>
      <c r="C26" s="367" t="n">
        <v>0</v>
      </c>
      <c r="D26" s="367"/>
      <c r="E26" s="367" t="n">
        <v>0</v>
      </c>
      <c r="F26" s="367"/>
      <c r="G26" s="367" t="n">
        <v>0</v>
      </c>
      <c r="H26" s="367"/>
      <c r="I26" s="367" t="n">
        <v>0</v>
      </c>
      <c r="J26" s="367"/>
      <c r="K26" s="367" t="n">
        <v>0</v>
      </c>
      <c r="L26" s="367"/>
      <c r="M26" s="367" t="n">
        <v>0</v>
      </c>
      <c r="N26" s="367"/>
      <c r="O26" s="367" t="n">
        <v>0</v>
      </c>
      <c r="P26" s="367"/>
      <c r="Q26" s="367" t="n">
        <v>0</v>
      </c>
      <c r="R26" s="367"/>
      <c r="S26" s="367" t="n">
        <v>0</v>
      </c>
      <c r="T26" s="367"/>
      <c r="U26" s="367" t="n">
        <v>0</v>
      </c>
      <c r="V26" s="368"/>
      <c r="W26" s="367" t="n">
        <v>274690</v>
      </c>
      <c r="X26" s="368"/>
      <c r="Y26" s="367" t="n">
        <v>0</v>
      </c>
      <c r="Z26" s="367"/>
      <c r="AA26" s="367" t="n">
        <f aca="false">+SUM(C26:Y26)</f>
        <v>274690</v>
      </c>
      <c r="AB26" s="367"/>
      <c r="AC26" s="367" t="n">
        <v>-274690</v>
      </c>
      <c r="AD26" s="367"/>
      <c r="AE26" s="367" t="n">
        <v>0</v>
      </c>
      <c r="AF26" s="367"/>
      <c r="AG26" s="369" t="n">
        <f aca="false">+AA26+AC26+AE26</f>
        <v>0</v>
      </c>
    </row>
    <row r="27" customFormat="false" ht="9.75" hidden="false" customHeight="false" outlineLevel="0" collapsed="false">
      <c r="A27" s="365" t="s">
        <v>149</v>
      </c>
      <c r="C27" s="385" t="n">
        <f aca="false">+C11*C$16</f>
        <v>37757436</v>
      </c>
      <c r="D27" s="367"/>
      <c r="E27" s="385" t="n">
        <f aca="false">+E11*E$16</f>
        <v>883067.1718</v>
      </c>
      <c r="F27" s="367"/>
      <c r="G27" s="385" t="n">
        <f aca="false">+G11*G$16</f>
        <v>2399.89140271493</v>
      </c>
      <c r="H27" s="367"/>
      <c r="I27" s="385" t="n">
        <f aca="false">+I11*I$16</f>
        <v>609101.16</v>
      </c>
      <c r="J27" s="367"/>
      <c r="K27" s="385" t="n">
        <f aca="false">+K11*K$16</f>
        <v>-490824.5</v>
      </c>
      <c r="L27" s="367"/>
      <c r="M27" s="385" t="n">
        <f aca="false">+M11*M$16</f>
        <v>-50527.5</v>
      </c>
      <c r="N27" s="367"/>
      <c r="O27" s="385" t="n">
        <f aca="false">+O11*O$16</f>
        <v>1636.064</v>
      </c>
      <c r="P27" s="367"/>
      <c r="Q27" s="385" t="n">
        <f aca="false">+Q11*Q$16</f>
        <v>0</v>
      </c>
      <c r="R27" s="367"/>
      <c r="S27" s="385" t="n">
        <f aca="false">+S11*S$16</f>
        <v>0</v>
      </c>
      <c r="T27" s="367"/>
      <c r="U27" s="385" t="n">
        <f aca="false">+U11*U$16</f>
        <v>-332597.625</v>
      </c>
      <c r="V27" s="368"/>
      <c r="W27" s="385" t="n">
        <f aca="false">+W11*W$16</f>
        <v>-4345037.73</v>
      </c>
      <c r="X27" s="368"/>
      <c r="Y27" s="385" t="n">
        <f aca="false">+Y11*Y$16</f>
        <v>-544450</v>
      </c>
      <c r="Z27" s="367"/>
      <c r="AA27" s="385" t="n">
        <f aca="false">+SUM(C27:Z27)</f>
        <v>33490202.9322027</v>
      </c>
      <c r="AC27" s="375" t="n">
        <f aca="false">+AC11+560219</f>
        <v>-1737280</v>
      </c>
      <c r="AE27" s="367" t="n">
        <f aca="false">+AE11-205175</f>
        <v>4887516</v>
      </c>
      <c r="AG27" s="388" t="n">
        <f aca="false">+AA27+AC27+AE27</f>
        <v>36640438.9322027</v>
      </c>
    </row>
    <row r="28" customFormat="false" ht="9.75" hidden="false" customHeight="false" outlineLevel="0" collapsed="false">
      <c r="A28" s="365"/>
      <c r="C28" s="375" t="n">
        <f aca="false">+SUM(C19:C27)</f>
        <v>70841302</v>
      </c>
      <c r="E28" s="375" t="n">
        <f aca="false">+SUM(E19:E27)</f>
        <v>32433643.1718</v>
      </c>
      <c r="G28" s="375" t="n">
        <f aca="false">+SUM(G19:G27)</f>
        <v>1984662.89140271</v>
      </c>
      <c r="I28" s="375" t="n">
        <f aca="false">+SUM(I19:I27)</f>
        <v>690327.16</v>
      </c>
      <c r="K28" s="375" t="n">
        <f aca="false">+SUM(K19:K27)</f>
        <v>-440809.5</v>
      </c>
      <c r="M28" s="375" t="n">
        <f aca="false">+SUM(M19:M27)</f>
        <v>390305.5</v>
      </c>
      <c r="O28" s="375" t="n">
        <f aca="false">+SUM(O19:O27)</f>
        <v>7502.064</v>
      </c>
      <c r="Q28" s="375" t="n">
        <f aca="false">+SUM(Q19:Q27)</f>
        <v>6000</v>
      </c>
      <c r="S28" s="375" t="n">
        <f aca="false">+SUM(S19:S27)</f>
        <v>1139.943</v>
      </c>
      <c r="U28" s="375" t="n">
        <f aca="false">+SUM(U19:U27)</f>
        <v>1501559.375</v>
      </c>
      <c r="V28" s="374"/>
      <c r="W28" s="375" t="n">
        <f aca="false">+SUM(W19:W27)</f>
        <v>-209993.73</v>
      </c>
      <c r="X28" s="374"/>
      <c r="Y28" s="375" t="n">
        <f aca="false">+SUM(Y19:Y27)</f>
        <v>-534450</v>
      </c>
      <c r="AA28" s="375" t="n">
        <f aca="false">+SUM(AA19:AA27)</f>
        <v>106671188.875203</v>
      </c>
      <c r="AC28" s="375"/>
      <c r="AG28" s="369" t="n">
        <f aca="false">+SUM(AG19:AG27)</f>
        <v>69724304.8752027</v>
      </c>
    </row>
    <row r="29" customFormat="false" ht="5.1" hidden="false" customHeight="true" outlineLevel="0" collapsed="false">
      <c r="C29" s="375"/>
      <c r="E29" s="375"/>
      <c r="I29" s="375"/>
      <c r="K29" s="375"/>
      <c r="M29" s="375"/>
      <c r="O29" s="375"/>
      <c r="Q29" s="375"/>
      <c r="S29" s="375"/>
      <c r="U29" s="375"/>
      <c r="V29" s="374"/>
      <c r="W29" s="375"/>
      <c r="X29" s="374"/>
      <c r="Y29" s="375"/>
      <c r="AC29" s="375"/>
      <c r="AG29" s="382"/>
    </row>
    <row r="30" customFormat="false" ht="9.75" hidden="false" customHeight="false" outlineLevel="0" collapsed="false">
      <c r="A30" s="383" t="s">
        <v>443</v>
      </c>
      <c r="C30" s="375"/>
      <c r="E30" s="375"/>
      <c r="I30" s="375"/>
      <c r="K30" s="375"/>
      <c r="M30" s="375"/>
      <c r="O30" s="375"/>
      <c r="Q30" s="375"/>
      <c r="S30" s="375"/>
      <c r="U30" s="375"/>
      <c r="V30" s="374"/>
      <c r="W30" s="375"/>
      <c r="X30" s="374"/>
      <c r="Y30" s="375"/>
      <c r="AC30" s="375"/>
      <c r="AG30" s="382"/>
    </row>
    <row r="31" customFormat="false" ht="9.75" hidden="false" customHeight="false" outlineLevel="0" collapsed="false">
      <c r="A31" s="365" t="s">
        <v>172</v>
      </c>
      <c r="C31" s="375" t="n">
        <f aca="false">+C3-C19</f>
        <v>0</v>
      </c>
      <c r="E31" s="375" t="n">
        <f aca="false">+E3-E19</f>
        <v>1249</v>
      </c>
      <c r="G31" s="375" t="n">
        <f aca="false">+G3-G19</f>
        <v>50</v>
      </c>
      <c r="I31" s="375" t="n">
        <f aca="false">+I3-I19</f>
        <v>3200</v>
      </c>
      <c r="K31" s="375" t="n">
        <f aca="false">+K3-K19</f>
        <v>500</v>
      </c>
      <c r="M31" s="375" t="n">
        <f aca="false">+M3-M19</f>
        <v>250</v>
      </c>
      <c r="O31" s="375" t="n">
        <f aca="false">+O3-O19</f>
        <v>360</v>
      </c>
      <c r="Q31" s="375" t="n">
        <f aca="false">+Q3-Q19</f>
        <v>4000</v>
      </c>
      <c r="S31" s="375" t="n">
        <f aca="false">+S3-S19</f>
        <v>0.0399999999999636</v>
      </c>
      <c r="U31" s="375" t="n">
        <f aca="false">+U3-U19</f>
        <v>60</v>
      </c>
      <c r="V31" s="374"/>
      <c r="W31" s="375" t="n">
        <f aca="false">+W3-W19</f>
        <v>36614</v>
      </c>
      <c r="X31" s="374"/>
      <c r="Y31" s="375" t="n">
        <f aca="false">+Y3-Y19</f>
        <v>0</v>
      </c>
      <c r="AA31" s="367" t="n">
        <f aca="false">+SUM(C31:Z31)</f>
        <v>46283.04</v>
      </c>
      <c r="AC31" s="375" t="n">
        <v>0</v>
      </c>
      <c r="AE31" s="375" t="n">
        <v>0</v>
      </c>
      <c r="AG31" s="369" t="n">
        <f aca="false">+AA31+AC31+AE31</f>
        <v>46283.04</v>
      </c>
    </row>
    <row r="32" customFormat="false" ht="9.75" hidden="false" customHeight="false" outlineLevel="0" collapsed="false">
      <c r="A32" s="365" t="s">
        <v>435</v>
      </c>
      <c r="C32" s="375" t="n">
        <f aca="false">+C4-C20</f>
        <v>0</v>
      </c>
      <c r="E32" s="375" t="n">
        <f aca="false">+E4-E20</f>
        <v>10793227</v>
      </c>
      <c r="G32" s="375" t="n">
        <f aca="false">+G4-G20</f>
        <v>0</v>
      </c>
      <c r="I32" s="375" t="n">
        <f aca="false">+I4-I20</f>
        <v>0</v>
      </c>
      <c r="K32" s="375" t="n">
        <f aca="false">+K4-K20</f>
        <v>0</v>
      </c>
      <c r="M32" s="375" t="n">
        <f aca="false">+M4-M20</f>
        <v>0</v>
      </c>
      <c r="O32" s="375" t="n">
        <f aca="false">+O4-O20</f>
        <v>0</v>
      </c>
      <c r="Q32" s="375" t="n">
        <f aca="false">+Q4-Q20</f>
        <v>0</v>
      </c>
      <c r="S32" s="375" t="n">
        <f aca="false">+S4-S20</f>
        <v>0</v>
      </c>
      <c r="U32" s="375" t="n">
        <f aca="false">+U4-U20</f>
        <v>0</v>
      </c>
      <c r="V32" s="374"/>
      <c r="W32" s="375" t="n">
        <f aca="false">+W4-W20</f>
        <v>114300</v>
      </c>
      <c r="X32" s="374"/>
      <c r="Y32" s="375" t="n">
        <f aca="false">+Y4-Y20</f>
        <v>0</v>
      </c>
      <c r="AA32" s="367" t="n">
        <f aca="false">+SUM(C32:Z32)</f>
        <v>10907527</v>
      </c>
      <c r="AC32" s="375" t="n">
        <v>0</v>
      </c>
      <c r="AE32" s="375" t="n">
        <v>0</v>
      </c>
      <c r="AG32" s="369" t="n">
        <f aca="false">+AA32+AC32+AE32</f>
        <v>10907527</v>
      </c>
    </row>
    <row r="33" customFormat="false" ht="9.75" hidden="false" customHeight="false" outlineLevel="0" collapsed="false">
      <c r="A33" s="365" t="s">
        <v>90</v>
      </c>
      <c r="C33" s="375" t="n">
        <f aca="false">+C5-C21</f>
        <v>0</v>
      </c>
      <c r="E33" s="375" t="n">
        <f aca="false">+E5-E21</f>
        <v>0</v>
      </c>
      <c r="G33" s="375" t="n">
        <f aca="false">+G5-G21</f>
        <v>0</v>
      </c>
      <c r="I33" s="375" t="n">
        <f aca="false">+I5-I21</f>
        <v>0</v>
      </c>
      <c r="K33" s="375" t="n">
        <f aca="false">+K5-K21</f>
        <v>0</v>
      </c>
      <c r="M33" s="375" t="n">
        <f aca="false">+M5-M21</f>
        <v>0</v>
      </c>
      <c r="O33" s="375" t="n">
        <f aca="false">+O5-O21</f>
        <v>0</v>
      </c>
      <c r="Q33" s="375" t="n">
        <f aca="false">+Q5-Q21</f>
        <v>0</v>
      </c>
      <c r="S33" s="375" t="n">
        <f aca="false">+S5-S21</f>
        <v>0.0169999999999391</v>
      </c>
      <c r="U33" s="375" t="n">
        <f aca="false">+U5-U21</f>
        <v>0</v>
      </c>
      <c r="V33" s="374"/>
      <c r="W33" s="375" t="n">
        <f aca="false">+W5-W21</f>
        <v>0</v>
      </c>
      <c r="X33" s="374"/>
      <c r="Y33" s="375" t="n">
        <f aca="false">+Y5-Y21</f>
        <v>0</v>
      </c>
      <c r="AA33" s="367" t="n">
        <f aca="false">+SUM(C33:Z33)</f>
        <v>0.0169999999999391</v>
      </c>
      <c r="AC33" s="375" t="n">
        <v>0</v>
      </c>
      <c r="AE33" s="375" t="n">
        <v>0</v>
      </c>
      <c r="AG33" s="369" t="n">
        <f aca="false">+AA33+AC33+AE33</f>
        <v>0.0169999999999391</v>
      </c>
    </row>
    <row r="34" customFormat="false" ht="9.75" hidden="false" customHeight="false" outlineLevel="0" collapsed="false">
      <c r="A34" s="365" t="s">
        <v>438</v>
      </c>
      <c r="C34" s="375" t="n">
        <f aca="false">+C6-C22</f>
        <v>0</v>
      </c>
      <c r="E34" s="375" t="n">
        <f aca="false">+E6-E22</f>
        <v>0</v>
      </c>
      <c r="G34" s="375" t="n">
        <f aca="false">+G6-G22</f>
        <v>0</v>
      </c>
      <c r="I34" s="375" t="n">
        <f aca="false">+I6-I22</f>
        <v>0</v>
      </c>
      <c r="K34" s="375" t="n">
        <f aca="false">+K6-K22</f>
        <v>0</v>
      </c>
      <c r="M34" s="375" t="n">
        <f aca="false">+M6-M22</f>
        <v>0</v>
      </c>
      <c r="O34" s="375" t="n">
        <f aca="false">+O6-O22</f>
        <v>0</v>
      </c>
      <c r="Q34" s="375" t="n">
        <f aca="false">+Q6-Q22</f>
        <v>0</v>
      </c>
      <c r="S34" s="375" t="n">
        <f aca="false">+S6-S22</f>
        <v>0</v>
      </c>
      <c r="U34" s="375" t="n">
        <f aca="false">+U6-U22</f>
        <v>0</v>
      </c>
      <c r="V34" s="374"/>
      <c r="W34" s="375" t="n">
        <f aca="false">+W6-W22</f>
        <v>0</v>
      </c>
      <c r="X34" s="374"/>
      <c r="Y34" s="375" t="n">
        <f aca="false">+Y6-Y22</f>
        <v>0</v>
      </c>
      <c r="AA34" s="367" t="n">
        <f aca="false">+SUM(C34:Z34)</f>
        <v>0</v>
      </c>
      <c r="AC34" s="375" t="n">
        <v>0</v>
      </c>
      <c r="AE34" s="375" t="n">
        <v>0</v>
      </c>
      <c r="AG34" s="369" t="n">
        <f aca="false">+AA34+AC34+AE34</f>
        <v>0</v>
      </c>
    </row>
    <row r="35" customFormat="false" ht="9.75" hidden="false" customHeight="false" outlineLevel="0" collapsed="false">
      <c r="A35" s="365" t="s">
        <v>437</v>
      </c>
      <c r="C35" s="375" t="n">
        <f aca="false">+C7-C23</f>
        <v>0</v>
      </c>
      <c r="E35" s="375" t="n">
        <f aca="false">+E7-E23</f>
        <v>0</v>
      </c>
      <c r="G35" s="375" t="n">
        <f aca="false">+G7-G23</f>
        <v>0</v>
      </c>
      <c r="I35" s="375" t="n">
        <f aca="false">+I7-I23</f>
        <v>0</v>
      </c>
      <c r="K35" s="375" t="n">
        <f aca="false">+K7-K23</f>
        <v>0</v>
      </c>
      <c r="M35" s="375" t="n">
        <f aca="false">+M7-M23</f>
        <v>0</v>
      </c>
      <c r="O35" s="375" t="n">
        <f aca="false">+O7-O23</f>
        <v>0</v>
      </c>
      <c r="Q35" s="375" t="n">
        <f aca="false">+Q7-Q23</f>
        <v>0</v>
      </c>
      <c r="S35" s="375" t="n">
        <f aca="false">+S7-S23</f>
        <v>0</v>
      </c>
      <c r="U35" s="375" t="n">
        <f aca="false">+U7-U23</f>
        <v>0</v>
      </c>
      <c r="V35" s="374"/>
      <c r="W35" s="375" t="n">
        <f aca="false">+W7-W23</f>
        <v>0</v>
      </c>
      <c r="X35" s="374"/>
      <c r="Y35" s="375" t="n">
        <f aca="false">+Y7-Y23</f>
        <v>0</v>
      </c>
      <c r="AA35" s="367" t="n">
        <f aca="false">+SUM(C35:Z35)</f>
        <v>0</v>
      </c>
      <c r="AC35" s="375" t="n">
        <v>0</v>
      </c>
      <c r="AE35" s="375" t="n">
        <v>0</v>
      </c>
      <c r="AG35" s="369" t="n">
        <f aca="false">+AA35+AC35+AE35</f>
        <v>0</v>
      </c>
    </row>
    <row r="36" customFormat="false" ht="9.75" hidden="false" customHeight="false" outlineLevel="0" collapsed="false">
      <c r="A36" s="365" t="s">
        <v>436</v>
      </c>
      <c r="C36" s="375" t="n">
        <f aca="false">+C8-C24</f>
        <v>0</v>
      </c>
      <c r="E36" s="375" t="n">
        <f aca="false">+E8-E24</f>
        <v>0</v>
      </c>
      <c r="G36" s="375" t="n">
        <f aca="false">+G8-G24</f>
        <v>0</v>
      </c>
      <c r="I36" s="375" t="n">
        <f aca="false">+I8-I24</f>
        <v>0</v>
      </c>
      <c r="K36" s="375" t="n">
        <f aca="false">+K8-K24</f>
        <v>0</v>
      </c>
      <c r="M36" s="375" t="n">
        <f aca="false">+M8-M24</f>
        <v>0</v>
      </c>
      <c r="O36" s="375" t="n">
        <f aca="false">+O8-O24</f>
        <v>0</v>
      </c>
      <c r="Q36" s="375" t="n">
        <f aca="false">+Q8-Q24</f>
        <v>0</v>
      </c>
      <c r="S36" s="375" t="n">
        <f aca="false">+S8-S24</f>
        <v>0</v>
      </c>
      <c r="U36" s="375" t="n">
        <f aca="false">+U8-U24</f>
        <v>0</v>
      </c>
      <c r="V36" s="374"/>
      <c r="W36" s="375" t="n">
        <f aca="false">+W8-W24</f>
        <v>0</v>
      </c>
      <c r="X36" s="374"/>
      <c r="Y36" s="375" t="n">
        <f aca="false">+Y8-Y24</f>
        <v>0</v>
      </c>
      <c r="AA36" s="367" t="n">
        <f aca="false">+SUM(C36:Z36)</f>
        <v>0</v>
      </c>
      <c r="AC36" s="375" t="n">
        <v>0</v>
      </c>
      <c r="AE36" s="375" t="n">
        <v>0</v>
      </c>
      <c r="AG36" s="369" t="n">
        <f aca="false">+AA36+AC36+AE36</f>
        <v>0</v>
      </c>
    </row>
    <row r="37" customFormat="false" ht="9.75" hidden="false" customHeight="false" outlineLevel="0" collapsed="false">
      <c r="A37" s="365" t="s">
        <v>442</v>
      </c>
      <c r="C37" s="375" t="n">
        <f aca="false">+C9-C25</f>
        <v>0</v>
      </c>
      <c r="E37" s="375" t="n">
        <f aca="false">+E9-E25</f>
        <v>0</v>
      </c>
      <c r="G37" s="375" t="n">
        <f aca="false">+G9-G25</f>
        <v>0</v>
      </c>
      <c r="I37" s="375" t="n">
        <f aca="false">+I9-I25</f>
        <v>0</v>
      </c>
      <c r="K37" s="375" t="n">
        <f aca="false">+K9-K25</f>
        <v>0</v>
      </c>
      <c r="M37" s="375" t="n">
        <f aca="false">+M9-M25</f>
        <v>0</v>
      </c>
      <c r="O37" s="375" t="n">
        <f aca="false">+O9-O25</f>
        <v>0</v>
      </c>
      <c r="Q37" s="375" t="n">
        <f aca="false">+Q9-Q25</f>
        <v>0</v>
      </c>
      <c r="S37" s="375" t="n">
        <f aca="false">+S9-S25</f>
        <v>0</v>
      </c>
      <c r="U37" s="375" t="n">
        <f aca="false">+U9-U25</f>
        <v>0</v>
      </c>
      <c r="V37" s="374"/>
      <c r="W37" s="375" t="n">
        <f aca="false">+W9-W25</f>
        <v>0</v>
      </c>
      <c r="X37" s="374"/>
      <c r="Y37" s="375" t="n">
        <f aca="false">+Y9-Y25</f>
        <v>0</v>
      </c>
      <c r="AA37" s="367" t="n">
        <f aca="false">+SUM(C37:Z37)</f>
        <v>0</v>
      </c>
      <c r="AC37" s="375" t="n">
        <v>0</v>
      </c>
      <c r="AE37" s="375" t="n">
        <v>0</v>
      </c>
      <c r="AG37" s="369" t="n">
        <f aca="false">+AA37+AC37+AE37</f>
        <v>0</v>
      </c>
    </row>
    <row r="38" customFormat="false" ht="9.75" hidden="false" customHeight="false" outlineLevel="0" collapsed="false">
      <c r="A38" s="365" t="s">
        <v>861</v>
      </c>
      <c r="B38" s="371"/>
      <c r="C38" s="367" t="n">
        <v>0</v>
      </c>
      <c r="D38" s="367"/>
      <c r="E38" s="367" t="n">
        <v>0</v>
      </c>
      <c r="F38" s="367"/>
      <c r="G38" s="367" t="n">
        <v>0</v>
      </c>
      <c r="H38" s="367"/>
      <c r="I38" s="367" t="n">
        <v>0</v>
      </c>
      <c r="J38" s="367"/>
      <c r="K38" s="367" t="n">
        <v>0</v>
      </c>
      <c r="L38" s="367"/>
      <c r="M38" s="367" t="n">
        <v>0</v>
      </c>
      <c r="N38" s="367"/>
      <c r="O38" s="367" t="n">
        <v>0</v>
      </c>
      <c r="P38" s="367"/>
      <c r="Q38" s="367" t="n">
        <v>0</v>
      </c>
      <c r="R38" s="367"/>
      <c r="S38" s="367" t="n">
        <v>0</v>
      </c>
      <c r="T38" s="367"/>
      <c r="U38" s="367" t="n">
        <v>0</v>
      </c>
      <c r="V38" s="368"/>
      <c r="W38" s="367" t="n">
        <v>0</v>
      </c>
      <c r="X38" s="368"/>
      <c r="Y38" s="367" t="n">
        <v>0</v>
      </c>
      <c r="Z38" s="367"/>
      <c r="AA38" s="367" t="n">
        <f aca="false">+SUM(C38:Y38)</f>
        <v>0</v>
      </c>
      <c r="AB38" s="367"/>
      <c r="AC38" s="367" t="n">
        <v>0</v>
      </c>
      <c r="AD38" s="367"/>
      <c r="AE38" s="367" t="n">
        <v>0</v>
      </c>
      <c r="AF38" s="367"/>
      <c r="AG38" s="369" t="n">
        <f aca="false">+AA38+AC38+AE38</f>
        <v>0</v>
      </c>
    </row>
    <row r="39" customFormat="false" ht="9.75" hidden="false" customHeight="false" outlineLevel="0" collapsed="false">
      <c r="A39" s="365" t="s">
        <v>149</v>
      </c>
      <c r="C39" s="386" t="n">
        <f aca="false">+C11-C27</f>
        <v>0</v>
      </c>
      <c r="E39" s="386" t="n">
        <f aca="false">+E11-E27</f>
        <v>294041.8282</v>
      </c>
      <c r="G39" s="386" t="n">
        <f aca="false">+G11-G27</f>
        <v>0.108597285067845</v>
      </c>
      <c r="I39" s="386" t="n">
        <f aca="false">+I11-I27</f>
        <v>286635.84</v>
      </c>
      <c r="K39" s="386" t="n">
        <f aca="false">+K11-K27</f>
        <v>-490824.5</v>
      </c>
      <c r="M39" s="386" t="n">
        <f aca="false">+M11-M27</f>
        <v>-16842.5</v>
      </c>
      <c r="O39" s="386" t="n">
        <f aca="false">+O11-O27</f>
        <v>126.936</v>
      </c>
      <c r="Q39" s="386" t="n">
        <f aca="false">+Q11-Q27</f>
        <v>0</v>
      </c>
      <c r="S39" s="386" t="n">
        <f aca="false">+S11-S27</f>
        <v>0</v>
      </c>
      <c r="U39" s="386" t="n">
        <f aca="false">+U11-U27</f>
        <v>-26967.375</v>
      </c>
      <c r="V39" s="374"/>
      <c r="W39" s="386" t="n">
        <f aca="false">+W11-W27</f>
        <v>-43889.2700000005</v>
      </c>
      <c r="X39" s="374"/>
      <c r="Y39" s="386" t="n">
        <f aca="false">+Y11-Y27</f>
        <v>0</v>
      </c>
      <c r="AA39" s="385" t="n">
        <f aca="false">+SUM(C39:Z39)</f>
        <v>2281.06779728457</v>
      </c>
      <c r="AC39" s="375" t="n">
        <v>-560219</v>
      </c>
      <c r="AE39" s="375" t="n">
        <v>205175</v>
      </c>
      <c r="AG39" s="388" t="n">
        <f aca="false">+AA39+AC39+AE39</f>
        <v>-352762.932202715</v>
      </c>
    </row>
    <row r="40" customFormat="false" ht="9.75" hidden="false" customHeight="false" outlineLevel="0" collapsed="false">
      <c r="C40" s="375" t="n">
        <f aca="false">+SUM(C31:C39)</f>
        <v>0</v>
      </c>
      <c r="E40" s="375" t="n">
        <f aca="false">+SUM(E31:E39)</f>
        <v>11088517.8282</v>
      </c>
      <c r="G40" s="375" t="n">
        <f aca="false">+SUM(G31:G39)</f>
        <v>50.1085972850678</v>
      </c>
      <c r="I40" s="375" t="n">
        <f aca="false">+SUM(I31:I39)</f>
        <v>289835.84</v>
      </c>
      <c r="K40" s="375" t="n">
        <f aca="false">+SUM(K31:K39)</f>
        <v>-490324.5</v>
      </c>
      <c r="M40" s="375" t="n">
        <f aca="false">+SUM(M31:M39)</f>
        <v>-16592.5</v>
      </c>
      <c r="O40" s="375" t="n">
        <f aca="false">+SUM(O31:O39)</f>
        <v>486.936</v>
      </c>
      <c r="Q40" s="375" t="n">
        <f aca="false">+SUM(Q31:Q39)</f>
        <v>4000</v>
      </c>
      <c r="S40" s="375" t="n">
        <f aca="false">+SUM(S31:S39)</f>
        <v>0.0569999999999595</v>
      </c>
      <c r="U40" s="375" t="n">
        <f aca="false">+SUM(U31:U39)</f>
        <v>-26907.375</v>
      </c>
      <c r="V40" s="374"/>
      <c r="W40" s="375" t="n">
        <f aca="false">+SUM(W31:W39)</f>
        <v>107024.73</v>
      </c>
      <c r="X40" s="374"/>
      <c r="Y40" s="375" t="n">
        <f aca="false">+SUM(Y31:Y39)</f>
        <v>0</v>
      </c>
      <c r="AA40" s="375" t="n">
        <f aca="false">+SUM(AA31:AA39)</f>
        <v>10956091.1247973</v>
      </c>
      <c r="AG40" s="382" t="n">
        <f aca="false">+SUM(AG31:AG39)</f>
        <v>10601047.1247973</v>
      </c>
      <c r="AH40" s="375"/>
    </row>
    <row r="41" customFormat="false" ht="5.1" hidden="false" customHeight="true" outlineLevel="0" collapsed="false">
      <c r="V41" s="374"/>
      <c r="X41" s="374"/>
    </row>
    <row r="42" customFormat="false" ht="9.75" hidden="false" customHeight="false" outlineLevel="0" collapsed="false">
      <c r="A42" s="362" t="s">
        <v>259</v>
      </c>
      <c r="C42" s="375" t="n">
        <f aca="false">+C40+C28</f>
        <v>70841302</v>
      </c>
      <c r="E42" s="375" t="n">
        <f aca="false">+E40+E28</f>
        <v>43522161</v>
      </c>
      <c r="G42" s="375" t="n">
        <f aca="false">+G40+G28</f>
        <v>1984713</v>
      </c>
      <c r="I42" s="375" t="n">
        <f aca="false">+I40+I28</f>
        <v>980163</v>
      </c>
      <c r="K42" s="375" t="n">
        <f aca="false">+K40+K28</f>
        <v>-931134</v>
      </c>
      <c r="M42" s="375" t="n">
        <f aca="false">+M40+M28</f>
        <v>373713</v>
      </c>
      <c r="O42" s="375" t="n">
        <f aca="false">+O40+O28</f>
        <v>7989</v>
      </c>
      <c r="Q42" s="375" t="n">
        <f aca="false">+Q40+Q28</f>
        <v>10000</v>
      </c>
      <c r="S42" s="375" t="n">
        <f aca="false">+S40+S28</f>
        <v>1140</v>
      </c>
      <c r="U42" s="375" t="n">
        <f aca="false">+U40+U28</f>
        <v>1474652</v>
      </c>
      <c r="V42" s="374"/>
      <c r="W42" s="375" t="n">
        <f aca="false">+W40+W28</f>
        <v>-102969</v>
      </c>
      <c r="X42" s="374"/>
      <c r="Y42" s="375" t="n">
        <f aca="false">+Y40+Y28</f>
        <v>-534450</v>
      </c>
    </row>
    <row r="43" customFormat="false" ht="5.1" hidden="false" customHeight="true" outlineLevel="0" collapsed="false">
      <c r="V43" s="374"/>
      <c r="X43" s="374"/>
    </row>
    <row r="44" s="389" customFormat="true" ht="9.75" hidden="false" customHeight="false" outlineLevel="0" collapsed="false">
      <c r="A44" s="389" t="s">
        <v>444</v>
      </c>
      <c r="C44" s="390" t="n">
        <f aca="false">+SUM(C3:C11)-C42</f>
        <v>0</v>
      </c>
      <c r="E44" s="390" t="n">
        <f aca="false">+SUM(E3:E11)-E42</f>
        <v>0</v>
      </c>
      <c r="G44" s="390" t="n">
        <f aca="false">+SUM(G3:G11)-G42</f>
        <v>0</v>
      </c>
      <c r="I44" s="390" t="n">
        <f aca="false">+SUM(I3:I11)-I42</f>
        <v>0</v>
      </c>
      <c r="K44" s="390" t="n">
        <f aca="false">+SUM(K3:K11)-K42</f>
        <v>0</v>
      </c>
      <c r="M44" s="390" t="n">
        <f aca="false">+SUM(M3:M11)-M42</f>
        <v>0</v>
      </c>
      <c r="O44" s="390" t="n">
        <f aca="false">+SUM(O3:O11)-O42</f>
        <v>0</v>
      </c>
      <c r="Q44" s="390" t="n">
        <f aca="false">+SUM(Q3:Q11)-Q42</f>
        <v>0</v>
      </c>
      <c r="S44" s="390" t="n">
        <f aca="false">+SUM(S3:S11)-S42</f>
        <v>0</v>
      </c>
      <c r="U44" s="390" t="n">
        <f aca="false">+SUM(U3:U11)-U42</f>
        <v>0</v>
      </c>
      <c r="V44" s="391"/>
      <c r="W44" s="390" t="n">
        <f aca="false">+SUM(W3:W11)-W42</f>
        <v>0</v>
      </c>
      <c r="X44" s="391"/>
      <c r="Y44" s="390" t="n">
        <f aca="false">+SUM(Y3:Y11)-Y42</f>
        <v>0</v>
      </c>
      <c r="AG44" s="875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3671875" defaultRowHeight="15" zeroHeight="false" outlineLevelRow="0" outlineLevelCol="0"/>
  <cols>
    <col collapsed="false" customWidth="true" hidden="false" outlineLevel="0" max="1" min="1" style="125" width="54.14"/>
    <col collapsed="false" customWidth="true" hidden="false" outlineLevel="0" max="2" min="2" style="125" width="4.86"/>
    <col collapsed="false" customWidth="true" hidden="false" outlineLevel="0" max="3" min="3" style="125" width="7"/>
    <col collapsed="false" customWidth="true" hidden="false" outlineLevel="0" max="4" min="4" style="125" width="15"/>
    <col collapsed="false" customWidth="true" hidden="false" outlineLevel="0" max="5" min="5" style="125" width="4.14"/>
    <col collapsed="false" customWidth="true" hidden="false" outlineLevel="0" max="6" min="6" style="125" width="15"/>
    <col collapsed="false" customWidth="true" hidden="false" outlineLevel="0" max="7" min="7" style="125" width="2.71"/>
    <col collapsed="false" customWidth="true" hidden="false" outlineLevel="0" max="8" min="8" style="0" width="12.42"/>
    <col collapsed="false" customWidth="true" hidden="false" outlineLevel="0" max="9" min="9" style="125" width="2.71"/>
    <col collapsed="false" customWidth="true" hidden="false" outlineLevel="0" max="10" min="10" style="125" width="16.71"/>
    <col collapsed="false" customWidth="false" hidden="false" outlineLevel="0" max="1024" min="11" style="125" width="9.13"/>
  </cols>
  <sheetData>
    <row r="1" s="125" customFormat="true" ht="11.25" hidden="false" customHeight="false" outlineLevel="0" collapsed="false">
      <c r="B1" s="128"/>
      <c r="C1" s="128"/>
      <c r="D1" s="128"/>
      <c r="E1" s="128"/>
      <c r="F1" s="129" t="s">
        <v>152</v>
      </c>
    </row>
    <row r="2" s="125" customFormat="true" ht="11.25" hidden="false" customHeight="false" outlineLevel="0" collapsed="false">
      <c r="A2" s="130"/>
      <c r="B2" s="131" t="s">
        <v>120</v>
      </c>
      <c r="C2" s="132"/>
      <c r="D2" s="133" t="n">
        <v>2016</v>
      </c>
      <c r="E2" s="132"/>
      <c r="F2" s="133" t="n">
        <v>2015</v>
      </c>
      <c r="G2" s="134"/>
      <c r="I2" s="134"/>
      <c r="J2" s="134"/>
    </row>
    <row r="3" s="125" customFormat="true" ht="3" hidden="false" customHeight="true" outlineLevel="0" collapsed="false">
      <c r="A3" s="135"/>
      <c r="B3" s="135"/>
      <c r="C3" s="135"/>
      <c r="D3" s="134"/>
      <c r="E3" s="135"/>
      <c r="F3" s="134"/>
      <c r="G3" s="134"/>
      <c r="I3" s="134"/>
      <c r="J3" s="134"/>
    </row>
    <row r="4" s="125" customFormat="true" ht="15" hidden="false" customHeight="true" outlineLevel="0" collapsed="false">
      <c r="A4" s="136" t="s">
        <v>101</v>
      </c>
      <c r="B4" s="137" t="n">
        <v>32</v>
      </c>
      <c r="C4" s="136"/>
      <c r="D4" s="138" t="n">
        <v>146570644</v>
      </c>
      <c r="E4" s="139"/>
      <c r="F4" s="138" t="n">
        <v>124212687</v>
      </c>
      <c r="G4" s="140"/>
      <c r="I4" s="140"/>
      <c r="J4" s="141"/>
    </row>
    <row r="5" s="79" customFormat="true" ht="11.25" hidden="false" customHeight="false" outlineLevel="0" collapsed="false">
      <c r="A5" s="142" t="s">
        <v>153</v>
      </c>
      <c r="B5" s="143" t="n">
        <v>29</v>
      </c>
      <c r="C5" s="144"/>
      <c r="D5" s="145" t="n">
        <v>-96891637</v>
      </c>
      <c r="E5" s="146"/>
      <c r="F5" s="145" t="n">
        <v>-89061601</v>
      </c>
      <c r="G5" s="147"/>
      <c r="I5" s="147"/>
      <c r="J5" s="148"/>
    </row>
    <row r="6" s="125" customFormat="true" ht="7.5" hidden="false" customHeight="true" outlineLevel="0" collapsed="false">
      <c r="A6" s="149"/>
      <c r="B6" s="149"/>
      <c r="C6" s="149"/>
      <c r="D6" s="140"/>
      <c r="E6" s="139"/>
      <c r="F6" s="140"/>
      <c r="G6" s="140"/>
      <c r="I6" s="140"/>
      <c r="J6" s="134"/>
    </row>
    <row r="7" s="125" customFormat="true" ht="11.25" hidden="false" customHeight="false" outlineLevel="0" collapsed="false">
      <c r="A7" s="136" t="s">
        <v>154</v>
      </c>
      <c r="B7" s="149"/>
      <c r="C7" s="149"/>
      <c r="D7" s="150" t="n">
        <f aca="false">+D4+D5</f>
        <v>49679007</v>
      </c>
      <c r="E7" s="139"/>
      <c r="F7" s="150" t="n">
        <f aca="false">+F4+F5</f>
        <v>35151086</v>
      </c>
      <c r="G7" s="140"/>
      <c r="I7" s="140"/>
      <c r="J7" s="134"/>
    </row>
    <row r="8" s="125" customFormat="true" ht="6" hidden="false" customHeight="true" outlineLevel="0" collapsed="false">
      <c r="A8" s="149"/>
      <c r="B8" s="149"/>
      <c r="C8" s="149"/>
      <c r="D8" s="140"/>
      <c r="E8" s="139"/>
      <c r="F8" s="140"/>
      <c r="G8" s="140"/>
      <c r="I8" s="140"/>
      <c r="J8" s="134"/>
    </row>
    <row r="9" s="79" customFormat="true" ht="13.5" hidden="false" customHeight="true" outlineLevel="0" collapsed="false">
      <c r="A9" s="142" t="s">
        <v>155</v>
      </c>
      <c r="B9" s="143" t="n">
        <v>29</v>
      </c>
      <c r="C9" s="144"/>
      <c r="D9" s="151" t="n">
        <v>-33364185</v>
      </c>
      <c r="E9" s="146"/>
      <c r="F9" s="151" t="n">
        <v>-32040164</v>
      </c>
      <c r="G9" s="147"/>
      <c r="I9" s="147"/>
      <c r="J9" s="152"/>
    </row>
    <row r="10" s="125" customFormat="true" ht="13.5" hidden="false" customHeight="true" outlineLevel="0" collapsed="false">
      <c r="A10" s="136" t="s">
        <v>156</v>
      </c>
      <c r="B10" s="137" t="n">
        <v>30</v>
      </c>
      <c r="C10" s="149"/>
      <c r="D10" s="153" t="n">
        <v>-102671</v>
      </c>
      <c r="E10" s="139"/>
      <c r="F10" s="153" t="n">
        <v>14615520</v>
      </c>
      <c r="G10" s="140"/>
      <c r="I10" s="140"/>
      <c r="J10" s="134"/>
    </row>
    <row r="11" s="125" customFormat="true" ht="7.5" hidden="false" customHeight="true" outlineLevel="0" collapsed="false">
      <c r="A11" s="149"/>
      <c r="B11" s="149"/>
      <c r="C11" s="149"/>
      <c r="D11" s="140"/>
      <c r="E11" s="139"/>
      <c r="F11" s="140"/>
      <c r="G11" s="140"/>
      <c r="I11" s="140"/>
      <c r="J11" s="134"/>
    </row>
    <row r="12" s="125" customFormat="true" ht="11.25" hidden="false" customHeight="false" outlineLevel="0" collapsed="false">
      <c r="A12" s="136" t="s">
        <v>157</v>
      </c>
      <c r="B12" s="149"/>
      <c r="C12" s="149"/>
      <c r="D12" s="154" t="n">
        <f aca="false">SUM(D7:D10)</f>
        <v>16212151</v>
      </c>
      <c r="E12" s="139"/>
      <c r="F12" s="154" t="n">
        <f aca="false">SUM(F7:F10)</f>
        <v>17726442</v>
      </c>
      <c r="G12" s="140"/>
      <c r="I12" s="140"/>
      <c r="J12" s="134"/>
    </row>
    <row r="13" s="125" customFormat="true" ht="5.25" hidden="false" customHeight="true" outlineLevel="0" collapsed="false">
      <c r="A13" s="149"/>
      <c r="B13" s="149"/>
      <c r="C13" s="149"/>
      <c r="D13" s="140"/>
      <c r="E13" s="138"/>
      <c r="F13" s="140"/>
      <c r="G13" s="140"/>
      <c r="I13" s="140"/>
      <c r="J13" s="134"/>
    </row>
    <row r="14" s="125" customFormat="true" ht="11.25" hidden="false" customHeight="true" outlineLevel="0" collapsed="false">
      <c r="A14" s="136" t="s">
        <v>108</v>
      </c>
      <c r="B14" s="137" t="n">
        <v>31</v>
      </c>
      <c r="C14" s="149"/>
      <c r="D14" s="153" t="n">
        <v>-4584126</v>
      </c>
      <c r="E14" s="139"/>
      <c r="F14" s="153" t="n">
        <v>-3999363</v>
      </c>
      <c r="G14" s="140"/>
      <c r="I14" s="140"/>
      <c r="J14" s="134"/>
    </row>
    <row r="15" s="125" customFormat="true" ht="11.25" hidden="false" customHeight="false" outlineLevel="0" collapsed="false">
      <c r="A15" s="136"/>
      <c r="B15" s="136"/>
      <c r="C15" s="149"/>
      <c r="D15" s="155"/>
      <c r="E15" s="139"/>
      <c r="F15" s="155"/>
      <c r="G15" s="140"/>
      <c r="I15" s="140"/>
      <c r="J15" s="134"/>
    </row>
    <row r="16" s="125" customFormat="true" ht="11.25" hidden="false" customHeight="false" outlineLevel="0" collapsed="false">
      <c r="A16" s="136" t="s">
        <v>158</v>
      </c>
      <c r="B16" s="136"/>
      <c r="C16" s="149"/>
      <c r="D16" s="154" t="n">
        <f aca="false">SUM(D12:D14)</f>
        <v>11628025</v>
      </c>
      <c r="E16" s="139"/>
      <c r="F16" s="154" t="n">
        <f aca="false">SUM(F12:F14)</f>
        <v>13727079</v>
      </c>
      <c r="G16" s="140"/>
      <c r="I16" s="140"/>
      <c r="J16" s="156"/>
    </row>
    <row r="17" s="125" customFormat="true" ht="5.25" hidden="false" customHeight="true" outlineLevel="0" collapsed="false">
      <c r="A17" s="149"/>
      <c r="B17" s="136"/>
      <c r="C17" s="149"/>
      <c r="D17" s="140"/>
      <c r="E17" s="139"/>
      <c r="F17" s="140"/>
      <c r="G17" s="140"/>
      <c r="I17" s="140"/>
      <c r="J17" s="157"/>
    </row>
    <row r="18" s="125" customFormat="true" ht="11.25" hidden="false" customHeight="false" outlineLevel="0" collapsed="false">
      <c r="A18" s="136" t="s">
        <v>159</v>
      </c>
      <c r="B18" s="137" t="n">
        <v>22</v>
      </c>
      <c r="C18" s="149"/>
      <c r="D18" s="153" t="n">
        <v>-3198548</v>
      </c>
      <c r="E18" s="139"/>
      <c r="F18" s="153" t="n">
        <v>-1573103</v>
      </c>
      <c r="G18" s="140"/>
      <c r="I18" s="140"/>
      <c r="J18" s="157"/>
    </row>
    <row r="19" s="125" customFormat="true" ht="11.25" hidden="false" customHeight="false" outlineLevel="0" collapsed="false">
      <c r="A19" s="149"/>
      <c r="B19" s="149"/>
      <c r="C19" s="149"/>
      <c r="D19" s="140"/>
      <c r="E19" s="139"/>
      <c r="F19" s="140"/>
      <c r="G19" s="140"/>
      <c r="I19" s="140"/>
    </row>
    <row r="20" s="125" customFormat="true" ht="11.25" hidden="false" customHeight="false" outlineLevel="0" collapsed="false">
      <c r="A20" s="136" t="s">
        <v>160</v>
      </c>
      <c r="B20" s="149"/>
      <c r="C20" s="158"/>
      <c r="D20" s="154" t="n">
        <f aca="false">SUM(D16:D18)</f>
        <v>8429477</v>
      </c>
      <c r="E20" s="138"/>
      <c r="F20" s="154" t="n">
        <f aca="false">SUM(F16:F18)</f>
        <v>12153976</v>
      </c>
      <c r="G20" s="140"/>
      <c r="I20" s="140"/>
      <c r="J20" s="157"/>
    </row>
    <row r="21" s="125" customFormat="true" ht="5.25" hidden="false" customHeight="true" outlineLevel="0" collapsed="false">
      <c r="A21" s="136"/>
      <c r="B21" s="149"/>
      <c r="C21" s="158"/>
      <c r="D21" s="154"/>
      <c r="E21" s="138"/>
      <c r="F21" s="154"/>
      <c r="G21" s="140"/>
      <c r="I21" s="140"/>
      <c r="J21" s="157"/>
    </row>
    <row r="22" s="125" customFormat="true" ht="11.25" hidden="false" customHeight="false" outlineLevel="0" collapsed="false">
      <c r="A22" s="136" t="s">
        <v>161</v>
      </c>
      <c r="B22" s="149"/>
      <c r="C22" s="158"/>
      <c r="D22" s="154"/>
      <c r="E22" s="138"/>
      <c r="F22" s="154"/>
      <c r="G22" s="140"/>
      <c r="I22" s="140"/>
      <c r="J22" s="157"/>
    </row>
    <row r="23" s="125" customFormat="true" ht="11.25" hidden="false" customHeight="false" outlineLevel="0" collapsed="false">
      <c r="A23" s="136" t="s">
        <v>162</v>
      </c>
      <c r="B23" s="149"/>
      <c r="C23" s="158"/>
      <c r="D23" s="154"/>
      <c r="E23" s="138"/>
      <c r="F23" s="154"/>
      <c r="G23" s="140"/>
      <c r="I23" s="140"/>
      <c r="J23" s="157"/>
    </row>
    <row r="24" s="125" customFormat="true" ht="11.25" hidden="false" customHeight="false" outlineLevel="0" collapsed="false">
      <c r="A24" s="136" t="s">
        <v>163</v>
      </c>
      <c r="B24" s="149"/>
      <c r="C24" s="158"/>
      <c r="D24" s="154"/>
      <c r="E24" s="138"/>
      <c r="F24" s="154"/>
      <c r="G24" s="140"/>
      <c r="I24" s="140"/>
      <c r="J24" s="157"/>
    </row>
    <row r="25" s="125" customFormat="true" ht="9" hidden="false" customHeight="true" outlineLevel="0" collapsed="false">
      <c r="A25" s="136"/>
      <c r="B25" s="149"/>
      <c r="C25" s="158"/>
      <c r="D25" s="154"/>
      <c r="E25" s="138"/>
      <c r="F25" s="154"/>
      <c r="G25" s="140"/>
      <c r="I25" s="140"/>
      <c r="J25" s="157"/>
    </row>
    <row r="26" s="125" customFormat="true" ht="11.25" hidden="false" customHeight="false" outlineLevel="0" collapsed="false">
      <c r="A26" s="136" t="s">
        <v>164</v>
      </c>
      <c r="B26" s="149" t="n">
        <v>25</v>
      </c>
      <c r="C26" s="158"/>
      <c r="D26" s="150" t="n">
        <v>-495802</v>
      </c>
      <c r="E26" s="138"/>
      <c r="F26" s="150" t="n">
        <v>14390</v>
      </c>
      <c r="G26" s="140"/>
      <c r="I26" s="140"/>
      <c r="J26" s="157"/>
    </row>
    <row r="27" s="125" customFormat="true" ht="5.25" hidden="false" customHeight="true" outlineLevel="0" collapsed="false">
      <c r="A27" s="136"/>
      <c r="B27" s="149"/>
      <c r="C27" s="158"/>
      <c r="D27" s="154"/>
      <c r="E27" s="138"/>
      <c r="F27" s="154"/>
      <c r="G27" s="140"/>
      <c r="I27" s="140"/>
      <c r="J27" s="157"/>
    </row>
    <row r="28" s="125" customFormat="true" ht="12" hidden="false" customHeight="false" outlineLevel="0" collapsed="false">
      <c r="A28" s="136" t="s">
        <v>98</v>
      </c>
      <c r="B28" s="149"/>
      <c r="C28" s="158"/>
      <c r="D28" s="159" t="n">
        <f aca="false">+D20+D26</f>
        <v>7933675</v>
      </c>
      <c r="E28" s="138"/>
      <c r="F28" s="159" t="n">
        <f aca="false">+F20+F26</f>
        <v>12168366</v>
      </c>
      <c r="G28" s="140"/>
      <c r="I28" s="140"/>
      <c r="J28" s="157"/>
    </row>
    <row r="29" s="125" customFormat="true" ht="12" hidden="false" customHeight="false" outlineLevel="0" collapsed="false">
      <c r="A29" s="149"/>
      <c r="B29" s="149"/>
      <c r="C29" s="149"/>
      <c r="D29" s="140"/>
      <c r="E29" s="160"/>
      <c r="F29" s="140"/>
      <c r="G29" s="140"/>
      <c r="I29" s="140"/>
      <c r="J29" s="157"/>
    </row>
    <row r="30" s="125" customFormat="true" ht="11.25" hidden="false" customHeight="false" outlineLevel="0" collapsed="false">
      <c r="A30" s="125" t="s">
        <v>165</v>
      </c>
      <c r="B30" s="149"/>
      <c r="C30" s="149"/>
      <c r="D30" s="140"/>
      <c r="E30" s="160"/>
      <c r="F30" s="140"/>
      <c r="G30" s="140"/>
      <c r="I30" s="140"/>
      <c r="J30" s="157"/>
    </row>
    <row r="31" s="125" customFormat="true" ht="11.25" hidden="false" customHeight="false" outlineLevel="0" collapsed="false">
      <c r="B31" s="149"/>
      <c r="C31" s="149"/>
      <c r="D31" s="140"/>
      <c r="E31" s="160"/>
      <c r="F31" s="140"/>
      <c r="G31" s="140"/>
      <c r="I31" s="140"/>
      <c r="J31" s="157"/>
    </row>
    <row r="32" customFormat="false" ht="11.25" hidden="false" customHeight="false" outlineLevel="0" collapsed="false">
      <c r="A32" s="125" t="s">
        <v>166</v>
      </c>
      <c r="B32" s="149"/>
      <c r="C32" s="149"/>
      <c r="D32" s="124" t="n">
        <v>7615423</v>
      </c>
      <c r="E32" s="160"/>
      <c r="F32" s="124" t="n">
        <f aca="false">F28-F33</f>
        <v>12546363</v>
      </c>
      <c r="G32" s="140"/>
      <c r="H32" s="161" t="n">
        <f aca="false">F32-F26</f>
        <v>12531973</v>
      </c>
      <c r="I32" s="140"/>
      <c r="J32" s="157"/>
    </row>
    <row r="33" s="125" customFormat="true" ht="11.25" hidden="false" customHeight="false" outlineLevel="0" collapsed="false">
      <c r="A33" s="125" t="s">
        <v>150</v>
      </c>
      <c r="B33" s="149"/>
      <c r="C33" s="149"/>
      <c r="D33" s="103" t="n">
        <v>318252</v>
      </c>
      <c r="E33" s="160"/>
      <c r="F33" s="103" t="n">
        <v>-377997</v>
      </c>
      <c r="G33" s="140"/>
      <c r="I33" s="140"/>
      <c r="J33" s="157"/>
    </row>
    <row r="34" s="125" customFormat="true" ht="12" hidden="false" customHeight="false" outlineLevel="0" collapsed="false">
      <c r="A34" s="149"/>
      <c r="B34" s="149"/>
      <c r="C34" s="149"/>
      <c r="D34" s="162" t="n">
        <f aca="false">SUM(D32:D33)</f>
        <v>7933675</v>
      </c>
      <c r="E34" s="160"/>
      <c r="F34" s="162" t="n">
        <f aca="false">SUM(F32:F33)</f>
        <v>12168366</v>
      </c>
      <c r="G34" s="140"/>
      <c r="I34" s="140"/>
      <c r="J34" s="157"/>
    </row>
    <row r="35" s="125" customFormat="true" ht="12" hidden="false" customHeight="false" outlineLevel="0" collapsed="false">
      <c r="A35" s="149"/>
      <c r="B35" s="149"/>
      <c r="C35" s="149"/>
      <c r="D35" s="140"/>
      <c r="E35" s="160"/>
      <c r="F35" s="140"/>
      <c r="G35" s="140"/>
      <c r="I35" s="140"/>
      <c r="J35" s="157"/>
    </row>
    <row r="36" s="125" customFormat="true" ht="6" hidden="false" customHeight="true" outlineLevel="0" collapsed="false"/>
    <row r="37" s="125" customFormat="true" ht="11.25" hidden="false" customHeight="false" outlineLevel="0" collapsed="false"/>
    <row r="38" s="125" customFormat="true" ht="11.25" hidden="false" customHeight="false" outlineLevel="0" collapsed="false"/>
    <row r="39" s="125" customFormat="true" ht="11.25" hidden="false" customHeight="false" outlineLevel="0" collapsed="false"/>
    <row r="40" s="125" customFormat="true" ht="11.2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42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D8" activeCellId="0" sqref="D8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79" width="49.71"/>
    <col collapsed="false" customWidth="true" hidden="false" outlineLevel="0" max="2" min="2" style="79" width="12.71"/>
    <col collapsed="false" customWidth="true" hidden="false" outlineLevel="0" max="3" min="3" style="79" width="1.29"/>
    <col collapsed="false" customWidth="true" hidden="false" outlineLevel="0" max="4" min="4" style="79" width="15.15"/>
    <col collapsed="false" customWidth="true" hidden="false" outlineLevel="0" max="5" min="5" style="79" width="1.12"/>
    <col collapsed="false" customWidth="true" hidden="false" outlineLevel="0" max="6" min="6" style="79" width="11.57"/>
    <col collapsed="false" customWidth="true" hidden="false" outlineLevel="0" max="7" min="7" style="79" width="1.12"/>
    <col collapsed="false" customWidth="true" hidden="false" outlineLevel="0" max="8" min="8" style="79" width="10.71"/>
    <col collapsed="false" customWidth="true" hidden="false" outlineLevel="0" max="9" min="9" style="79" width="1.12"/>
    <col collapsed="false" customWidth="true" hidden="false" outlineLevel="0" max="10" min="10" style="79" width="9.85"/>
    <col collapsed="false" customWidth="true" hidden="false" outlineLevel="0" max="11" min="11" style="79" width="1.29"/>
    <col collapsed="false" customWidth="true" hidden="false" outlineLevel="0" max="12" min="12" style="79" width="12.57"/>
    <col collapsed="false" customWidth="true" hidden="false" outlineLevel="0" max="13" min="13" style="79" width="1.29"/>
    <col collapsed="false" customWidth="true" hidden="false" outlineLevel="0" max="14" min="14" style="79" width="15.57"/>
    <col collapsed="false" customWidth="true" hidden="false" outlineLevel="0" max="15" min="15" style="79" width="1.29"/>
    <col collapsed="false" customWidth="true" hidden="false" outlineLevel="0" max="16" min="16" style="79" width="14.43"/>
    <col collapsed="false" customWidth="true" hidden="false" outlineLevel="0" max="17" min="17" style="79" width="1.12"/>
    <col collapsed="false" customWidth="true" hidden="false" outlineLevel="0" max="18" min="18" style="79" width="12.71"/>
    <col collapsed="false" customWidth="false" hidden="false" outlineLevel="0" max="19" min="19" style="79" width="11.42"/>
    <col collapsed="false" customWidth="true" hidden="false" outlineLevel="0" max="20" min="20" style="79" width="12.71"/>
    <col collapsed="false" customWidth="false" hidden="false" outlineLevel="0" max="1024" min="21" style="79" width="11.42"/>
  </cols>
  <sheetData>
    <row r="2" customFormat="false" ht="11.25" hidden="false" customHeight="false" outlineLevel="0" collapsed="false">
      <c r="B2" s="163"/>
      <c r="D2" s="164"/>
      <c r="F2" s="165" t="s">
        <v>148</v>
      </c>
      <c r="G2" s="165"/>
      <c r="H2" s="165"/>
      <c r="J2" s="165" t="s">
        <v>149</v>
      </c>
      <c r="K2" s="165"/>
      <c r="L2" s="165"/>
      <c r="M2" s="165"/>
      <c r="N2" s="165"/>
      <c r="O2" s="166"/>
      <c r="P2" s="166"/>
      <c r="U2" s="167"/>
    </row>
    <row r="3" customFormat="false" ht="11.25" hidden="false" customHeight="false" outlineLevel="0" collapsed="false">
      <c r="B3" s="168"/>
      <c r="D3" s="81" t="s">
        <v>167</v>
      </c>
      <c r="F3" s="163"/>
      <c r="G3" s="163"/>
      <c r="H3" s="163"/>
      <c r="J3" s="163" t="s">
        <v>168</v>
      </c>
      <c r="K3" s="163"/>
      <c r="L3" s="163" t="s">
        <v>169</v>
      </c>
      <c r="N3" s="81" t="s">
        <v>170</v>
      </c>
      <c r="P3" s="81" t="s">
        <v>171</v>
      </c>
      <c r="U3" s="167"/>
    </row>
    <row r="4" customFormat="false" ht="11.25" hidden="false" customHeight="false" outlineLevel="0" collapsed="false">
      <c r="B4" s="165" t="s">
        <v>172</v>
      </c>
      <c r="D4" s="169" t="s">
        <v>173</v>
      </c>
      <c r="F4" s="165" t="s">
        <v>174</v>
      </c>
      <c r="H4" s="165" t="s">
        <v>175</v>
      </c>
      <c r="J4" s="165" t="s">
        <v>176</v>
      </c>
      <c r="L4" s="165" t="s">
        <v>177</v>
      </c>
      <c r="N4" s="165" t="s">
        <v>178</v>
      </c>
      <c r="P4" s="170" t="s">
        <v>179</v>
      </c>
      <c r="R4" s="170" t="s">
        <v>180</v>
      </c>
    </row>
    <row r="6" customFormat="false" ht="11.25" hidden="false" customHeight="false" outlineLevel="0" collapsed="false">
      <c r="A6" s="171" t="s">
        <v>181</v>
      </c>
      <c r="B6" s="172" t="n">
        <v>11061874</v>
      </c>
      <c r="C6" s="119"/>
      <c r="D6" s="172" t="n">
        <v>10877339</v>
      </c>
      <c r="E6" s="119"/>
      <c r="F6" s="172" t="n">
        <v>929450</v>
      </c>
      <c r="G6" s="119"/>
      <c r="H6" s="172" t="n">
        <v>34797</v>
      </c>
      <c r="I6" s="119"/>
      <c r="J6" s="172" t="n">
        <v>227072</v>
      </c>
      <c r="K6" s="119"/>
      <c r="L6" s="172" t="n">
        <v>-3202431</v>
      </c>
      <c r="M6" s="119"/>
      <c r="N6" s="172" t="n">
        <v>35430659</v>
      </c>
      <c r="O6" s="119"/>
      <c r="P6" s="172" t="n">
        <v>9731456</v>
      </c>
      <c r="Q6" s="119"/>
      <c r="R6" s="172" t="n">
        <f aca="false">SUM(B6:P6)</f>
        <v>65090216</v>
      </c>
    </row>
    <row r="7" customFormat="false" ht="11.25" hidden="false" customHeight="false" outlineLevel="0" collapsed="false">
      <c r="A7" s="173"/>
      <c r="B7" s="172"/>
      <c r="C7" s="119"/>
      <c r="D7" s="172"/>
      <c r="E7" s="119"/>
      <c r="F7" s="172"/>
      <c r="G7" s="119"/>
      <c r="H7" s="172"/>
      <c r="I7" s="119"/>
      <c r="J7" s="172"/>
      <c r="K7" s="119"/>
      <c r="L7" s="172"/>
      <c r="M7" s="119"/>
      <c r="N7" s="172"/>
      <c r="O7" s="119"/>
      <c r="P7" s="172"/>
      <c r="Q7" s="119"/>
      <c r="R7" s="172"/>
    </row>
    <row r="8" customFormat="false" ht="22.5" hidden="false" customHeight="false" outlineLevel="0" collapsed="false">
      <c r="A8" s="174" t="s">
        <v>182</v>
      </c>
      <c r="B8" s="172" t="n">
        <v>0</v>
      </c>
      <c r="C8" s="119"/>
      <c r="D8" s="172" t="n">
        <v>-3094403</v>
      </c>
      <c r="E8" s="119"/>
      <c r="F8" s="172" t="n">
        <v>0</v>
      </c>
      <c r="G8" s="119"/>
      <c r="H8" s="172" t="n">
        <v>0</v>
      </c>
      <c r="I8" s="119"/>
      <c r="J8" s="172" t="n">
        <v>0</v>
      </c>
      <c r="K8" s="119"/>
      <c r="L8" s="175" t="n">
        <v>0</v>
      </c>
      <c r="M8" s="119"/>
      <c r="N8" s="176" t="n">
        <v>0</v>
      </c>
      <c r="O8" s="119"/>
      <c r="P8" s="176" t="n">
        <v>0</v>
      </c>
      <c r="Q8" s="119"/>
      <c r="R8" s="102" t="n">
        <f aca="false">+SUM(B8:P8)</f>
        <v>-3094403</v>
      </c>
    </row>
    <row r="9" customFormat="false" ht="11.25" hidden="false" customHeight="false" outlineLevel="0" collapsed="false">
      <c r="A9" s="168"/>
      <c r="B9" s="172"/>
      <c r="C9" s="119"/>
      <c r="D9" s="172"/>
      <c r="E9" s="119"/>
      <c r="F9" s="172"/>
      <c r="G9" s="119"/>
      <c r="H9" s="172"/>
      <c r="I9" s="119"/>
      <c r="J9" s="172"/>
      <c r="K9" s="119"/>
      <c r="L9" s="175"/>
      <c r="M9" s="119"/>
      <c r="N9" s="176"/>
      <c r="O9" s="119"/>
      <c r="P9" s="176"/>
      <c r="Q9" s="119"/>
      <c r="R9" s="102"/>
    </row>
    <row r="10" customFormat="false" ht="22.5" hidden="false" customHeight="false" outlineLevel="0" collapsed="false">
      <c r="A10" s="177" t="s">
        <v>183</v>
      </c>
      <c r="B10" s="172" t="n">
        <v>7077000</v>
      </c>
      <c r="C10" s="119"/>
      <c r="D10" s="172" t="n">
        <v>-7077000</v>
      </c>
      <c r="E10" s="119"/>
      <c r="F10" s="172" t="n">
        <v>0</v>
      </c>
      <c r="G10" s="119"/>
      <c r="H10" s="172" t="n">
        <v>0</v>
      </c>
      <c r="I10" s="119"/>
      <c r="J10" s="172" t="n">
        <v>0</v>
      </c>
      <c r="K10" s="119"/>
      <c r="L10" s="175" t="n">
        <v>0</v>
      </c>
      <c r="M10" s="119"/>
      <c r="N10" s="176" t="n">
        <v>0</v>
      </c>
      <c r="O10" s="119"/>
      <c r="P10" s="176" t="n">
        <v>0</v>
      </c>
      <c r="Q10" s="119"/>
      <c r="R10" s="102" t="n">
        <f aca="false">+SUM(B10:P10)</f>
        <v>0</v>
      </c>
    </row>
    <row r="11" customFormat="false" ht="11.25" hidden="false" customHeight="false" outlineLevel="0" collapsed="false">
      <c r="A11" s="108"/>
      <c r="B11" s="172"/>
      <c r="C11" s="119"/>
      <c r="D11" s="172"/>
      <c r="E11" s="119"/>
      <c r="F11" s="172"/>
      <c r="G11" s="119"/>
      <c r="H11" s="172"/>
      <c r="I11" s="119"/>
      <c r="J11" s="172"/>
      <c r="K11" s="119"/>
      <c r="L11" s="175"/>
      <c r="M11" s="119"/>
      <c r="N11" s="176"/>
      <c r="O11" s="119"/>
      <c r="P11" s="176"/>
      <c r="Q11" s="119"/>
      <c r="R11" s="102"/>
    </row>
    <row r="12" customFormat="false" ht="22.5" hidden="false" customHeight="false" outlineLevel="0" collapsed="false">
      <c r="A12" s="177" t="s">
        <v>184</v>
      </c>
      <c r="B12" s="172" t="n">
        <v>5470478</v>
      </c>
      <c r="C12" s="119"/>
      <c r="D12" s="172" t="n">
        <v>0</v>
      </c>
      <c r="E12" s="119"/>
      <c r="F12" s="172" t="n">
        <v>0</v>
      </c>
      <c r="G12" s="119"/>
      <c r="H12" s="172" t="n">
        <v>0</v>
      </c>
      <c r="I12" s="119"/>
      <c r="J12" s="172" t="n">
        <v>0</v>
      </c>
      <c r="K12" s="119"/>
      <c r="L12" s="175" t="n">
        <v>0</v>
      </c>
      <c r="M12" s="119"/>
      <c r="N12" s="176" t="n">
        <v>-5470478</v>
      </c>
      <c r="O12" s="119"/>
      <c r="P12" s="176" t="n">
        <v>0</v>
      </c>
      <c r="Q12" s="119"/>
      <c r="R12" s="102" t="n">
        <f aca="false">+SUM(B12:P12)</f>
        <v>0</v>
      </c>
    </row>
    <row r="13" customFormat="false" ht="11.25" hidden="false" customHeight="false" outlineLevel="0" collapsed="false">
      <c r="A13" s="168"/>
      <c r="B13" s="172"/>
      <c r="C13" s="119"/>
      <c r="D13" s="172"/>
      <c r="E13" s="119"/>
      <c r="F13" s="172"/>
      <c r="G13" s="119"/>
      <c r="H13" s="172"/>
      <c r="I13" s="119"/>
      <c r="J13" s="172"/>
      <c r="K13" s="119"/>
      <c r="L13" s="175"/>
      <c r="M13" s="119"/>
      <c r="N13" s="176"/>
      <c r="O13" s="119"/>
      <c r="P13" s="176"/>
      <c r="Q13" s="119"/>
      <c r="R13" s="102"/>
    </row>
    <row r="14" customFormat="false" ht="22.5" hidden="false" customHeight="false" outlineLevel="0" collapsed="false">
      <c r="A14" s="177" t="s">
        <v>185</v>
      </c>
      <c r="B14" s="172" t="n">
        <v>270000</v>
      </c>
      <c r="C14" s="119"/>
      <c r="D14" s="172" t="n">
        <v>0</v>
      </c>
      <c r="E14" s="119"/>
      <c r="F14" s="172" t="n">
        <v>0</v>
      </c>
      <c r="G14" s="119"/>
      <c r="H14" s="172" t="n">
        <v>0</v>
      </c>
      <c r="I14" s="119"/>
      <c r="J14" s="172" t="n">
        <v>0</v>
      </c>
      <c r="K14" s="119"/>
      <c r="L14" s="175" t="n">
        <v>0</v>
      </c>
      <c r="M14" s="119"/>
      <c r="N14" s="176" t="n">
        <v>-270000</v>
      </c>
      <c r="O14" s="119"/>
      <c r="P14" s="176" t="n">
        <v>0</v>
      </c>
      <c r="Q14" s="119"/>
      <c r="R14" s="102" t="n">
        <f aca="false">+SUM(B14:P14)</f>
        <v>0</v>
      </c>
    </row>
    <row r="15" customFormat="false" ht="11.25" hidden="false" customHeight="false" outlineLevel="0" collapsed="false">
      <c r="B15" s="94"/>
      <c r="C15" s="119"/>
      <c r="D15" s="94"/>
      <c r="E15" s="119"/>
      <c r="F15" s="94"/>
      <c r="G15" s="119"/>
      <c r="H15" s="94"/>
      <c r="I15" s="119"/>
      <c r="J15" s="94"/>
      <c r="K15" s="119"/>
      <c r="L15" s="94"/>
      <c r="M15" s="119"/>
      <c r="N15" s="94"/>
      <c r="O15" s="119"/>
      <c r="P15" s="94"/>
      <c r="Q15" s="119"/>
      <c r="R15" s="94"/>
    </row>
    <row r="16" customFormat="false" ht="33.75" hidden="false" customHeight="false" outlineLevel="0" collapsed="false">
      <c r="A16" s="177" t="s">
        <v>186</v>
      </c>
      <c r="B16" s="172" t="n">
        <v>0</v>
      </c>
      <c r="C16" s="119"/>
      <c r="D16" s="172" t="n">
        <v>0</v>
      </c>
      <c r="E16" s="119"/>
      <c r="F16" s="172" t="n">
        <v>1710803</v>
      </c>
      <c r="G16" s="119"/>
      <c r="H16" s="172" t="n">
        <v>0</v>
      </c>
      <c r="I16" s="119"/>
      <c r="J16" s="172" t="n">
        <v>0</v>
      </c>
      <c r="K16" s="119"/>
      <c r="L16" s="175" t="n">
        <v>0</v>
      </c>
      <c r="M16" s="119"/>
      <c r="N16" s="176" t="n">
        <v>-1710803</v>
      </c>
      <c r="O16" s="119"/>
      <c r="P16" s="176" t="n">
        <v>0</v>
      </c>
      <c r="Q16" s="119"/>
      <c r="R16" s="102" t="n">
        <f aca="false">+SUM(B16:P16)</f>
        <v>0</v>
      </c>
    </row>
    <row r="17" customFormat="false" ht="11.25" hidden="false" customHeight="false" outlineLevel="0" collapsed="false">
      <c r="A17" s="168"/>
      <c r="B17" s="172"/>
      <c r="C17" s="119"/>
      <c r="D17" s="172"/>
      <c r="E17" s="119"/>
      <c r="F17" s="172"/>
      <c r="G17" s="119"/>
      <c r="H17" s="172"/>
      <c r="I17" s="119"/>
      <c r="J17" s="172"/>
      <c r="K17" s="119"/>
      <c r="L17" s="175"/>
      <c r="M17" s="119"/>
      <c r="N17" s="176"/>
      <c r="O17" s="119"/>
      <c r="P17" s="176"/>
      <c r="Q17" s="119"/>
      <c r="R17" s="102"/>
    </row>
    <row r="18" customFormat="false" ht="11.25" hidden="false" customHeight="false" outlineLevel="0" collapsed="false">
      <c r="A18" s="164" t="s">
        <v>187</v>
      </c>
      <c r="B18" s="172" t="n">
        <v>0</v>
      </c>
      <c r="C18" s="119"/>
      <c r="D18" s="172" t="n">
        <v>0</v>
      </c>
      <c r="E18" s="119"/>
      <c r="F18" s="172" t="n">
        <v>0</v>
      </c>
      <c r="G18" s="119"/>
      <c r="H18" s="172" t="n">
        <v>0</v>
      </c>
      <c r="I18" s="119"/>
      <c r="J18" s="172" t="n">
        <v>0</v>
      </c>
      <c r="K18" s="119"/>
      <c r="L18" s="175" t="n">
        <v>0</v>
      </c>
      <c r="M18" s="119"/>
      <c r="N18" s="178" t="n">
        <v>12531973</v>
      </c>
      <c r="O18" s="119"/>
      <c r="P18" s="178" t="n">
        <v>-377997</v>
      </c>
      <c r="Q18" s="119"/>
      <c r="R18" s="102" t="n">
        <f aca="false">+SUM(B18:P18)</f>
        <v>12153976</v>
      </c>
    </row>
    <row r="19" customFormat="false" ht="11.25" hidden="false" customHeight="false" outlineLevel="0" collapsed="false">
      <c r="A19" s="164"/>
      <c r="B19" s="172"/>
      <c r="C19" s="119"/>
      <c r="D19" s="172"/>
      <c r="E19" s="119"/>
      <c r="F19" s="172"/>
      <c r="G19" s="119"/>
      <c r="H19" s="172"/>
      <c r="I19" s="119"/>
      <c r="J19" s="172"/>
      <c r="K19" s="119"/>
      <c r="L19" s="175"/>
      <c r="M19" s="119"/>
      <c r="N19" s="178"/>
      <c r="O19" s="119"/>
      <c r="P19" s="178"/>
      <c r="Q19" s="119"/>
      <c r="R19" s="102"/>
      <c r="T19" s="119"/>
    </row>
    <row r="20" customFormat="false" ht="11.25" hidden="false" customHeight="false" outlineLevel="0" collapsed="false">
      <c r="A20" s="164" t="s">
        <v>188</v>
      </c>
      <c r="B20" s="172" t="n">
        <v>0</v>
      </c>
      <c r="C20" s="119"/>
      <c r="D20" s="172" t="n">
        <v>0</v>
      </c>
      <c r="E20" s="119"/>
      <c r="F20" s="172" t="n">
        <v>0</v>
      </c>
      <c r="G20" s="119"/>
      <c r="H20" s="172" t="n">
        <v>0</v>
      </c>
      <c r="I20" s="119"/>
      <c r="J20" s="172" t="n">
        <v>0</v>
      </c>
      <c r="K20" s="119"/>
      <c r="L20" s="175" t="n">
        <v>0</v>
      </c>
      <c r="M20" s="119"/>
      <c r="N20" s="178" t="n">
        <v>0</v>
      </c>
      <c r="O20" s="119"/>
      <c r="P20" s="178" t="n">
        <f aca="false">+'[1]Flujo consolidado'!P55</f>
        <v>4060</v>
      </c>
      <c r="Q20" s="119"/>
      <c r="R20" s="102" t="n">
        <f aca="false">+SUM(B20:P20)</f>
        <v>4060</v>
      </c>
    </row>
    <row r="21" customFormat="false" ht="11.25" hidden="false" customHeight="false" outlineLevel="0" collapsed="false">
      <c r="A21" s="164"/>
      <c r="B21" s="172"/>
      <c r="C21" s="119"/>
      <c r="D21" s="172"/>
      <c r="E21" s="119"/>
      <c r="F21" s="172"/>
      <c r="G21" s="119"/>
      <c r="H21" s="172"/>
      <c r="I21" s="119"/>
      <c r="J21" s="172"/>
      <c r="K21" s="119"/>
      <c r="L21" s="175"/>
      <c r="M21" s="119"/>
      <c r="N21" s="178"/>
      <c r="O21" s="119"/>
      <c r="P21" s="178"/>
      <c r="Q21" s="119"/>
      <c r="R21" s="102"/>
    </row>
    <row r="22" customFormat="false" ht="11.25" hidden="false" customHeight="false" outlineLevel="0" collapsed="false">
      <c r="A22" s="179" t="s">
        <v>189</v>
      </c>
      <c r="B22" s="172"/>
      <c r="C22" s="119"/>
      <c r="D22" s="172"/>
      <c r="E22" s="119"/>
      <c r="F22" s="172"/>
      <c r="G22" s="119"/>
      <c r="H22" s="172"/>
      <c r="I22" s="119"/>
      <c r="J22" s="172"/>
      <c r="K22" s="119"/>
      <c r="L22" s="175"/>
      <c r="M22" s="119"/>
      <c r="N22" s="178" t="n">
        <v>14390</v>
      </c>
      <c r="O22" s="119"/>
      <c r="P22" s="178"/>
      <c r="Q22" s="119"/>
      <c r="R22" s="102" t="n">
        <f aca="false">+SUM(B22:P22)</f>
        <v>14390</v>
      </c>
    </row>
    <row r="23" customFormat="false" ht="11.25" hidden="false" customHeight="false" outlineLevel="0" collapsed="false">
      <c r="A23" s="179"/>
      <c r="B23" s="172"/>
      <c r="C23" s="119"/>
      <c r="D23" s="172"/>
      <c r="E23" s="119"/>
      <c r="F23" s="172"/>
      <c r="G23" s="119"/>
      <c r="H23" s="172"/>
      <c r="I23" s="119"/>
      <c r="J23" s="172"/>
      <c r="K23" s="119"/>
      <c r="L23" s="175"/>
      <c r="M23" s="119"/>
      <c r="N23" s="178"/>
      <c r="O23" s="119"/>
      <c r="P23" s="178"/>
      <c r="Q23" s="119"/>
      <c r="R23" s="102"/>
    </row>
    <row r="24" customFormat="false" ht="11.25" hidden="false" customHeight="false" outlineLevel="0" collapsed="false">
      <c r="A24" s="179" t="s">
        <v>190</v>
      </c>
      <c r="B24" s="172"/>
      <c r="C24" s="119"/>
      <c r="D24" s="172"/>
      <c r="E24" s="119"/>
      <c r="F24" s="172"/>
      <c r="G24" s="119"/>
      <c r="H24" s="172"/>
      <c r="I24" s="119"/>
      <c r="J24" s="172"/>
      <c r="K24" s="119"/>
      <c r="L24" s="175"/>
      <c r="M24" s="119"/>
      <c r="N24" s="178" t="n">
        <v>-5585599</v>
      </c>
      <c r="O24" s="119"/>
      <c r="P24" s="178"/>
      <c r="Q24" s="119"/>
      <c r="R24" s="102" t="n">
        <f aca="false">+SUM(B24:P24)</f>
        <v>-5585599</v>
      </c>
    </row>
    <row r="25" customFormat="false" ht="11.25" hidden="false" customHeight="false" outlineLevel="0" collapsed="false">
      <c r="A25" s="164"/>
      <c r="B25" s="180"/>
      <c r="C25" s="119"/>
      <c r="D25" s="180"/>
      <c r="E25" s="119"/>
      <c r="F25" s="181"/>
      <c r="G25" s="119"/>
      <c r="H25" s="181"/>
      <c r="I25" s="119"/>
      <c r="J25" s="181"/>
      <c r="K25" s="119"/>
      <c r="L25" s="181"/>
      <c r="M25" s="119"/>
      <c r="N25" s="180"/>
      <c r="O25" s="119"/>
      <c r="P25" s="180"/>
      <c r="Q25" s="119"/>
      <c r="R25" s="123"/>
    </row>
    <row r="26" customFormat="false" ht="12" hidden="false" customHeight="false" outlineLevel="0" collapsed="false">
      <c r="A26" s="168" t="s">
        <v>191</v>
      </c>
      <c r="B26" s="182" t="n">
        <f aca="false">+SUM(B6:B21)</f>
        <v>23879352</v>
      </c>
      <c r="C26" s="119"/>
      <c r="D26" s="182" t="n">
        <f aca="false">+SUM(D6:D21)</f>
        <v>705936</v>
      </c>
      <c r="E26" s="119"/>
      <c r="F26" s="182" t="n">
        <f aca="false">+SUM(F6:F21)</f>
        <v>2640253</v>
      </c>
      <c r="G26" s="119"/>
      <c r="H26" s="182" t="n">
        <f aca="false">+SUM(H6:H21)</f>
        <v>34797</v>
      </c>
      <c r="I26" s="119"/>
      <c r="J26" s="182" t="n">
        <f aca="false">+SUM(J6:J21)</f>
        <v>227072</v>
      </c>
      <c r="K26" s="119"/>
      <c r="L26" s="182" t="n">
        <f aca="false">+SUM(L6:L21)</f>
        <v>-3202431</v>
      </c>
      <c r="M26" s="119"/>
      <c r="N26" s="182" t="n">
        <f aca="false">+SUM(N6:N25)</f>
        <v>34940142</v>
      </c>
      <c r="O26" s="119"/>
      <c r="P26" s="182" t="n">
        <f aca="false">+SUM(P6:P24)</f>
        <v>9357519</v>
      </c>
      <c r="Q26" s="119"/>
      <c r="R26" s="182" t="n">
        <f aca="false">+SUM(R6:R24)</f>
        <v>68582640</v>
      </c>
      <c r="S26" s="119"/>
    </row>
    <row r="27" customFormat="false" ht="12" hidden="false" customHeight="false" outlineLevel="0" collapsed="false"/>
    <row r="28" customFormat="false" ht="11.25" hidden="false" customHeight="false" outlineLevel="0" collapsed="false">
      <c r="A28" s="168" t="s">
        <v>192</v>
      </c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</row>
    <row r="29" customFormat="false" ht="11.25" hidden="false" customHeight="false" outlineLevel="0" collapsed="false">
      <c r="A29" s="168" t="s">
        <v>193</v>
      </c>
      <c r="B29" s="172"/>
      <c r="C29" s="172"/>
      <c r="D29" s="172"/>
      <c r="E29" s="172"/>
      <c r="F29" s="172" t="n">
        <v>1341885</v>
      </c>
      <c r="G29" s="172"/>
      <c r="H29" s="172"/>
      <c r="I29" s="172"/>
      <c r="J29" s="172"/>
      <c r="K29" s="172"/>
      <c r="L29" s="172"/>
      <c r="M29" s="172"/>
      <c r="N29" s="172" t="n">
        <v>-1341885</v>
      </c>
      <c r="O29" s="172"/>
      <c r="P29" s="172"/>
      <c r="Q29" s="172"/>
      <c r="R29" s="102" t="n">
        <f aca="false">+SUM(B29:P29)</f>
        <v>0</v>
      </c>
    </row>
    <row r="30" customFormat="false" ht="11.25" hidden="false" customHeight="false" outlineLevel="0" collapsed="false">
      <c r="A30" s="168"/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</row>
    <row r="31" customFormat="false" ht="11.25" hidden="false" customHeight="false" outlineLevel="0" collapsed="false">
      <c r="A31" s="168" t="s">
        <v>194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 t="n">
        <f aca="false">8429477-P31</f>
        <v>8111225</v>
      </c>
      <c r="O31" s="172"/>
      <c r="P31" s="172" t="n">
        <v>318252</v>
      </c>
      <c r="Q31" s="172"/>
      <c r="R31" s="102" t="n">
        <f aca="false">+SUM(B31:P31)</f>
        <v>8429477</v>
      </c>
    </row>
    <row r="32" customFormat="false" ht="11.25" hidden="false" customHeight="false" outlineLevel="0" collapsed="false">
      <c r="A32" s="168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</row>
    <row r="33" customFormat="false" ht="11.25" hidden="false" customHeight="false" outlineLevel="0" collapsed="false">
      <c r="A33" s="183" t="s">
        <v>195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 t="n">
        <v>-528533.43436</v>
      </c>
      <c r="O33" s="175"/>
      <c r="P33" s="175" t="n">
        <f aca="false">1803740-P31</f>
        <v>1485488</v>
      </c>
      <c r="Q33" s="175"/>
      <c r="R33" s="102" t="n">
        <f aca="false">+SUM(B33:P33)</f>
        <v>956954.56564</v>
      </c>
    </row>
    <row r="34" customFormat="false" ht="11.25" hidden="false" customHeight="false" outlineLevel="0" collapsed="false">
      <c r="A34" s="184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</row>
    <row r="35" customFormat="false" ht="11.25" hidden="false" customHeight="false" outlineLevel="0" collapsed="false">
      <c r="A35" s="184" t="s">
        <v>196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 t="n">
        <f aca="false">-3647+17313</f>
        <v>13666</v>
      </c>
      <c r="O35" s="175"/>
      <c r="P35" s="175"/>
      <c r="Q35" s="175"/>
      <c r="R35" s="102" t="n">
        <f aca="false">+SUM(B35:P35)</f>
        <v>13666</v>
      </c>
    </row>
    <row r="36" customFormat="false" ht="11.25" hidden="false" customHeight="false" outlineLevel="0" collapsed="false">
      <c r="A36" s="168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</row>
    <row r="37" customFormat="false" ht="11.25" hidden="false" customHeight="false" outlineLevel="0" collapsed="false">
      <c r="A37" s="168" t="s">
        <v>161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 t="n">
        <v>-495802</v>
      </c>
      <c r="O37" s="172"/>
      <c r="P37" s="172"/>
      <c r="Q37" s="172"/>
      <c r="R37" s="102" t="n">
        <f aca="false">+SUM(B37:P37)</f>
        <v>-495802</v>
      </c>
    </row>
    <row r="38" customFormat="false" ht="11.25" hidden="false" customHeight="false" outlineLevel="0" collapsed="false">
      <c r="A38" s="168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</row>
    <row r="39" customFormat="false" ht="12" hidden="false" customHeight="false" outlineLevel="0" collapsed="false">
      <c r="A39" s="168" t="s">
        <v>197</v>
      </c>
      <c r="B39" s="182" t="n">
        <f aca="false">+SUM(B26:B38)</f>
        <v>23879352</v>
      </c>
      <c r="C39" s="119"/>
      <c r="D39" s="182" t="n">
        <f aca="false">+SUM(D26:D38)</f>
        <v>705936</v>
      </c>
      <c r="E39" s="119"/>
      <c r="F39" s="182" t="n">
        <f aca="false">+SUM(F26:F38)</f>
        <v>3982138</v>
      </c>
      <c r="G39" s="119"/>
      <c r="H39" s="182" t="n">
        <f aca="false">+SUM(H26:H38)</f>
        <v>34797</v>
      </c>
      <c r="I39" s="119"/>
      <c r="J39" s="182" t="n">
        <f aca="false">+SUM(J26:J38)</f>
        <v>227072</v>
      </c>
      <c r="K39" s="119"/>
      <c r="L39" s="182" t="n">
        <f aca="false">+SUM(L26:L38)</f>
        <v>-3202431</v>
      </c>
      <c r="M39" s="119"/>
      <c r="N39" s="182" t="n">
        <f aca="false">+SUM(N26:N38)</f>
        <v>40698812.56564</v>
      </c>
      <c r="O39" s="119"/>
      <c r="P39" s="182" t="n">
        <f aca="false">+SUM(P26:P38)</f>
        <v>11161259</v>
      </c>
      <c r="Q39" s="119"/>
      <c r="R39" s="182" t="n">
        <f aca="false">+SUM(R26:R38)</f>
        <v>77486935.56564</v>
      </c>
    </row>
    <row r="40" customFormat="false" ht="12" hidden="false" customHeight="false" outlineLevel="0" collapsed="false">
      <c r="A40" s="168"/>
    </row>
    <row r="41" customFormat="false" ht="11.25" hidden="false" customHeight="false" outlineLevel="0" collapsed="false">
      <c r="A41" s="168"/>
      <c r="N41" s="101"/>
      <c r="R41" s="119"/>
    </row>
    <row r="42" customFormat="false" ht="11.25" hidden="false" customHeight="false" outlineLevel="0" collapsed="false">
      <c r="N42" s="119"/>
    </row>
  </sheetData>
  <mergeCells count="2">
    <mergeCell ref="F2:H2"/>
    <mergeCell ref="J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4609375" defaultRowHeight="15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17.86"/>
    <col collapsed="false" customWidth="true" hidden="false" outlineLevel="0" max="3" min="3" style="0" width="14.01"/>
    <col collapsed="false" customWidth="true" hidden="false" outlineLevel="0" max="4" min="4" style="0" width="15.57"/>
  </cols>
  <sheetData>
    <row r="1" customFormat="false" ht="15" hidden="false" customHeight="false" outlineLevel="0" collapsed="false">
      <c r="A1" s="185" t="s">
        <v>198</v>
      </c>
      <c r="B1" s="186" t="s">
        <v>199</v>
      </c>
      <c r="C1" s="187" t="s">
        <v>200</v>
      </c>
      <c r="D1" s="187" t="s">
        <v>201</v>
      </c>
    </row>
    <row r="2" customFormat="false" ht="15" hidden="false" customHeight="false" outlineLevel="0" collapsed="false">
      <c r="A2" s="188" t="s">
        <v>202</v>
      </c>
      <c r="B2" s="189" t="s">
        <v>203</v>
      </c>
      <c r="C2" s="190" t="n">
        <v>138600</v>
      </c>
      <c r="D2" s="191"/>
    </row>
    <row r="3" customFormat="false" ht="15" hidden="false" customHeight="false" outlineLevel="0" collapsed="false">
      <c r="A3" s="192" t="s">
        <v>204</v>
      </c>
      <c r="B3" s="189" t="s">
        <v>203</v>
      </c>
      <c r="C3" s="193" t="n">
        <v>9477384</v>
      </c>
      <c r="D3" s="194"/>
    </row>
    <row r="4" customFormat="false" ht="15" hidden="false" customHeight="false" outlineLevel="0" collapsed="false">
      <c r="A4" s="192" t="s">
        <v>205</v>
      </c>
      <c r="B4" s="189" t="s">
        <v>203</v>
      </c>
      <c r="C4" s="193" t="n">
        <v>184560.05</v>
      </c>
      <c r="D4" s="194"/>
    </row>
    <row r="5" customFormat="false" ht="15" hidden="false" customHeight="false" outlineLevel="0" collapsed="false">
      <c r="A5" s="192" t="s">
        <v>206</v>
      </c>
      <c r="B5" s="189" t="s">
        <v>203</v>
      </c>
      <c r="C5" s="193" t="n">
        <v>1566.29</v>
      </c>
      <c r="D5" s="194"/>
    </row>
    <row r="6" customFormat="false" ht="15" hidden="false" customHeight="false" outlineLevel="0" collapsed="false">
      <c r="A6" s="192" t="s">
        <v>93</v>
      </c>
      <c r="B6" s="189" t="s">
        <v>203</v>
      </c>
      <c r="C6" s="193" t="n">
        <v>82150.45</v>
      </c>
      <c r="D6" s="194"/>
    </row>
    <row r="7" customFormat="false" ht="15" hidden="false" customHeight="false" outlineLevel="0" collapsed="false">
      <c r="A7" s="192" t="s">
        <v>207</v>
      </c>
      <c r="B7" s="189" t="s">
        <v>203</v>
      </c>
      <c r="C7" s="193" t="n">
        <v>957283.52</v>
      </c>
      <c r="D7" s="194"/>
    </row>
    <row r="8" customFormat="false" ht="15" hidden="false" customHeight="false" outlineLevel="0" collapsed="false">
      <c r="A8" s="192" t="s">
        <v>62</v>
      </c>
      <c r="B8" s="189" t="s">
        <v>208</v>
      </c>
      <c r="C8" s="193" t="n">
        <v>394335.366944214</v>
      </c>
      <c r="D8" s="194"/>
    </row>
    <row r="9" customFormat="false" ht="15" hidden="false" customHeight="false" outlineLevel="0" collapsed="false">
      <c r="A9" s="192" t="s">
        <v>209</v>
      </c>
      <c r="B9" s="189" t="s">
        <v>208</v>
      </c>
      <c r="C9" s="193" t="n">
        <v>828548.363648746</v>
      </c>
      <c r="D9" s="194"/>
    </row>
    <row r="10" customFormat="false" ht="15" hidden="false" customHeight="false" outlineLevel="0" collapsed="false">
      <c r="A10" s="195" t="s">
        <v>210</v>
      </c>
      <c r="B10" s="189" t="s">
        <v>208</v>
      </c>
      <c r="C10" s="193" t="n">
        <v>881973.000000006</v>
      </c>
      <c r="D10" s="194"/>
    </row>
    <row r="11" customFormat="false" ht="15" hidden="false" customHeight="false" outlineLevel="0" collapsed="false">
      <c r="A11" s="196" t="s">
        <v>209</v>
      </c>
      <c r="B11" s="189" t="s">
        <v>203</v>
      </c>
      <c r="C11" s="194"/>
      <c r="D11" s="193" t="n">
        <v>1044878.7099375</v>
      </c>
    </row>
    <row r="12" customFormat="false" ht="15" hidden="false" customHeight="false" outlineLevel="0" collapsed="false">
      <c r="A12" s="192" t="s">
        <v>211</v>
      </c>
      <c r="B12" s="189" t="s">
        <v>212</v>
      </c>
      <c r="C12" s="194"/>
      <c r="D12" s="193" t="n">
        <v>2544003.26</v>
      </c>
    </row>
    <row r="13" customFormat="false" ht="15" hidden="false" customHeight="false" outlineLevel="0" collapsed="false">
      <c r="A13" s="197" t="s">
        <v>213</v>
      </c>
      <c r="B13" s="198" t="s">
        <v>208</v>
      </c>
      <c r="C13" s="199"/>
      <c r="D13" s="200" t="n">
        <v>9357519.07065547</v>
      </c>
      <c r="F13" s="8"/>
    </row>
    <row r="14" customFormat="false" ht="15" hidden="false" customHeight="false" outlineLevel="0" collapsed="false">
      <c r="A14" s="201"/>
      <c r="B14" s="202"/>
      <c r="C14" s="202"/>
      <c r="D14" s="202"/>
      <c r="F14" s="8"/>
    </row>
    <row r="15" customFormat="false" ht="15" hidden="false" customHeight="false" outlineLevel="0" collapsed="false">
      <c r="A15" s="201"/>
      <c r="B15" s="202"/>
      <c r="C15" s="203" t="n">
        <v>12946401.040593</v>
      </c>
      <c r="D15" s="203" t="n">
        <v>12946401.040593</v>
      </c>
      <c r="F15" s="8" t="e">
        <f aca="false">C15+#REF!+'Diarios Cxc Cxp relac (c)'!D38+'Ventas-Compras (d)'!D26</f>
        <v>#REF!</v>
      </c>
    </row>
    <row r="17" customFormat="false" ht="15" hidden="false" customHeight="false" outlineLevel="0" collapsed="false">
      <c r="C1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J18" activeCellId="0" sqref="J18"/>
    </sheetView>
  </sheetViews>
  <sheetFormatPr defaultColWidth="11.460937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22.86"/>
    <col collapsed="false" customWidth="true" hidden="false" outlineLevel="0" max="4" min="4" style="0" width="16.71"/>
    <col collapsed="false" customWidth="true" hidden="false" outlineLevel="0" max="5" min="5" style="0" width="17.71"/>
  </cols>
  <sheetData>
    <row r="1" customFormat="false" ht="15" hidden="false" customHeight="false" outlineLevel="0" collapsed="false">
      <c r="A1" s="204" t="s">
        <v>214</v>
      </c>
      <c r="B1" s="201"/>
      <c r="C1" s="202"/>
      <c r="D1" s="202"/>
      <c r="E1" s="202"/>
    </row>
    <row r="2" customFormat="false" ht="15" hidden="false" customHeight="false" outlineLevel="0" collapsed="false">
      <c r="A2" s="201"/>
      <c r="B2" s="201"/>
      <c r="C2" s="202"/>
      <c r="D2" s="202"/>
      <c r="E2" s="202"/>
    </row>
    <row r="3" customFormat="false" ht="15" hidden="false" customHeight="false" outlineLevel="0" collapsed="false">
      <c r="A3" s="201"/>
      <c r="B3" s="205" t="s">
        <v>215</v>
      </c>
      <c r="C3" s="186" t="s">
        <v>199</v>
      </c>
      <c r="D3" s="206" t="s">
        <v>216</v>
      </c>
      <c r="E3" s="206" t="s">
        <v>217</v>
      </c>
    </row>
    <row r="4" customFormat="false" ht="15" hidden="false" customHeight="false" outlineLevel="0" collapsed="false">
      <c r="A4" s="201"/>
      <c r="B4" s="207" t="s">
        <v>218</v>
      </c>
      <c r="C4" s="189" t="s">
        <v>219</v>
      </c>
      <c r="D4" s="208" t="n">
        <v>0</v>
      </c>
      <c r="E4" s="209" t="n">
        <v>4733</v>
      </c>
    </row>
    <row r="5" customFormat="false" ht="15" hidden="false" customHeight="false" outlineLevel="0" collapsed="false">
      <c r="A5" s="201"/>
      <c r="B5" s="207" t="s">
        <v>220</v>
      </c>
      <c r="C5" s="189" t="s">
        <v>221</v>
      </c>
      <c r="D5" s="210"/>
      <c r="E5" s="211" t="n">
        <v>2603205</v>
      </c>
    </row>
    <row r="6" customFormat="false" ht="15" hidden="false" customHeight="false" outlineLevel="0" collapsed="false">
      <c r="A6" s="201"/>
      <c r="B6" s="207" t="s">
        <v>40</v>
      </c>
      <c r="C6" s="189" t="s">
        <v>222</v>
      </c>
      <c r="D6" s="210"/>
      <c r="E6" s="211" t="n">
        <v>886844</v>
      </c>
    </row>
    <row r="7" customFormat="false" ht="15" hidden="false" customHeight="false" outlineLevel="0" collapsed="false">
      <c r="A7" s="201"/>
      <c r="B7" s="207" t="s">
        <v>48</v>
      </c>
      <c r="C7" s="189" t="s">
        <v>223</v>
      </c>
      <c r="D7" s="210"/>
      <c r="E7" s="211" t="n">
        <v>40694</v>
      </c>
    </row>
    <row r="8" customFormat="false" ht="15" hidden="false" customHeight="false" outlineLevel="0" collapsed="false">
      <c r="A8" s="201"/>
      <c r="B8" s="207" t="s">
        <v>40</v>
      </c>
      <c r="C8" s="189" t="s">
        <v>224</v>
      </c>
      <c r="D8" s="210"/>
      <c r="E8" s="211" t="n">
        <v>1077232</v>
      </c>
    </row>
    <row r="9" customFormat="false" ht="15" hidden="false" customHeight="false" outlineLevel="0" collapsed="false">
      <c r="A9" s="201"/>
      <c r="B9" s="207" t="s">
        <v>220</v>
      </c>
      <c r="C9" s="189" t="s">
        <v>223</v>
      </c>
      <c r="D9" s="210"/>
      <c r="E9" s="211" t="n">
        <v>3437161</v>
      </c>
    </row>
    <row r="10" customFormat="false" ht="15" hidden="false" customHeight="false" outlineLevel="0" collapsed="false">
      <c r="A10" s="201"/>
      <c r="B10" s="207" t="s">
        <v>40</v>
      </c>
      <c r="C10" s="189" t="s">
        <v>225</v>
      </c>
      <c r="D10" s="210"/>
      <c r="E10" s="211" t="n">
        <v>74539</v>
      </c>
    </row>
    <row r="11" customFormat="false" ht="15" hidden="false" customHeight="false" outlineLevel="0" collapsed="false">
      <c r="A11" s="201"/>
      <c r="B11" s="207" t="s">
        <v>40</v>
      </c>
      <c r="C11" s="189" t="s">
        <v>226</v>
      </c>
      <c r="D11" s="210"/>
      <c r="E11" s="211" t="n">
        <v>633374</v>
      </c>
      <c r="F11" s="0" t="s">
        <v>44</v>
      </c>
    </row>
    <row r="12" customFormat="false" ht="15" hidden="false" customHeight="false" outlineLevel="0" collapsed="false">
      <c r="A12" s="201"/>
      <c r="B12" s="207" t="s">
        <v>40</v>
      </c>
      <c r="C12" s="212" t="s">
        <v>222</v>
      </c>
      <c r="D12" s="210"/>
      <c r="E12" s="211" t="n">
        <v>269135</v>
      </c>
    </row>
    <row r="13" customFormat="false" ht="15" hidden="false" customHeight="false" outlineLevel="0" collapsed="false">
      <c r="A13" s="201"/>
      <c r="B13" s="207" t="s">
        <v>227</v>
      </c>
      <c r="C13" s="212" t="s">
        <v>221</v>
      </c>
      <c r="D13" s="213" t="n">
        <v>4733</v>
      </c>
      <c r="E13" s="210"/>
    </row>
    <row r="14" customFormat="false" ht="15" hidden="false" customHeight="false" outlineLevel="0" collapsed="false">
      <c r="A14" s="201"/>
      <c r="B14" s="207" t="s">
        <v>68</v>
      </c>
      <c r="C14" s="189" t="s">
        <v>222</v>
      </c>
      <c r="D14" s="214" t="n">
        <v>269135</v>
      </c>
      <c r="E14" s="189"/>
    </row>
    <row r="15" customFormat="false" ht="15" hidden="false" customHeight="false" outlineLevel="0" collapsed="false">
      <c r="A15" s="201"/>
      <c r="B15" s="207" t="s">
        <v>227</v>
      </c>
      <c r="C15" s="189" t="s">
        <v>228</v>
      </c>
      <c r="D15" s="214" t="n">
        <v>36270</v>
      </c>
      <c r="E15" s="189"/>
    </row>
    <row r="16" customFormat="false" ht="15" hidden="false" customHeight="false" outlineLevel="0" collapsed="false">
      <c r="A16" s="201"/>
      <c r="B16" s="207" t="s">
        <v>227</v>
      </c>
      <c r="C16" s="189" t="s">
        <v>228</v>
      </c>
      <c r="D16" s="214" t="n">
        <v>2566935</v>
      </c>
      <c r="E16" s="189"/>
    </row>
    <row r="17" customFormat="false" ht="15" hidden="false" customHeight="false" outlineLevel="0" collapsed="false">
      <c r="A17" s="201"/>
      <c r="B17" s="207" t="s">
        <v>229</v>
      </c>
      <c r="C17" s="189" t="s">
        <v>228</v>
      </c>
      <c r="D17" s="214" t="n">
        <v>3477855</v>
      </c>
      <c r="E17" s="189"/>
    </row>
    <row r="18" customFormat="false" ht="15" hidden="false" customHeight="false" outlineLevel="0" collapsed="false">
      <c r="A18" s="201"/>
      <c r="B18" s="207" t="s">
        <v>230</v>
      </c>
      <c r="C18" s="189" t="s">
        <v>231</v>
      </c>
      <c r="D18" s="214" t="n">
        <v>886844</v>
      </c>
      <c r="E18" s="189"/>
    </row>
    <row r="19" customFormat="false" ht="15" hidden="false" customHeight="false" outlineLevel="0" collapsed="false">
      <c r="A19" s="201"/>
      <c r="B19" s="207" t="s">
        <v>227</v>
      </c>
      <c r="C19" s="189" t="s">
        <v>228</v>
      </c>
      <c r="D19" s="214" t="n">
        <v>74539</v>
      </c>
      <c r="E19" s="189"/>
    </row>
    <row r="20" customFormat="false" ht="15" hidden="false" customHeight="false" outlineLevel="0" collapsed="false">
      <c r="A20" s="201"/>
      <c r="B20" s="207" t="s">
        <v>232</v>
      </c>
      <c r="C20" s="189" t="s">
        <v>228</v>
      </c>
      <c r="D20" s="214" t="n">
        <v>125748</v>
      </c>
      <c r="E20" s="189"/>
    </row>
    <row r="21" customFormat="false" ht="15" hidden="false" customHeight="false" outlineLevel="0" collapsed="false">
      <c r="A21" s="201"/>
      <c r="B21" s="207" t="s">
        <v>229</v>
      </c>
      <c r="C21" s="189" t="s">
        <v>233</v>
      </c>
      <c r="D21" s="214" t="n">
        <v>507600</v>
      </c>
      <c r="E21" s="189"/>
    </row>
    <row r="22" customFormat="false" ht="15" hidden="false" customHeight="false" outlineLevel="0" collapsed="false">
      <c r="A22" s="201"/>
      <c r="B22" s="207" t="s">
        <v>68</v>
      </c>
      <c r="C22" s="189" t="s">
        <v>224</v>
      </c>
      <c r="D22" s="214" t="n">
        <v>901340</v>
      </c>
      <c r="E22" s="189"/>
      <c r="F22" s="0" t="s">
        <v>44</v>
      </c>
    </row>
    <row r="23" customFormat="false" ht="15" hidden="false" customHeight="false" outlineLevel="0" collapsed="false">
      <c r="A23" s="201"/>
      <c r="B23" s="215" t="s">
        <v>234</v>
      </c>
      <c r="C23" s="189" t="s">
        <v>224</v>
      </c>
      <c r="D23" s="216" t="n">
        <v>175918</v>
      </c>
      <c r="E23" s="198"/>
      <c r="F23" s="0" t="s">
        <v>235</v>
      </c>
    </row>
    <row r="24" customFormat="false" ht="15" hidden="false" customHeight="false" outlineLevel="0" collapsed="false">
      <c r="A24" s="201"/>
      <c r="B24" s="201"/>
      <c r="C24" s="202"/>
      <c r="D24" s="203" t="n">
        <f aca="false">SUM(D4:D23)</f>
        <v>9026917</v>
      </c>
      <c r="E24" s="203" t="n">
        <f aca="false">SUM(E4:E23)</f>
        <v>9026917</v>
      </c>
    </row>
    <row r="26" customFormat="false" ht="15" hidden="false" customHeight="false" outlineLevel="0" collapsed="false">
      <c r="E26" s="8" t="n">
        <f aca="false">E24-D24</f>
        <v>0</v>
      </c>
    </row>
    <row r="27" customFormat="false" ht="15" hidden="false" customHeight="false" outlineLevel="0" collapsed="false">
      <c r="B27" s="75" t="s">
        <v>236</v>
      </c>
    </row>
    <row r="29" customFormat="false" ht="15" hidden="false" customHeight="false" outlineLevel="0" collapsed="false">
      <c r="B29" s="0" t="s">
        <v>68</v>
      </c>
      <c r="D29" s="217" t="n">
        <f aca="false">D13+D14+D15+D16+D19+D20+D22+D18</f>
        <v>4865544</v>
      </c>
    </row>
    <row r="30" customFormat="false" ht="15" hidden="false" customHeight="false" outlineLevel="0" collapsed="false">
      <c r="B30" s="0" t="s">
        <v>80</v>
      </c>
      <c r="D30" s="217" t="n">
        <f aca="false">D21+D17</f>
        <v>3985455</v>
      </c>
    </row>
    <row r="31" customFormat="false" ht="15" hidden="false" customHeight="false" outlineLevel="0" collapsed="false">
      <c r="B31" s="0" t="s">
        <v>72</v>
      </c>
      <c r="D31" s="8" t="n">
        <v>0</v>
      </c>
    </row>
    <row r="32" customFormat="false" ht="15" hidden="false" customHeight="false" outlineLevel="0" collapsed="false">
      <c r="B32" s="0" t="s">
        <v>237</v>
      </c>
      <c r="D32" s="217" t="n">
        <f aca="false">D23</f>
        <v>175918</v>
      </c>
    </row>
    <row r="33" customFormat="false" ht="15" hidden="false" customHeight="false" outlineLevel="0" collapsed="false">
      <c r="B33" s="0" t="s">
        <v>218</v>
      </c>
      <c r="E33" s="217" t="n">
        <f aca="false">E5+E8+E9+E10+E11+E4+E12+E6</f>
        <v>8986223</v>
      </c>
    </row>
    <row r="34" customFormat="false" ht="15" hidden="false" customHeight="false" outlineLevel="0" collapsed="false">
      <c r="B34" s="0" t="s">
        <v>238</v>
      </c>
      <c r="E34" s="217" t="n">
        <f aca="false">E7</f>
        <v>40694</v>
      </c>
    </row>
    <row r="35" customFormat="false" ht="15" hidden="false" customHeight="false" outlineLevel="0" collapsed="false">
      <c r="B35" s="0" t="s">
        <v>42</v>
      </c>
      <c r="E35" s="8" t="n">
        <f aca="false">E21</f>
        <v>0</v>
      </c>
    </row>
    <row r="36" customFormat="false" ht="15" hidden="false" customHeight="false" outlineLevel="0" collapsed="false">
      <c r="B36" s="0" t="s">
        <v>239</v>
      </c>
      <c r="E36" s="8" t="n">
        <f aca="false">E20+E22</f>
        <v>0</v>
      </c>
    </row>
    <row r="37" customFormat="false" ht="15" hidden="false" customHeight="false" outlineLevel="0" collapsed="false">
      <c r="B37" s="0" t="s">
        <v>149</v>
      </c>
      <c r="E37" s="8" t="n">
        <f aca="false">E23</f>
        <v>0</v>
      </c>
    </row>
    <row r="38" customFormat="false" ht="15" hidden="false" customHeight="false" outlineLevel="0" collapsed="false">
      <c r="D38" s="218" t="n">
        <f aca="false">SUM(D29:D37)</f>
        <v>9026917</v>
      </c>
      <c r="E38" s="218" t="n">
        <f aca="false">SUM(E29:E37)</f>
        <v>9026917</v>
      </c>
    </row>
    <row r="40" customFormat="false" ht="15" hidden="false" customHeight="false" outlineLevel="0" collapsed="false">
      <c r="D40" s="8" t="n">
        <f aca="false">D24-D38</f>
        <v>0</v>
      </c>
      <c r="E40" s="8" t="n">
        <f aca="false"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18" activeCellId="0" sqref="J18"/>
    </sheetView>
  </sheetViews>
  <sheetFormatPr defaultColWidth="11.46093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18.85"/>
  </cols>
  <sheetData>
    <row r="1" customFormat="false" ht="15" hidden="false" customHeight="false" outlineLevel="0" collapsed="false">
      <c r="A1" s="204" t="s">
        <v>240</v>
      </c>
      <c r="B1" s="201"/>
      <c r="C1" s="202"/>
      <c r="D1" s="202"/>
      <c r="E1" s="202"/>
    </row>
    <row r="2" customFormat="false" ht="15" hidden="false" customHeight="false" outlineLevel="0" collapsed="false">
      <c r="A2" s="201"/>
      <c r="B2" s="201"/>
      <c r="C2" s="202"/>
      <c r="D2" s="202"/>
      <c r="E2" s="202"/>
    </row>
    <row r="3" customFormat="false" ht="15" hidden="false" customHeight="false" outlineLevel="0" collapsed="false">
      <c r="A3" s="201"/>
      <c r="B3" s="219" t="s">
        <v>215</v>
      </c>
      <c r="C3" s="186" t="s">
        <v>199</v>
      </c>
      <c r="D3" s="220" t="s">
        <v>216</v>
      </c>
      <c r="E3" s="206" t="s">
        <v>217</v>
      </c>
    </row>
    <row r="4" customFormat="false" ht="15" hidden="false" customHeight="false" outlineLevel="0" collapsed="false">
      <c r="A4" s="201"/>
      <c r="B4" s="221" t="s">
        <v>241</v>
      </c>
      <c r="C4" s="212" t="s">
        <v>212</v>
      </c>
      <c r="D4" s="208" t="n">
        <v>7761</v>
      </c>
      <c r="E4" s="208"/>
    </row>
    <row r="5" customFormat="false" ht="15" hidden="false" customHeight="false" outlineLevel="0" collapsed="false">
      <c r="A5" s="201"/>
      <c r="B5" s="222" t="s">
        <v>242</v>
      </c>
      <c r="C5" s="189" t="s">
        <v>243</v>
      </c>
      <c r="D5" s="202"/>
      <c r="E5" s="189" t="n">
        <f aca="false">D4</f>
        <v>7761</v>
      </c>
    </row>
    <row r="6" customFormat="false" ht="15" hidden="false" customHeight="false" outlineLevel="0" collapsed="false">
      <c r="A6" s="201"/>
      <c r="B6" s="223"/>
      <c r="C6" s="212"/>
      <c r="D6" s="212"/>
      <c r="E6" s="189"/>
      <c r="F6" s="224"/>
    </row>
    <row r="7" customFormat="false" ht="15" hidden="false" customHeight="false" outlineLevel="0" collapsed="false">
      <c r="A7" s="201"/>
      <c r="B7" s="225" t="s">
        <v>241</v>
      </c>
      <c r="C7" s="189" t="s">
        <v>212</v>
      </c>
      <c r="D7" s="189" t="n">
        <v>89615</v>
      </c>
      <c r="E7" s="189"/>
    </row>
    <row r="8" customFormat="false" ht="15" hidden="false" customHeight="false" outlineLevel="0" collapsed="false">
      <c r="A8" s="201"/>
      <c r="B8" s="222" t="s">
        <v>242</v>
      </c>
      <c r="C8" s="189" t="s">
        <v>244</v>
      </c>
      <c r="D8" s="202"/>
      <c r="E8" s="189" t="n">
        <f aca="false">D7</f>
        <v>89615</v>
      </c>
    </row>
    <row r="9" customFormat="false" ht="15" hidden="false" customHeight="false" outlineLevel="0" collapsed="false">
      <c r="A9" s="201"/>
      <c r="B9" s="222"/>
      <c r="C9" s="189"/>
      <c r="D9" s="202"/>
      <c r="E9" s="189"/>
    </row>
    <row r="10" customFormat="false" ht="15" hidden="false" customHeight="false" outlineLevel="0" collapsed="false">
      <c r="A10" s="201"/>
      <c r="B10" s="225" t="s">
        <v>241</v>
      </c>
      <c r="C10" s="189" t="s">
        <v>212</v>
      </c>
      <c r="D10" s="202" t="n">
        <v>88898</v>
      </c>
      <c r="E10" s="189"/>
    </row>
    <row r="11" customFormat="false" ht="15" hidden="false" customHeight="false" outlineLevel="0" collapsed="false">
      <c r="A11" s="201"/>
      <c r="B11" s="222" t="s">
        <v>50</v>
      </c>
      <c r="C11" s="189" t="s">
        <v>245</v>
      </c>
      <c r="D11" s="202"/>
      <c r="E11" s="189"/>
    </row>
    <row r="12" customFormat="false" ht="15" hidden="false" customHeight="false" outlineLevel="0" collapsed="false">
      <c r="A12" s="201"/>
      <c r="B12" s="222" t="s">
        <v>46</v>
      </c>
      <c r="C12" s="189" t="s">
        <v>245</v>
      </c>
      <c r="D12" s="202"/>
      <c r="E12" s="189" t="n">
        <v>11306</v>
      </c>
    </row>
    <row r="13" customFormat="false" ht="15" hidden="false" customHeight="false" outlineLevel="0" collapsed="false">
      <c r="A13" s="201"/>
      <c r="B13" s="222" t="s">
        <v>102</v>
      </c>
      <c r="C13" s="189"/>
      <c r="D13" s="202"/>
      <c r="E13" s="189" t="n">
        <v>77592</v>
      </c>
    </row>
    <row r="14" customFormat="false" ht="15" hidden="false" customHeight="false" outlineLevel="0" collapsed="false">
      <c r="A14" s="201"/>
      <c r="B14" s="222"/>
      <c r="C14" s="189"/>
      <c r="D14" s="202"/>
      <c r="E14" s="189"/>
    </row>
    <row r="15" customFormat="false" ht="15" hidden="false" customHeight="false" outlineLevel="0" collapsed="false">
      <c r="A15" s="201"/>
      <c r="B15" s="225" t="s">
        <v>241</v>
      </c>
      <c r="C15" s="189" t="s">
        <v>212</v>
      </c>
      <c r="D15" s="189" t="n">
        <v>85390</v>
      </c>
      <c r="E15" s="189"/>
    </row>
    <row r="16" customFormat="false" ht="15" hidden="false" customHeight="false" outlineLevel="0" collapsed="false">
      <c r="A16" s="201"/>
      <c r="B16" s="222" t="s">
        <v>242</v>
      </c>
      <c r="C16" s="189" t="s">
        <v>32</v>
      </c>
      <c r="D16" s="202"/>
      <c r="E16" s="189" t="n">
        <f aca="false">D15</f>
        <v>85390</v>
      </c>
    </row>
    <row r="17" customFormat="false" ht="15" hidden="false" customHeight="false" outlineLevel="0" collapsed="false">
      <c r="A17" s="201"/>
      <c r="B17" s="222"/>
      <c r="C17" s="189"/>
      <c r="D17" s="202"/>
      <c r="E17" s="189"/>
    </row>
    <row r="18" customFormat="false" ht="15" hidden="false" customHeight="false" outlineLevel="0" collapsed="false">
      <c r="A18" s="201"/>
      <c r="B18" s="207" t="s">
        <v>246</v>
      </c>
      <c r="C18" s="189" t="s">
        <v>212</v>
      </c>
      <c r="D18" s="202" t="n">
        <v>96986</v>
      </c>
      <c r="E18" s="189"/>
    </row>
    <row r="19" customFormat="false" ht="15" hidden="false" customHeight="false" outlineLevel="0" collapsed="false">
      <c r="A19" s="201"/>
      <c r="B19" s="222" t="s">
        <v>102</v>
      </c>
      <c r="C19" s="189" t="s">
        <v>247</v>
      </c>
      <c r="D19" s="202"/>
      <c r="E19" s="189" t="n">
        <f aca="false">+D18</f>
        <v>96986</v>
      </c>
    </row>
    <row r="20" customFormat="false" ht="15" hidden="false" customHeight="false" outlineLevel="0" collapsed="false">
      <c r="A20" s="201"/>
      <c r="B20" s="222"/>
      <c r="C20" s="189"/>
      <c r="D20" s="202"/>
      <c r="E20" s="189"/>
    </row>
    <row r="21" customFormat="false" ht="15" hidden="false" customHeight="false" outlineLevel="0" collapsed="false">
      <c r="A21" s="201"/>
      <c r="B21" s="207" t="s">
        <v>246</v>
      </c>
      <c r="C21" s="189" t="s">
        <v>247</v>
      </c>
      <c r="D21" s="202" t="n">
        <v>7818.58</v>
      </c>
      <c r="E21" s="189"/>
    </row>
    <row r="22" customFormat="false" ht="15" hidden="false" customHeight="false" outlineLevel="0" collapsed="false">
      <c r="A22" s="201"/>
      <c r="B22" s="226" t="s">
        <v>248</v>
      </c>
      <c r="C22" s="198" t="s">
        <v>212</v>
      </c>
      <c r="D22" s="227"/>
      <c r="E22" s="198" t="n">
        <v>7818.58</v>
      </c>
    </row>
    <row r="23" customFormat="false" ht="15" hidden="false" customHeight="false" outlineLevel="0" collapsed="false">
      <c r="A23" s="201"/>
      <c r="B23" s="201"/>
      <c r="C23" s="202"/>
      <c r="D23" s="203" t="n">
        <f aca="false">SUM(D4:D22)</f>
        <v>376468.58</v>
      </c>
      <c r="E23" s="203" t="n">
        <f aca="false">SUM(E4:E22)</f>
        <v>376468.58</v>
      </c>
    </row>
    <row r="26" customFormat="false" ht="15" hidden="false" customHeight="false" outlineLevel="0" collapsed="false">
      <c r="B26" s="0" t="s">
        <v>246</v>
      </c>
      <c r="D26" s="217" t="n">
        <f aca="false">D4+D18+D21+D7+D10+D15</f>
        <v>376468.58</v>
      </c>
    </row>
    <row r="27" customFormat="false" ht="15" hidden="false" customHeight="false" outlineLevel="0" collapsed="false">
      <c r="B27" s="228" t="s">
        <v>102</v>
      </c>
      <c r="E27" s="217" t="n">
        <f aca="false">E5+E19+E16+E13+E8</f>
        <v>357344</v>
      </c>
    </row>
    <row r="28" customFormat="false" ht="15" hidden="false" customHeight="false" outlineLevel="0" collapsed="false">
      <c r="B28" s="228" t="s">
        <v>248</v>
      </c>
      <c r="E28" s="217" t="n">
        <f aca="false">E22</f>
        <v>7818.58</v>
      </c>
    </row>
    <row r="29" customFormat="false" ht="15" hidden="false" customHeight="false" outlineLevel="0" collapsed="false">
      <c r="B29" s="228" t="s">
        <v>50</v>
      </c>
      <c r="E29" s="217" t="n">
        <f aca="false">E11</f>
        <v>0</v>
      </c>
    </row>
    <row r="30" customFormat="false" ht="15" hidden="false" customHeight="false" outlineLevel="0" collapsed="false">
      <c r="B30" s="228" t="s">
        <v>46</v>
      </c>
      <c r="E30" s="217" t="n">
        <f aca="false">E12</f>
        <v>11306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82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C10" activeCellId="0" sqref="C10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201" width="11.42"/>
    <col collapsed="false" customWidth="true" hidden="false" outlineLevel="0" max="2" min="2" style="201" width="69"/>
    <col collapsed="false" customWidth="true" hidden="false" outlineLevel="0" max="3" min="3" style="202" width="23.01"/>
    <col collapsed="false" customWidth="true" hidden="false" outlineLevel="0" max="4" min="4" style="202" width="23.15"/>
    <col collapsed="false" customWidth="true" hidden="false" outlineLevel="0" max="5" min="5" style="202" width="15.57"/>
    <col collapsed="false" customWidth="true" hidden="false" outlineLevel="0" max="6" min="6" style="202" width="20.98"/>
    <col collapsed="false" customWidth="true" hidden="false" outlineLevel="0" max="7" min="7" style="202" width="17.13"/>
    <col collapsed="false" customWidth="true" hidden="false" outlineLevel="0" max="8" min="8" style="202" width="17.4"/>
    <col collapsed="false" customWidth="true" hidden="false" outlineLevel="0" max="10" min="9" style="202" width="15.57"/>
    <col collapsed="false" customWidth="true" hidden="false" outlineLevel="0" max="11" min="11" style="202" width="16.29"/>
    <col collapsed="false" customWidth="true" hidden="false" outlineLevel="0" max="12" min="12" style="201" width="15.15"/>
    <col collapsed="false" customWidth="true" hidden="false" outlineLevel="0" max="13" min="13" style="201" width="16.29"/>
    <col collapsed="false" customWidth="true" hidden="false" outlineLevel="0" max="14" min="14" style="201" width="16.41"/>
    <col collapsed="false" customWidth="true" hidden="false" outlineLevel="0" max="15" min="15" style="201" width="14.86"/>
    <col collapsed="false" customWidth="false" hidden="false" outlineLevel="0" max="1024" min="16" style="201" width="11.42"/>
  </cols>
  <sheetData>
    <row r="1" customFormat="false" ht="15" hidden="false" customHeight="false" outlineLevel="0" collapsed="false">
      <c r="A1" s="204" t="s">
        <v>0</v>
      </c>
    </row>
    <row r="2" customFormat="false" ht="15" hidden="false" customHeight="false" outlineLevel="0" collapsed="false">
      <c r="A2" s="204" t="s">
        <v>249</v>
      </c>
    </row>
    <row r="3" customFormat="false" ht="15" hidden="false" customHeight="false" outlineLevel="0" collapsed="false">
      <c r="A3" s="204" t="s">
        <v>250</v>
      </c>
    </row>
    <row r="5" customFormat="false" ht="15" hidden="false" customHeight="false" outlineLevel="0" collapsed="false">
      <c r="A5" s="204" t="s">
        <v>251</v>
      </c>
      <c r="C5" s="201"/>
      <c r="D5" s="201"/>
      <c r="E5" s="201"/>
    </row>
    <row r="6" customFormat="false" ht="15" hidden="false" customHeight="false" outlineLevel="0" collapsed="false">
      <c r="A6" s="204"/>
      <c r="C6" s="201"/>
      <c r="D6" s="201"/>
      <c r="E6" s="201"/>
    </row>
    <row r="7" customFormat="false" ht="15" hidden="false" customHeight="false" outlineLevel="0" collapsed="false">
      <c r="A7" s="201" t="s">
        <v>252</v>
      </c>
      <c r="C7" s="229"/>
      <c r="D7" s="229"/>
      <c r="E7" s="229"/>
      <c r="F7" s="229"/>
      <c r="G7" s="229"/>
      <c r="H7" s="229"/>
      <c r="I7" s="229"/>
      <c r="J7" s="229"/>
    </row>
    <row r="8" customFormat="false" ht="15" hidden="false" customHeight="false" outlineLevel="0" collapsed="false">
      <c r="C8" s="229" t="s">
        <v>219</v>
      </c>
      <c r="D8" s="229" t="s">
        <v>253</v>
      </c>
      <c r="E8" s="229" t="s">
        <v>254</v>
      </c>
      <c r="F8" s="229" t="s">
        <v>231</v>
      </c>
      <c r="G8" s="229" t="s">
        <v>255</v>
      </c>
      <c r="H8" s="229" t="s">
        <v>256</v>
      </c>
      <c r="I8" s="229" t="s">
        <v>257</v>
      </c>
      <c r="J8" s="229" t="s">
        <v>258</v>
      </c>
      <c r="K8" s="229" t="s">
        <v>223</v>
      </c>
      <c r="L8" s="229" t="s">
        <v>259</v>
      </c>
    </row>
    <row r="9" customFormat="false" ht="14.25" hidden="false" customHeight="false" outlineLevel="0" collapsed="false">
      <c r="A9" s="201" t="s">
        <v>260</v>
      </c>
      <c r="C9" s="202" t="n">
        <v>3751.26000000001</v>
      </c>
      <c r="D9" s="202" t="n">
        <f aca="false">+PNC!F16</f>
        <v>104950</v>
      </c>
      <c r="E9" s="202" t="n">
        <v>943459</v>
      </c>
      <c r="F9" s="202" t="n">
        <f aca="false">147840-49015</f>
        <v>98825</v>
      </c>
      <c r="G9" s="202" t="n">
        <f aca="false">462500-330450</f>
        <v>132050</v>
      </c>
      <c r="H9" s="202" t="n">
        <v>140052</v>
      </c>
      <c r="I9" s="202" t="n">
        <f aca="false">+PNC!F71</f>
        <v>6000</v>
      </c>
      <c r="J9" s="202" t="n">
        <v>1114176</v>
      </c>
      <c r="K9" s="202" t="n">
        <f aca="false">+PNC!F93</f>
        <v>740</v>
      </c>
      <c r="L9" s="202" t="n">
        <f aca="false">SUM(C9:K9)</f>
        <v>2544003.26</v>
      </c>
    </row>
    <row r="10" customFormat="false" ht="15" hidden="false" customHeight="false" outlineLevel="0" collapsed="false">
      <c r="A10" s="201" t="s">
        <v>204</v>
      </c>
      <c r="C10" s="230" t="n">
        <v>437365.739999998</v>
      </c>
      <c r="D10" s="230" t="n">
        <v>1260413</v>
      </c>
      <c r="E10" s="230" t="n">
        <v>0</v>
      </c>
      <c r="F10" s="230" t="n">
        <v>49015</v>
      </c>
      <c r="G10" s="230" t="n">
        <v>330450</v>
      </c>
      <c r="H10" s="230" t="n">
        <v>0</v>
      </c>
      <c r="I10" s="230" t="n">
        <v>0</v>
      </c>
      <c r="J10" s="230" t="n">
        <v>0</v>
      </c>
      <c r="K10" s="230" t="n">
        <v>0</v>
      </c>
      <c r="L10" s="230" t="n">
        <f aca="false">SUM(C10:K10)</f>
        <v>2077243.74</v>
      </c>
    </row>
    <row r="11" customFormat="false" ht="15.75" hidden="false" customHeight="false" outlineLevel="0" collapsed="false">
      <c r="A11" s="204" t="s">
        <v>261</v>
      </c>
      <c r="C11" s="203" t="n">
        <f aca="false">SUM(C9:C10)</f>
        <v>441116.999999998</v>
      </c>
      <c r="D11" s="203" t="n">
        <f aca="false">SUM(D9:D10)</f>
        <v>1365363</v>
      </c>
      <c r="E11" s="203" t="n">
        <f aca="false">SUM(E9:E10)</f>
        <v>943459</v>
      </c>
      <c r="F11" s="203" t="n">
        <f aca="false">SUM(F9:F10)</f>
        <v>147840</v>
      </c>
      <c r="G11" s="203" t="n">
        <f aca="false">SUM(G9:G10)</f>
        <v>462500</v>
      </c>
      <c r="H11" s="203" t="n">
        <f aca="false">SUM(H9:H10)</f>
        <v>140052</v>
      </c>
      <c r="I11" s="203" t="n">
        <f aca="false">SUM(I9:I10)</f>
        <v>6000</v>
      </c>
      <c r="J11" s="203" t="n">
        <f aca="false">SUM(J9:J10)</f>
        <v>1114176</v>
      </c>
      <c r="K11" s="203" t="n">
        <f aca="false">SUM(K9:K10)</f>
        <v>740</v>
      </c>
      <c r="L11" s="203" t="n">
        <f aca="false">SUM(L9:L10)</f>
        <v>4621247</v>
      </c>
      <c r="M11" s="202" t="n">
        <v>10163519</v>
      </c>
      <c r="N11" s="231" t="n">
        <f aca="false">M11-L11</f>
        <v>5542272</v>
      </c>
      <c r="O11" s="201" t="n">
        <v>224942.34</v>
      </c>
    </row>
    <row r="12" customFormat="false" ht="15" hidden="false" customHeight="false" outlineLevel="0" collapsed="false">
      <c r="B12" s="232" t="s">
        <v>262</v>
      </c>
      <c r="C12" s="202" t="n">
        <v>441117</v>
      </c>
      <c r="D12" s="202" t="n">
        <v>1365363</v>
      </c>
      <c r="E12" s="202" t="n">
        <v>943459</v>
      </c>
      <c r="F12" s="202" t="n">
        <v>147840</v>
      </c>
      <c r="G12" s="202" t="n">
        <v>462500</v>
      </c>
      <c r="H12" s="202" t="n">
        <v>140052</v>
      </c>
      <c r="I12" s="202" t="n">
        <v>6000</v>
      </c>
      <c r="J12" s="202" t="n">
        <v>1114176</v>
      </c>
      <c r="K12" s="202" t="n">
        <v>740</v>
      </c>
      <c r="L12" s="202" t="n">
        <f aca="false">SUM(C12:K12)</f>
        <v>4621247</v>
      </c>
      <c r="O12" s="231" t="n">
        <f aca="false">N11-O11+100</f>
        <v>5317429.66</v>
      </c>
    </row>
    <row r="13" customFormat="false" ht="15" hidden="false" customHeight="false" outlineLevel="0" collapsed="false">
      <c r="A13" s="204"/>
      <c r="B13" s="204"/>
      <c r="C13" s="203" t="n">
        <f aca="false">+C12-C11</f>
        <v>1.97906047105789E-009</v>
      </c>
      <c r="D13" s="203" t="n">
        <f aca="false">+D12-D11</f>
        <v>0</v>
      </c>
      <c r="E13" s="203" t="n">
        <f aca="false">+E12-E11</f>
        <v>0</v>
      </c>
      <c r="F13" s="203" t="n">
        <f aca="false">+F12-F11</f>
        <v>0</v>
      </c>
      <c r="G13" s="203" t="n">
        <f aca="false">+G12-G11</f>
        <v>0</v>
      </c>
      <c r="H13" s="203" t="n">
        <f aca="false">+H12-H11</f>
        <v>0</v>
      </c>
      <c r="I13" s="203" t="n">
        <f aca="false">+I12-I11</f>
        <v>0</v>
      </c>
      <c r="J13" s="203" t="n">
        <f aca="false">+J12-J11</f>
        <v>0</v>
      </c>
      <c r="K13" s="203" t="n">
        <f aca="false">+K12-K11</f>
        <v>0</v>
      </c>
      <c r="L13" s="203" t="n">
        <f aca="false">+L12-L11</f>
        <v>0</v>
      </c>
    </row>
    <row r="14" customFormat="false" ht="15" hidden="false" customHeight="false" outlineLevel="0" collapsed="false">
      <c r="A14" s="204"/>
      <c r="C14" s="201"/>
      <c r="D14" s="201"/>
      <c r="E14" s="201"/>
    </row>
    <row r="15" customFormat="false" ht="15" hidden="false" customHeight="false" outlineLevel="0" collapsed="false">
      <c r="A15" s="204"/>
      <c r="B15" s="185" t="s">
        <v>198</v>
      </c>
      <c r="C15" s="186" t="s">
        <v>199</v>
      </c>
      <c r="D15" s="233" t="s">
        <v>200</v>
      </c>
      <c r="E15" s="234" t="s">
        <v>201</v>
      </c>
      <c r="F15" s="235"/>
    </row>
    <row r="16" customFormat="false" ht="15" hidden="false" customHeight="false" outlineLevel="0" collapsed="false">
      <c r="A16" s="204"/>
      <c r="B16" s="188" t="s">
        <v>263</v>
      </c>
      <c r="C16" s="189" t="s">
        <v>203</v>
      </c>
      <c r="D16" s="236" t="n">
        <f aca="false">+L10</f>
        <v>2077243.74</v>
      </c>
      <c r="E16" s="237"/>
      <c r="F16" s="201"/>
    </row>
    <row r="17" customFormat="false" ht="15" hidden="false" customHeight="false" outlineLevel="0" collapsed="false">
      <c r="A17" s="204"/>
      <c r="B17" s="197" t="s">
        <v>211</v>
      </c>
      <c r="C17" s="198" t="s">
        <v>212</v>
      </c>
      <c r="D17" s="238"/>
      <c r="E17" s="238" t="n">
        <f aca="false">+D16</f>
        <v>2077243.74</v>
      </c>
      <c r="F17" s="239"/>
    </row>
    <row r="18" customFormat="false" ht="15" hidden="false" customHeight="false" outlineLevel="0" collapsed="false">
      <c r="A18" s="204"/>
      <c r="D18" s="201"/>
      <c r="E18" s="201"/>
      <c r="F18" s="201"/>
    </row>
    <row r="19" customFormat="false" ht="15" hidden="false" customHeight="false" outlineLevel="0" collapsed="false">
      <c r="A19" s="204"/>
      <c r="D19" s="240" t="n">
        <f aca="false">SUM(D16:D18)</f>
        <v>2077243.74</v>
      </c>
      <c r="E19" s="240" t="n">
        <f aca="false">SUM(E16:E18)</f>
        <v>2077243.74</v>
      </c>
      <c r="F19" s="241" t="n">
        <f aca="false">+D19-E19</f>
        <v>0</v>
      </c>
      <c r="G19" s="202" t="n">
        <f aca="false">D16+D25+D62</f>
        <v>38824192</v>
      </c>
    </row>
    <row r="20" customFormat="false" ht="14.25" hidden="false" customHeight="false" outlineLevel="0" collapsed="false">
      <c r="G20" s="202" t="n">
        <f aca="false">G19-SUM('ESF - ERI'!E49:M49)</f>
        <v>-0.0200000032782555</v>
      </c>
    </row>
    <row r="21" customFormat="false" ht="15" hidden="false" customHeight="false" outlineLevel="0" collapsed="false">
      <c r="A21" s="204" t="s">
        <v>264</v>
      </c>
    </row>
    <row r="23" customFormat="false" ht="15" hidden="false" customHeight="false" outlineLevel="0" collapsed="false">
      <c r="A23" s="235"/>
      <c r="B23" s="185" t="s">
        <v>198</v>
      </c>
      <c r="C23" s="186" t="s">
        <v>199</v>
      </c>
      <c r="D23" s="187" t="s">
        <v>200</v>
      </c>
      <c r="E23" s="187" t="s">
        <v>201</v>
      </c>
      <c r="F23" s="242"/>
      <c r="G23" s="242"/>
      <c r="H23" s="242"/>
      <c r="I23" s="242"/>
      <c r="J23" s="242"/>
      <c r="K23" s="243"/>
    </row>
    <row r="24" customFormat="false" ht="14.25" hidden="false" customHeight="false" outlineLevel="0" collapsed="false">
      <c r="B24" s="188" t="s">
        <v>202</v>
      </c>
      <c r="C24" s="189" t="s">
        <v>203</v>
      </c>
      <c r="D24" s="191" t="n">
        <f aca="false">SUM('ESF - ERI'!E48:M48)</f>
        <v>138600</v>
      </c>
      <c r="E24" s="191"/>
      <c r="F24" s="244"/>
      <c r="G24" s="245"/>
      <c r="H24" s="245"/>
      <c r="I24" s="245"/>
      <c r="J24" s="245"/>
      <c r="L24" s="241"/>
    </row>
    <row r="25" customFormat="false" ht="14.25" hidden="false" customHeight="false" outlineLevel="0" collapsed="false">
      <c r="B25" s="192" t="s">
        <v>204</v>
      </c>
      <c r="C25" s="189" t="s">
        <v>203</v>
      </c>
      <c r="D25" s="193" t="n">
        <f aca="false">+'ESF - ERI'!E49-'Asientos - para Consolidado'!D62-C10</f>
        <v>9477384</v>
      </c>
      <c r="E25" s="194"/>
      <c r="F25" s="244"/>
      <c r="G25" s="245"/>
      <c r="H25" s="245"/>
      <c r="I25" s="245"/>
      <c r="J25" s="245"/>
      <c r="L25" s="241"/>
    </row>
    <row r="26" customFormat="false" ht="14.25" hidden="false" customHeight="false" outlineLevel="0" collapsed="false">
      <c r="B26" s="192" t="s">
        <v>205</v>
      </c>
      <c r="C26" s="189" t="s">
        <v>203</v>
      </c>
      <c r="D26" s="194" t="n">
        <f aca="false">SUM('ESF - ERI'!E50:M50)</f>
        <v>184560.05</v>
      </c>
      <c r="E26" s="194"/>
      <c r="F26" s="244"/>
      <c r="G26" s="245"/>
      <c r="H26" s="245"/>
      <c r="J26" s="245"/>
      <c r="L26" s="241"/>
    </row>
    <row r="27" customFormat="false" ht="14.25" hidden="false" customHeight="false" outlineLevel="0" collapsed="false">
      <c r="B27" s="192" t="s">
        <v>206</v>
      </c>
      <c r="C27" s="189" t="s">
        <v>203</v>
      </c>
      <c r="D27" s="194" t="n">
        <f aca="false">SUM('ESF - ERI'!E52:M52)</f>
        <v>1566.29</v>
      </c>
      <c r="E27" s="194"/>
      <c r="F27" s="244"/>
      <c r="G27" s="245"/>
      <c r="H27" s="245"/>
      <c r="I27" s="245"/>
      <c r="J27" s="245"/>
      <c r="L27" s="241"/>
    </row>
    <row r="28" customFormat="false" ht="14.25" hidden="false" customHeight="false" outlineLevel="0" collapsed="false">
      <c r="B28" s="192" t="s">
        <v>93</v>
      </c>
      <c r="C28" s="189" t="s">
        <v>203</v>
      </c>
      <c r="D28" s="194" t="n">
        <f aca="false">SUM('ESF - ERI'!E53:M53)</f>
        <v>82150.45</v>
      </c>
      <c r="E28" s="194"/>
      <c r="F28" s="244"/>
      <c r="G28" s="245"/>
      <c r="H28" s="245"/>
      <c r="I28" s="245"/>
      <c r="J28" s="245"/>
      <c r="L28" s="241"/>
    </row>
    <row r="29" customFormat="false" ht="14.25" hidden="false" customHeight="false" outlineLevel="0" collapsed="false">
      <c r="B29" s="192" t="s">
        <v>207</v>
      </c>
      <c r="C29" s="189" t="s">
        <v>203</v>
      </c>
      <c r="D29" s="194" t="n">
        <f aca="false">SUM('ESF - ERI'!E55:M55)</f>
        <v>957283.52</v>
      </c>
      <c r="E29" s="194"/>
      <c r="F29" s="244"/>
      <c r="G29" s="245"/>
      <c r="I29" s="245"/>
      <c r="J29" s="245"/>
      <c r="L29" s="241"/>
    </row>
    <row r="30" customFormat="false" ht="14.25" hidden="true" customHeight="false" outlineLevel="0" collapsed="false">
      <c r="B30" s="192" t="s">
        <v>265</v>
      </c>
      <c r="C30" s="189"/>
      <c r="D30" s="194"/>
      <c r="E30" s="194"/>
      <c r="F30" s="245"/>
      <c r="G30" s="245"/>
      <c r="H30" s="245"/>
      <c r="I30" s="245"/>
      <c r="J30" s="245"/>
    </row>
    <row r="31" customFormat="false" ht="14.25" hidden="false" customHeight="false" outlineLevel="0" collapsed="false">
      <c r="B31" s="246" t="s">
        <v>62</v>
      </c>
      <c r="C31" s="247" t="s">
        <v>208</v>
      </c>
      <c r="D31" s="248" t="n">
        <f aca="false">+PNC!C103</f>
        <v>394335.366944214</v>
      </c>
      <c r="E31" s="194"/>
      <c r="F31" s="245"/>
      <c r="G31" s="245"/>
      <c r="H31" s="245"/>
      <c r="I31" s="245"/>
      <c r="J31" s="245"/>
    </row>
    <row r="32" customFormat="false" ht="14.25" hidden="false" customHeight="false" outlineLevel="0" collapsed="false">
      <c r="B32" s="246" t="s">
        <v>209</v>
      </c>
      <c r="C32" s="247" t="s">
        <v>208</v>
      </c>
      <c r="D32" s="248" t="n">
        <f aca="false">+PNC!C102</f>
        <v>828548.363648746</v>
      </c>
      <c r="E32" s="194"/>
      <c r="F32" s="245"/>
      <c r="G32" s="245"/>
      <c r="H32" s="245"/>
      <c r="I32" s="245"/>
      <c r="J32" s="245"/>
    </row>
    <row r="33" customFormat="false" ht="14.25" hidden="false" customHeight="false" outlineLevel="0" collapsed="false">
      <c r="B33" s="195" t="s">
        <v>210</v>
      </c>
      <c r="C33" s="189" t="s">
        <v>208</v>
      </c>
      <c r="D33" s="194" t="n">
        <v>881973.000000006</v>
      </c>
      <c r="E33" s="194"/>
      <c r="F33" s="245" t="s">
        <v>266</v>
      </c>
      <c r="G33" s="245"/>
      <c r="H33" s="245"/>
      <c r="I33" s="245"/>
      <c r="J33" s="245"/>
    </row>
    <row r="34" customFormat="false" ht="14.25" hidden="false" customHeight="false" outlineLevel="0" collapsed="false">
      <c r="B34" s="249" t="s">
        <v>209</v>
      </c>
      <c r="C34" s="247" t="s">
        <v>203</v>
      </c>
      <c r="D34" s="248"/>
      <c r="E34" s="248" t="n">
        <f aca="false">-SUM('ESF - ERI'!E56:M56)</f>
        <v>1044878.7099375</v>
      </c>
      <c r="F34" s="245"/>
      <c r="G34" s="245"/>
      <c r="H34" s="245"/>
      <c r="I34" s="245"/>
      <c r="J34" s="245"/>
      <c r="L34" s="250"/>
    </row>
    <row r="35" customFormat="false" ht="15" hidden="false" customHeight="false" outlineLevel="0" collapsed="false">
      <c r="A35" s="239"/>
      <c r="B35" s="192" t="s">
        <v>211</v>
      </c>
      <c r="C35" s="189" t="s">
        <v>212</v>
      </c>
      <c r="D35" s="194"/>
      <c r="E35" s="194" t="n">
        <f aca="false">+'Asientos - para Consolidado'!L9</f>
        <v>2544003.26</v>
      </c>
      <c r="F35" s="245"/>
      <c r="G35" s="245"/>
      <c r="H35" s="245"/>
      <c r="I35" s="245"/>
      <c r="J35" s="245"/>
      <c r="K35" s="203"/>
      <c r="L35" s="241"/>
    </row>
    <row r="36" customFormat="false" ht="14.25" hidden="false" customHeight="false" outlineLevel="0" collapsed="false">
      <c r="B36" s="197" t="s">
        <v>213</v>
      </c>
      <c r="C36" s="198" t="s">
        <v>208</v>
      </c>
      <c r="D36" s="199"/>
      <c r="E36" s="199" t="n">
        <f aca="false">+PNC!C101</f>
        <v>9357519.07065547</v>
      </c>
      <c r="F36" s="245"/>
      <c r="G36" s="245"/>
      <c r="H36" s="245"/>
      <c r="I36" s="245"/>
      <c r="J36" s="245"/>
      <c r="L36" s="241"/>
    </row>
    <row r="37" customFormat="false" ht="5.25" hidden="false" customHeight="true" outlineLevel="0" collapsed="false"/>
    <row r="38" customFormat="false" ht="15" hidden="false" customHeight="false" outlineLevel="0" collapsed="false">
      <c r="D38" s="203" t="n">
        <f aca="false">SUM(D24:D37)</f>
        <v>12946401.040593</v>
      </c>
      <c r="E38" s="203" t="n">
        <f aca="false">SUM(E24:E37)</f>
        <v>12946401.040593</v>
      </c>
      <c r="F38" s="203"/>
      <c r="G38" s="203"/>
      <c r="H38" s="203"/>
      <c r="I38" s="203"/>
      <c r="J38" s="203"/>
      <c r="K38" s="202" t="n">
        <f aca="false">+D38-E38</f>
        <v>0</v>
      </c>
    </row>
    <row r="39" customFormat="false" ht="15" hidden="false" customHeight="false" outlineLevel="0" collapsed="false">
      <c r="C39" s="203"/>
      <c r="D39" s="203"/>
      <c r="E39" s="202" t="n">
        <f aca="false">+E38-D38</f>
        <v>0</v>
      </c>
    </row>
    <row r="40" customFormat="false" ht="15" hidden="false" customHeight="false" outlineLevel="0" collapsed="false">
      <c r="A40" s="204" t="s">
        <v>267</v>
      </c>
    </row>
    <row r="42" customFormat="false" ht="24.75" hidden="false" customHeight="true" outlineLevel="0" collapsed="false">
      <c r="B42" s="219" t="s">
        <v>215</v>
      </c>
      <c r="C42" s="186" t="s">
        <v>199</v>
      </c>
      <c r="D42" s="220" t="s">
        <v>216</v>
      </c>
      <c r="E42" s="206" t="s">
        <v>217</v>
      </c>
      <c r="F42" s="243"/>
      <c r="G42" s="243"/>
      <c r="H42" s="243"/>
      <c r="I42" s="243"/>
      <c r="J42" s="243"/>
    </row>
    <row r="43" customFormat="false" ht="19.5" hidden="false" customHeight="true" outlineLevel="0" collapsed="false">
      <c r="B43" s="251" t="s">
        <v>268</v>
      </c>
      <c r="C43" s="208" t="s">
        <v>212</v>
      </c>
      <c r="D43" s="252" t="n">
        <f aca="false">444582</f>
        <v>444582</v>
      </c>
      <c r="E43" s="208"/>
      <c r="G43" s="253" t="s">
        <v>269</v>
      </c>
      <c r="H43" s="252"/>
      <c r="I43" s="252"/>
      <c r="J43" s="252"/>
      <c r="K43" s="252"/>
      <c r="L43" s="254"/>
      <c r="M43" s="255"/>
    </row>
    <row r="44" customFormat="false" ht="19.5" hidden="false" customHeight="true" outlineLevel="0" collapsed="false">
      <c r="B44" s="222" t="s">
        <v>270</v>
      </c>
      <c r="C44" s="189" t="s">
        <v>212</v>
      </c>
      <c r="E44" s="189" t="n">
        <v>444582</v>
      </c>
      <c r="G44" s="256" t="n">
        <f aca="false">492416-47834.13</f>
        <v>444581.87</v>
      </c>
      <c r="H44" s="227" t="s">
        <v>271</v>
      </c>
      <c r="I44" s="227"/>
      <c r="J44" s="227"/>
      <c r="K44" s="227"/>
      <c r="L44" s="257"/>
      <c r="M44" s="258"/>
    </row>
    <row r="45" customFormat="false" ht="19.5" hidden="false" customHeight="true" outlineLevel="0" collapsed="false">
      <c r="B45" s="207"/>
      <c r="C45" s="189"/>
      <c r="E45" s="189"/>
      <c r="F45" s="208" t="s">
        <v>272</v>
      </c>
      <c r="G45" s="253" t="s">
        <v>273</v>
      </c>
      <c r="H45" s="252"/>
      <c r="I45" s="252"/>
      <c r="J45" s="252"/>
      <c r="K45" s="252"/>
      <c r="L45" s="254"/>
      <c r="M45" s="255"/>
    </row>
    <row r="46" customFormat="false" ht="19.5" hidden="false" customHeight="true" outlineLevel="0" collapsed="false">
      <c r="B46" s="207" t="s">
        <v>274</v>
      </c>
      <c r="C46" s="189" t="s">
        <v>212</v>
      </c>
      <c r="D46" s="202" t="n">
        <v>11030</v>
      </c>
      <c r="E46" s="189"/>
      <c r="F46" s="198" t="s">
        <v>275</v>
      </c>
      <c r="G46" s="256" t="n">
        <f aca="false">860302.4-11761.2</f>
        <v>848541.2</v>
      </c>
      <c r="H46" s="227" t="s">
        <v>271</v>
      </c>
      <c r="I46" s="227"/>
      <c r="J46" s="227"/>
      <c r="K46" s="227"/>
      <c r="L46" s="257"/>
      <c r="M46" s="258"/>
    </row>
    <row r="47" customFormat="false" ht="19.5" hidden="false" customHeight="true" outlineLevel="0" collapsed="false">
      <c r="B47" s="222" t="s">
        <v>276</v>
      </c>
      <c r="C47" s="189" t="s">
        <v>277</v>
      </c>
      <c r="E47" s="189" t="n">
        <f aca="false">+D46</f>
        <v>11030</v>
      </c>
    </row>
    <row r="48" customFormat="false" ht="19.5" hidden="false" customHeight="true" outlineLevel="0" collapsed="false">
      <c r="B48" s="222"/>
      <c r="C48" s="189"/>
      <c r="E48" s="189"/>
    </row>
    <row r="49" customFormat="false" ht="19.5" hidden="false" customHeight="true" outlineLevel="0" collapsed="false">
      <c r="B49" s="222"/>
      <c r="C49" s="189"/>
      <c r="E49" s="189"/>
      <c r="I49" s="202" t="n">
        <f aca="false">963539</f>
        <v>963539</v>
      </c>
      <c r="J49" s="202" t="n">
        <f aca="false">I49/1.12</f>
        <v>860302.678571428</v>
      </c>
    </row>
    <row r="50" customFormat="false" ht="19.5" hidden="false" customHeight="true" outlineLevel="0" collapsed="false">
      <c r="B50" s="226"/>
      <c r="C50" s="198"/>
      <c r="D50" s="227"/>
      <c r="E50" s="198"/>
      <c r="I50" s="202" t="n">
        <v>13173</v>
      </c>
      <c r="J50" s="202" t="n">
        <f aca="false">I50/1.12</f>
        <v>11761.6071428571</v>
      </c>
    </row>
    <row r="51" customFormat="false" ht="15" hidden="false" customHeight="false" outlineLevel="0" collapsed="false">
      <c r="D51" s="203" t="n">
        <f aca="false">SUM(D43:D50)</f>
        <v>455612</v>
      </c>
      <c r="E51" s="203" t="n">
        <f aca="false">SUM(E43:E50)</f>
        <v>455612</v>
      </c>
      <c r="F51" s="203"/>
      <c r="G51" s="203"/>
      <c r="H51" s="203"/>
      <c r="I51" s="203"/>
      <c r="J51" s="203" t="n">
        <f aca="false">J49-J50</f>
        <v>848541.071428571</v>
      </c>
    </row>
    <row r="53" customFormat="false" ht="15" hidden="false" customHeight="false" outlineLevel="0" collapsed="false">
      <c r="A53" s="204" t="s">
        <v>214</v>
      </c>
    </row>
    <row r="55" customFormat="false" ht="24.75" hidden="false" customHeight="true" outlineLevel="0" collapsed="false">
      <c r="B55" s="205" t="s">
        <v>215</v>
      </c>
      <c r="C55" s="186" t="s">
        <v>199</v>
      </c>
      <c r="D55" s="206" t="s">
        <v>216</v>
      </c>
      <c r="E55" s="206" t="s">
        <v>217</v>
      </c>
      <c r="F55" s="243"/>
      <c r="G55" s="243"/>
      <c r="H55" s="243"/>
      <c r="I55" s="243"/>
      <c r="J55" s="243"/>
    </row>
    <row r="56" customFormat="false" ht="19.5" hidden="false" customHeight="true" outlineLevel="0" collapsed="false">
      <c r="B56" s="207" t="s">
        <v>227</v>
      </c>
      <c r="C56" s="189" t="s">
        <v>278</v>
      </c>
      <c r="D56" s="252" t="n">
        <v>100000</v>
      </c>
      <c r="E56" s="208"/>
    </row>
    <row r="57" customFormat="false" ht="19.5" hidden="false" customHeight="true" outlineLevel="0" collapsed="false">
      <c r="B57" s="207" t="s">
        <v>279</v>
      </c>
      <c r="C57" s="189" t="s">
        <v>278</v>
      </c>
      <c r="D57" s="202" t="n">
        <v>2666934.93</v>
      </c>
      <c r="E57" s="189"/>
    </row>
    <row r="58" customFormat="false" ht="19.5" hidden="false" customHeight="true" outlineLevel="0" collapsed="false">
      <c r="B58" s="207" t="s">
        <v>227</v>
      </c>
      <c r="C58" s="189" t="s">
        <v>280</v>
      </c>
      <c r="D58" s="202" t="n">
        <f aca="false">1268003</f>
        <v>1268003</v>
      </c>
      <c r="E58" s="189"/>
    </row>
    <row r="59" customFormat="false" ht="19.5" hidden="false" customHeight="true" outlineLevel="0" collapsed="false">
      <c r="B59" s="207" t="s">
        <v>227</v>
      </c>
      <c r="C59" s="189" t="s">
        <v>281</v>
      </c>
      <c r="D59" s="202" t="n">
        <f aca="false">+E70</f>
        <v>505881.68</v>
      </c>
      <c r="E59" s="189"/>
    </row>
    <row r="60" customFormat="false" ht="19.5" hidden="false" customHeight="true" outlineLevel="0" collapsed="false">
      <c r="B60" s="207" t="s">
        <v>227</v>
      </c>
      <c r="C60" s="189" t="s">
        <v>282</v>
      </c>
      <c r="D60" s="202" t="n">
        <v>794</v>
      </c>
      <c r="E60" s="189"/>
    </row>
    <row r="61" customFormat="false" ht="19.5" hidden="false" customHeight="true" outlineLevel="0" collapsed="false">
      <c r="B61" s="207" t="s">
        <v>227</v>
      </c>
      <c r="C61" s="189" t="s">
        <v>277</v>
      </c>
      <c r="D61" s="202" t="n">
        <f aca="false">1161180+940330</f>
        <v>2101510</v>
      </c>
      <c r="E61" s="189"/>
    </row>
    <row r="62" customFormat="false" ht="19.5" hidden="false" customHeight="true" outlineLevel="0" collapsed="false">
      <c r="B62" s="207" t="s">
        <v>204</v>
      </c>
      <c r="C62" s="189" t="s">
        <v>277</v>
      </c>
      <c r="D62" s="214" t="n">
        <f aca="false">27706930-C10</f>
        <v>27269564.26</v>
      </c>
      <c r="E62" s="189"/>
    </row>
    <row r="63" customFormat="false" ht="19.5" hidden="false" customHeight="true" outlineLevel="0" collapsed="false">
      <c r="B63" s="207" t="s">
        <v>227</v>
      </c>
      <c r="C63" s="189" t="s">
        <v>212</v>
      </c>
      <c r="D63" s="202" t="n">
        <f aca="false">+E66</f>
        <v>656792</v>
      </c>
      <c r="E63" s="189"/>
    </row>
    <row r="64" customFormat="false" ht="19.5" hidden="false" customHeight="true" outlineLevel="0" collapsed="false">
      <c r="B64" s="207" t="s">
        <v>227</v>
      </c>
      <c r="C64" s="189" t="s">
        <v>277</v>
      </c>
      <c r="D64" s="202" t="n">
        <f aca="false">+E67</f>
        <v>11643.21</v>
      </c>
      <c r="E64" s="189"/>
    </row>
    <row r="65" customFormat="false" ht="19.5" hidden="false" customHeight="true" outlineLevel="0" collapsed="false">
      <c r="B65" s="207" t="s">
        <v>227</v>
      </c>
      <c r="C65" s="189" t="s">
        <v>278</v>
      </c>
      <c r="D65" s="202" t="n">
        <f aca="false">+E68</f>
        <v>116867</v>
      </c>
      <c r="E65" s="189"/>
    </row>
    <row r="66" customFormat="false" ht="19.5" hidden="false" customHeight="true" outlineLevel="0" collapsed="false">
      <c r="B66" s="207" t="s">
        <v>218</v>
      </c>
      <c r="C66" s="189" t="s">
        <v>280</v>
      </c>
      <c r="E66" s="189" t="n">
        <v>656792</v>
      </c>
    </row>
    <row r="67" customFormat="false" ht="19.5" hidden="false" customHeight="true" outlineLevel="0" collapsed="false">
      <c r="B67" s="207" t="s">
        <v>218</v>
      </c>
      <c r="C67" s="189" t="s">
        <v>278</v>
      </c>
      <c r="E67" s="189" t="n">
        <v>11643.21</v>
      </c>
    </row>
    <row r="68" customFormat="false" ht="19.5" hidden="false" customHeight="true" outlineLevel="0" collapsed="false">
      <c r="B68" s="207" t="s">
        <v>218</v>
      </c>
      <c r="C68" s="189" t="s">
        <v>277</v>
      </c>
      <c r="E68" s="189" t="n">
        <v>116867</v>
      </c>
    </row>
    <row r="69" customFormat="false" ht="19.5" hidden="false" customHeight="true" outlineLevel="0" collapsed="false">
      <c r="B69" s="207" t="s">
        <v>218</v>
      </c>
      <c r="C69" s="189" t="s">
        <v>212</v>
      </c>
      <c r="E69" s="189" t="n">
        <f aca="false">2766935+1268003+D60+1161180</f>
        <v>5196912</v>
      </c>
    </row>
    <row r="70" customFormat="false" ht="19.5" hidden="false" customHeight="true" outlineLevel="0" collapsed="false">
      <c r="B70" s="207" t="s">
        <v>42</v>
      </c>
      <c r="C70" s="189" t="s">
        <v>212</v>
      </c>
      <c r="E70" s="189" t="n">
        <v>505881.68</v>
      </c>
    </row>
    <row r="71" customFormat="false" ht="19.5" hidden="false" customHeight="true" outlineLevel="0" collapsed="false">
      <c r="B71" s="207" t="s">
        <v>283</v>
      </c>
      <c r="C71" s="189" t="s">
        <v>212</v>
      </c>
      <c r="E71" s="189" t="n">
        <v>940330</v>
      </c>
    </row>
    <row r="72" customFormat="false" ht="19.5" hidden="false" customHeight="true" outlineLevel="0" collapsed="false">
      <c r="B72" s="215" t="s">
        <v>284</v>
      </c>
      <c r="C72" s="198" t="s">
        <v>212</v>
      </c>
      <c r="D72" s="227"/>
      <c r="E72" s="198" t="n">
        <f aca="false">+D62</f>
        <v>27269564.26</v>
      </c>
    </row>
    <row r="73" customFormat="false" ht="15" hidden="false" customHeight="false" outlineLevel="0" collapsed="false">
      <c r="D73" s="203" t="n">
        <f aca="false">SUM(D56:D72)</f>
        <v>34697990.08</v>
      </c>
      <c r="E73" s="203" t="n">
        <f aca="false">SUM(E56:E72)</f>
        <v>34697990.15</v>
      </c>
      <c r="F73" s="203"/>
      <c r="G73" s="203"/>
      <c r="H73" s="203"/>
      <c r="I73" s="203"/>
      <c r="J73" s="203"/>
    </row>
    <row r="76" customFormat="false" ht="15" hidden="false" customHeight="false" outlineLevel="0" collapsed="false">
      <c r="A76" s="204" t="s">
        <v>285</v>
      </c>
    </row>
    <row r="78" customFormat="false" ht="15" hidden="false" customHeight="false" outlineLevel="0" collapsed="false">
      <c r="A78" s="235"/>
      <c r="B78" s="185" t="s">
        <v>198</v>
      </c>
      <c r="C78" s="186" t="s">
        <v>199</v>
      </c>
      <c r="D78" s="187" t="s">
        <v>200</v>
      </c>
      <c r="E78" s="187" t="s">
        <v>201</v>
      </c>
    </row>
    <row r="79" customFormat="false" ht="14.25" hidden="false" customHeight="false" outlineLevel="0" collapsed="false">
      <c r="B79" s="188" t="s">
        <v>105</v>
      </c>
      <c r="C79" s="189" t="s">
        <v>286</v>
      </c>
      <c r="D79" s="191" t="n">
        <f aca="false">459066*0.49</f>
        <v>224942.34</v>
      </c>
      <c r="E79" s="191"/>
    </row>
    <row r="80" customFormat="false" ht="14.25" hidden="false" customHeight="false" outlineLevel="0" collapsed="false">
      <c r="B80" s="197" t="s">
        <v>287</v>
      </c>
      <c r="C80" s="198" t="s">
        <v>286</v>
      </c>
      <c r="D80" s="199"/>
      <c r="E80" s="199" t="n">
        <f aca="false">+D79</f>
        <v>224942.34</v>
      </c>
    </row>
    <row r="82" customFormat="false" ht="15" hidden="false" customHeight="false" outlineLevel="0" collapsed="false">
      <c r="D82" s="203" t="n">
        <f aca="false">SUM(D79:D81)</f>
        <v>224942.34</v>
      </c>
      <c r="E82" s="203" t="n">
        <f aca="false">SUM(E79:E81)</f>
        <v>224942.34</v>
      </c>
    </row>
  </sheetData>
  <printOptions headings="false" gridLines="false" gridLinesSet="true" horizontalCentered="true" verticalCentered="false"/>
  <pageMargins left="0" right="0" top="0.511805555555555" bottom="0.315277777777778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J10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259" width="11.42"/>
    <col collapsed="false" customWidth="true" hidden="false" outlineLevel="0" max="2" min="2" style="260" width="72.29"/>
    <col collapsed="false" customWidth="true" hidden="false" outlineLevel="0" max="3" min="3" style="261" width="23.42"/>
    <col collapsed="false" customWidth="false" hidden="false" outlineLevel="0" max="4" min="4" style="259" width="11.42"/>
    <col collapsed="false" customWidth="true" hidden="false" outlineLevel="0" max="5" min="5" style="262" width="13.14"/>
    <col collapsed="false" customWidth="true" hidden="false" outlineLevel="0" max="6" min="6" style="262" width="15.29"/>
    <col collapsed="false" customWidth="true" hidden="false" outlineLevel="0" max="7" min="7" style="262" width="14.15"/>
    <col collapsed="false" customWidth="true" hidden="false" outlineLevel="0" max="8" min="8" style="262" width="17.59"/>
    <col collapsed="false" customWidth="true" hidden="false" outlineLevel="0" max="9" min="9" style="262" width="21.29"/>
    <col collapsed="false" customWidth="true" hidden="false" outlineLevel="0" max="10" min="10" style="262" width="14.43"/>
    <col collapsed="false" customWidth="false" hidden="false" outlineLevel="0" max="1024" min="11" style="262" width="11.42"/>
  </cols>
  <sheetData>
    <row r="1" customFormat="false" ht="15" hidden="false" customHeight="false" outlineLevel="0" collapsed="false">
      <c r="B1" s="263" t="s">
        <v>288</v>
      </c>
      <c r="C1" s="264"/>
    </row>
    <row r="2" customFormat="false" ht="15" hidden="false" customHeight="false" outlineLevel="0" collapsed="false">
      <c r="B2" s="265" t="s">
        <v>289</v>
      </c>
      <c r="C2" s="266" t="n">
        <f aca="false">+'ESF - ERI'!E58</f>
        <v>36760932</v>
      </c>
      <c r="F2" s="267"/>
      <c r="H2" s="259"/>
    </row>
    <row r="3" customFormat="false" ht="14.25" hidden="false" customHeight="false" outlineLevel="0" collapsed="false">
      <c r="B3" s="268"/>
      <c r="C3" s="269"/>
      <c r="I3" s="270"/>
    </row>
    <row r="4" customFormat="false" ht="30" hidden="false" customHeight="false" outlineLevel="0" collapsed="false">
      <c r="B4" s="271" t="s">
        <v>290</v>
      </c>
      <c r="C4" s="272" t="s">
        <v>291</v>
      </c>
      <c r="E4" s="259"/>
      <c r="F4" s="259"/>
      <c r="G4" s="259"/>
      <c r="H4" s="259"/>
      <c r="I4" s="273"/>
    </row>
    <row r="5" customFormat="false" ht="15" hidden="false" customHeight="false" outlineLevel="0" collapsed="false">
      <c r="B5" s="274" t="s">
        <v>292</v>
      </c>
      <c r="C5" s="275" t="n">
        <f aca="false">+'Asientos - para Consolidado'!C9</f>
        <v>3751.26000000001</v>
      </c>
      <c r="E5" s="276"/>
      <c r="F5" s="277" t="n">
        <v>3751</v>
      </c>
      <c r="G5" s="278" t="n">
        <f aca="false">+F5/$F$7</f>
        <v>0.7502</v>
      </c>
      <c r="H5" s="259" t="s">
        <v>293</v>
      </c>
      <c r="I5" s="279"/>
    </row>
    <row r="6" customFormat="false" ht="15.75" hidden="false" customHeight="false" outlineLevel="0" collapsed="false">
      <c r="B6" s="274" t="s">
        <v>294</v>
      </c>
      <c r="C6" s="280" t="n">
        <f aca="false">C2*G6</f>
        <v>9182880.8136</v>
      </c>
      <c r="D6" s="281" t="s">
        <v>295</v>
      </c>
      <c r="E6" s="259"/>
      <c r="F6" s="282" t="n">
        <v>1249</v>
      </c>
      <c r="G6" s="278" t="n">
        <f aca="false">+F6/$F$7</f>
        <v>0.2498</v>
      </c>
      <c r="H6" s="259" t="s">
        <v>296</v>
      </c>
      <c r="I6" s="283" t="n">
        <f aca="false">C6-'Asientos - para Consolidado'!D25</f>
        <v>-294503.1864</v>
      </c>
    </row>
    <row r="7" customFormat="false" ht="15" hidden="false" customHeight="false" outlineLevel="0" collapsed="false">
      <c r="B7" s="274" t="s">
        <v>297</v>
      </c>
      <c r="C7" s="284" t="n">
        <f aca="false">+C5+C6</f>
        <v>9186632.0736</v>
      </c>
      <c r="E7" s="259"/>
      <c r="F7" s="277" t="n">
        <f aca="false">SUM(F5:F6)</f>
        <v>5000</v>
      </c>
      <c r="G7" s="285"/>
      <c r="H7" s="259"/>
      <c r="I7" s="273" t="n">
        <f aca="false">I6-C9</f>
        <v>-427133.259999996</v>
      </c>
    </row>
    <row r="8" customFormat="false" ht="15" hidden="false" customHeight="true" outlineLevel="0" collapsed="false">
      <c r="B8" s="274" t="s">
        <v>298</v>
      </c>
      <c r="C8" s="275" t="n">
        <f aca="false">+C2-'Asientos - para Consolidado'!C10-'Asientos - para Consolidado'!D62</f>
        <v>9054002</v>
      </c>
      <c r="D8" s="286" t="s">
        <v>299</v>
      </c>
      <c r="E8" s="286"/>
      <c r="F8" s="286"/>
      <c r="G8" s="286"/>
      <c r="H8" s="286"/>
      <c r="I8" s="283"/>
    </row>
    <row r="9" customFormat="false" ht="15.75" hidden="false" customHeight="true" outlineLevel="0" collapsed="false">
      <c r="B9" s="287" t="s">
        <v>62</v>
      </c>
      <c r="C9" s="288" t="n">
        <f aca="false">+C7-C8</f>
        <v>132630.073599996</v>
      </c>
      <c r="D9" s="281" t="s">
        <v>300</v>
      </c>
      <c r="E9" s="289" t="s">
        <v>301</v>
      </c>
      <c r="F9" s="289"/>
      <c r="G9" s="285"/>
      <c r="H9" s="259"/>
      <c r="I9" s="273"/>
      <c r="J9" s="283"/>
    </row>
    <row r="10" customFormat="false" ht="15" hidden="false" customHeight="false" outlineLevel="0" collapsed="false">
      <c r="B10" s="290"/>
      <c r="C10" s="291"/>
      <c r="G10" s="292"/>
    </row>
    <row r="11" customFormat="false" ht="15" hidden="false" customHeight="false" outlineLevel="0" collapsed="false">
      <c r="J11" s="279"/>
    </row>
    <row r="12" customFormat="false" ht="15" hidden="false" customHeight="false" outlineLevel="0" collapsed="false">
      <c r="B12" s="263" t="s">
        <v>302</v>
      </c>
      <c r="C12" s="264"/>
    </row>
    <row r="13" customFormat="false" ht="15" hidden="false" customHeight="true" outlineLevel="0" collapsed="false">
      <c r="B13" s="265" t="s">
        <v>289</v>
      </c>
      <c r="C13" s="266" t="n">
        <f aca="false">+'ESF - ERI'!F58-'ESF - ERI'!F49</f>
        <v>21123.45</v>
      </c>
      <c r="D13" s="286" t="s">
        <v>299</v>
      </c>
      <c r="E13" s="286"/>
      <c r="F13" s="286"/>
      <c r="G13" s="286"/>
      <c r="H13" s="286"/>
      <c r="I13" s="283"/>
      <c r="J13" s="279"/>
    </row>
    <row r="14" customFormat="false" ht="14.25" hidden="false" customHeight="false" outlineLevel="0" collapsed="false">
      <c r="B14" s="268"/>
      <c r="C14" s="269"/>
      <c r="J14" s="270"/>
    </row>
    <row r="15" customFormat="false" ht="30" hidden="false" customHeight="false" outlineLevel="0" collapsed="false">
      <c r="B15" s="271" t="s">
        <v>303</v>
      </c>
      <c r="C15" s="272" t="s">
        <v>291</v>
      </c>
      <c r="E15" s="259"/>
      <c r="F15" s="259"/>
      <c r="G15" s="259"/>
      <c r="H15" s="259"/>
    </row>
    <row r="16" customFormat="false" ht="15" hidden="false" customHeight="false" outlineLevel="0" collapsed="false">
      <c r="B16" s="274" t="s">
        <v>292</v>
      </c>
      <c r="C16" s="275" t="n">
        <f aca="false">+'Asientos - para Consolidado'!D9</f>
        <v>104950</v>
      </c>
      <c r="E16" s="276"/>
      <c r="F16" s="277" t="n">
        <v>104950</v>
      </c>
      <c r="G16" s="278" t="n">
        <f aca="false">+F16/$F$18</f>
        <v>0.99952380952381</v>
      </c>
      <c r="H16" s="259" t="s">
        <v>293</v>
      </c>
      <c r="I16" s="267"/>
    </row>
    <row r="17" customFormat="false" ht="15.75" hidden="false" customHeight="false" outlineLevel="0" collapsed="false">
      <c r="B17" s="274" t="s">
        <v>304</v>
      </c>
      <c r="C17" s="280" t="n">
        <f aca="false">C13*G17</f>
        <v>10.0587857142857</v>
      </c>
      <c r="D17" s="281" t="s">
        <v>295</v>
      </c>
      <c r="E17" s="259"/>
      <c r="F17" s="282" t="n">
        <v>50</v>
      </c>
      <c r="G17" s="278" t="n">
        <f aca="false">+F17/$F$18</f>
        <v>0.000476190476190476</v>
      </c>
      <c r="H17" s="259" t="s">
        <v>296</v>
      </c>
      <c r="I17" s="270"/>
    </row>
    <row r="18" customFormat="false" ht="15" hidden="false" customHeight="false" outlineLevel="0" collapsed="false">
      <c r="B18" s="274" t="s">
        <v>297</v>
      </c>
      <c r="C18" s="284" t="n">
        <f aca="false">+C16+C17</f>
        <v>104960.058785714</v>
      </c>
      <c r="E18" s="259"/>
      <c r="F18" s="277" t="n">
        <f aca="false">SUM(F16:F17)</f>
        <v>105000</v>
      </c>
      <c r="G18" s="285"/>
      <c r="H18" s="259"/>
      <c r="I18" s="283"/>
    </row>
    <row r="19" customFormat="false" ht="15" hidden="false" customHeight="false" outlineLevel="0" collapsed="false">
      <c r="B19" s="274" t="s">
        <v>305</v>
      </c>
      <c r="C19" s="275" t="n">
        <f aca="false">+C13</f>
        <v>21123.45</v>
      </c>
      <c r="D19" s="281"/>
      <c r="E19" s="259"/>
      <c r="F19" s="259"/>
      <c r="G19" s="285"/>
      <c r="H19" s="259"/>
      <c r="I19" s="283"/>
    </row>
    <row r="20" customFormat="false" ht="15" hidden="false" customHeight="false" outlineLevel="0" collapsed="false">
      <c r="B20" s="287" t="s">
        <v>62</v>
      </c>
      <c r="C20" s="288" t="n">
        <f aca="false">+C18-C19</f>
        <v>83836.6087857143</v>
      </c>
      <c r="D20" s="281" t="s">
        <v>306</v>
      </c>
      <c r="E20" s="259"/>
      <c r="F20" s="259"/>
      <c r="G20" s="285"/>
      <c r="H20" s="259"/>
      <c r="I20" s="283"/>
    </row>
    <row r="21" customFormat="false" ht="9" hidden="false" customHeight="true" outlineLevel="0" collapsed="false">
      <c r="B21" s="290"/>
      <c r="C21" s="291"/>
      <c r="G21" s="292"/>
      <c r="I21" s="270"/>
    </row>
    <row r="22" customFormat="false" ht="15" hidden="false" customHeight="false" outlineLevel="0" collapsed="false"/>
    <row r="23" customFormat="false" ht="15" hidden="false" customHeight="false" outlineLevel="0" collapsed="false">
      <c r="B23" s="263" t="s">
        <v>307</v>
      </c>
      <c r="C23" s="264"/>
    </row>
    <row r="24" s="259" customFormat="true" ht="15" hidden="false" customHeight="false" outlineLevel="0" collapsed="false">
      <c r="B24" s="265" t="s">
        <v>289</v>
      </c>
      <c r="C24" s="266" t="n">
        <f aca="false">+'ESF - ERI'!G58</f>
        <v>909131.94</v>
      </c>
    </row>
    <row r="25" customFormat="false" ht="6.75" hidden="false" customHeight="true" outlineLevel="0" collapsed="false">
      <c r="B25" s="268"/>
      <c r="C25" s="269"/>
    </row>
    <row r="26" s="259" customFormat="true" ht="30" hidden="false" customHeight="false" outlineLevel="0" collapsed="false">
      <c r="B26" s="271" t="s">
        <v>308</v>
      </c>
      <c r="C26" s="272" t="s">
        <v>291</v>
      </c>
    </row>
    <row r="27" s="259" customFormat="true" ht="15" hidden="false" customHeight="false" outlineLevel="0" collapsed="false">
      <c r="B27" s="274" t="s">
        <v>292</v>
      </c>
      <c r="C27" s="275" t="n">
        <f aca="false">+'Asientos - para Consolidado'!E9</f>
        <v>943459</v>
      </c>
      <c r="E27" s="276"/>
      <c r="F27" s="277" t="n">
        <v>6800</v>
      </c>
      <c r="G27" s="278" t="n">
        <f aca="false">+F27/$F$29</f>
        <v>0.68</v>
      </c>
      <c r="H27" s="259" t="s">
        <v>293</v>
      </c>
    </row>
    <row r="28" s="259" customFormat="true" ht="15.75" hidden="false" customHeight="false" outlineLevel="0" collapsed="false">
      <c r="B28" s="274" t="s">
        <v>309</v>
      </c>
      <c r="C28" s="280" t="n">
        <f aca="false">C24*G28</f>
        <v>290922.2208</v>
      </c>
      <c r="D28" s="281" t="s">
        <v>295</v>
      </c>
      <c r="F28" s="282" t="n">
        <v>3200</v>
      </c>
      <c r="G28" s="278" t="n">
        <f aca="false">+F28/$F$29</f>
        <v>0.32</v>
      </c>
      <c r="H28" s="259" t="s">
        <v>296</v>
      </c>
    </row>
    <row r="29" s="259" customFormat="true" ht="15" hidden="false" customHeight="false" outlineLevel="0" collapsed="false">
      <c r="B29" s="274" t="s">
        <v>297</v>
      </c>
      <c r="C29" s="284" t="n">
        <f aca="false">+C27+C28</f>
        <v>1234381.2208</v>
      </c>
      <c r="F29" s="277" t="n">
        <f aca="false">SUM(F27:F28)</f>
        <v>10000</v>
      </c>
      <c r="G29" s="285"/>
    </row>
    <row r="30" s="259" customFormat="true" ht="15" hidden="false" customHeight="false" outlineLevel="0" collapsed="false">
      <c r="B30" s="274" t="s">
        <v>310</v>
      </c>
      <c r="C30" s="275" t="n">
        <f aca="false">+C24</f>
        <v>909131.94</v>
      </c>
      <c r="D30" s="281"/>
      <c r="G30" s="285"/>
      <c r="I30" s="293" t="n">
        <f aca="false">C27</f>
        <v>943459</v>
      </c>
    </row>
    <row r="31" s="259" customFormat="true" ht="15.75" hidden="false" customHeight="true" outlineLevel="0" collapsed="false">
      <c r="B31" s="287" t="s">
        <v>62</v>
      </c>
      <c r="C31" s="288" t="n">
        <f aca="false">+C29-C30</f>
        <v>325249.2808</v>
      </c>
      <c r="D31" s="281" t="s">
        <v>300</v>
      </c>
      <c r="E31" s="289" t="s">
        <v>301</v>
      </c>
      <c r="F31" s="289"/>
      <c r="G31" s="285"/>
      <c r="I31" s="294" t="n">
        <f aca="false">C24*G27</f>
        <v>618209.7192</v>
      </c>
    </row>
    <row r="32" customFormat="false" ht="6.75" hidden="false" customHeight="true" outlineLevel="0" collapsed="false">
      <c r="B32" s="290"/>
      <c r="C32" s="291"/>
      <c r="G32" s="292"/>
      <c r="I32" s="295" t="n">
        <f aca="false">I30-I31</f>
        <v>325249.2808</v>
      </c>
    </row>
    <row r="33" customFormat="false" ht="15" hidden="false" customHeight="false" outlineLevel="0" collapsed="false">
      <c r="G33" s="292"/>
    </row>
    <row r="34" customFormat="false" ht="15" hidden="false" customHeight="false" outlineLevel="0" collapsed="false">
      <c r="B34" s="263" t="s">
        <v>311</v>
      </c>
      <c r="C34" s="264"/>
      <c r="G34" s="292"/>
    </row>
    <row r="35" customFormat="false" ht="15" hidden="false" customHeight="true" outlineLevel="0" collapsed="false">
      <c r="B35" s="265" t="s">
        <v>289</v>
      </c>
      <c r="C35" s="266" t="n">
        <f aca="false">+'ESF - ERI'!H58-'ESF - ERI'!H49</f>
        <v>-276937.9199375</v>
      </c>
      <c r="D35" s="286" t="s">
        <v>299</v>
      </c>
      <c r="E35" s="286"/>
      <c r="F35" s="286"/>
      <c r="G35" s="286"/>
      <c r="H35" s="286"/>
    </row>
    <row r="36" customFormat="false" ht="5.25" hidden="false" customHeight="true" outlineLevel="0" collapsed="false">
      <c r="B36" s="268"/>
      <c r="C36" s="269"/>
      <c r="G36" s="292"/>
    </row>
    <row r="37" customFormat="false" ht="30" hidden="false" customHeight="false" outlineLevel="0" collapsed="false">
      <c r="B37" s="271" t="s">
        <v>312</v>
      </c>
      <c r="C37" s="272" t="s">
        <v>291</v>
      </c>
      <c r="E37" s="259"/>
      <c r="F37" s="259"/>
      <c r="G37" s="285"/>
      <c r="H37" s="259"/>
    </row>
    <row r="38" customFormat="false" ht="15" hidden="false" customHeight="false" outlineLevel="0" collapsed="false">
      <c r="B38" s="274" t="s">
        <v>292</v>
      </c>
      <c r="C38" s="275" t="n">
        <f aca="false">+'Asientos - para Consolidado'!F9</f>
        <v>98825</v>
      </c>
      <c r="E38" s="276"/>
      <c r="F38" s="277" t="n">
        <v>500</v>
      </c>
      <c r="G38" s="278" t="n">
        <f aca="false">+F38/$F$40</f>
        <v>0.5</v>
      </c>
      <c r="H38" s="259" t="s">
        <v>293</v>
      </c>
    </row>
    <row r="39" customFormat="false" ht="15.75" hidden="false" customHeight="false" outlineLevel="0" collapsed="false">
      <c r="B39" s="274" t="s">
        <v>313</v>
      </c>
      <c r="C39" s="280" t="n">
        <f aca="false">C35*G39</f>
        <v>-138468.95996875</v>
      </c>
      <c r="D39" s="281" t="s">
        <v>295</v>
      </c>
      <c r="E39" s="259"/>
      <c r="F39" s="282" t="n">
        <v>500</v>
      </c>
      <c r="G39" s="278" t="n">
        <f aca="false">+F39/$F$40</f>
        <v>0.5</v>
      </c>
      <c r="H39" s="259" t="s">
        <v>296</v>
      </c>
    </row>
    <row r="40" customFormat="false" ht="15" hidden="false" customHeight="false" outlineLevel="0" collapsed="false">
      <c r="B40" s="274" t="s">
        <v>297</v>
      </c>
      <c r="C40" s="284" t="n">
        <f aca="false">+C38+C39</f>
        <v>-39643.95996875</v>
      </c>
      <c r="E40" s="259"/>
      <c r="F40" s="277" t="n">
        <f aca="false">SUM(F38:F39)</f>
        <v>1000</v>
      </c>
      <c r="G40" s="285"/>
      <c r="H40" s="259"/>
      <c r="I40" s="283" t="n">
        <f aca="false">C38</f>
        <v>98825</v>
      </c>
    </row>
    <row r="41" customFormat="false" ht="15" hidden="false" customHeight="false" outlineLevel="0" collapsed="false">
      <c r="B41" s="274" t="s">
        <v>314</v>
      </c>
      <c r="C41" s="275" t="n">
        <f aca="false">+C35</f>
        <v>-276937.9199375</v>
      </c>
      <c r="D41" s="281"/>
      <c r="E41" s="259"/>
      <c r="F41" s="259"/>
      <c r="G41" s="285"/>
      <c r="H41" s="259"/>
    </row>
    <row r="42" customFormat="false" ht="15.75" hidden="false" customHeight="true" outlineLevel="0" collapsed="false">
      <c r="B42" s="287" t="s">
        <v>62</v>
      </c>
      <c r="C42" s="288" t="n">
        <f aca="false">+C40-C41</f>
        <v>237293.95996875</v>
      </c>
      <c r="D42" s="281" t="s">
        <v>300</v>
      </c>
      <c r="E42" s="296" t="s">
        <v>301</v>
      </c>
      <c r="F42" s="296"/>
      <c r="G42" s="285"/>
      <c r="H42" s="259"/>
    </row>
    <row r="43" customFormat="false" ht="5.25" hidden="false" customHeight="true" outlineLevel="0" collapsed="false">
      <c r="B43" s="290"/>
      <c r="C43" s="291"/>
      <c r="G43" s="292"/>
    </row>
    <row r="44" customFormat="false" ht="15" hidden="false" customHeight="false" outlineLevel="0" collapsed="false">
      <c r="G44" s="292"/>
    </row>
    <row r="45" customFormat="false" ht="15" hidden="false" customHeight="false" outlineLevel="0" collapsed="false">
      <c r="B45" s="263" t="s">
        <v>315</v>
      </c>
      <c r="C45" s="264"/>
      <c r="G45" s="292"/>
    </row>
    <row r="46" customFormat="false" ht="15" hidden="false" customHeight="true" outlineLevel="0" collapsed="false">
      <c r="B46" s="265" t="s">
        <v>289</v>
      </c>
      <c r="C46" s="266" t="n">
        <f aca="false">+'ESF - ERI'!I58-'ESF - ERI'!I49</f>
        <v>70210.97</v>
      </c>
      <c r="D46" s="286" t="s">
        <v>299</v>
      </c>
      <c r="E46" s="286"/>
      <c r="F46" s="286"/>
      <c r="G46" s="286"/>
      <c r="H46" s="286"/>
    </row>
    <row r="47" customFormat="false" ht="6" hidden="false" customHeight="true" outlineLevel="0" collapsed="false">
      <c r="B47" s="268"/>
      <c r="C47" s="269"/>
      <c r="G47" s="292"/>
    </row>
    <row r="48" customFormat="false" ht="30" hidden="false" customHeight="false" outlineLevel="0" collapsed="false">
      <c r="B48" s="271" t="s">
        <v>316</v>
      </c>
      <c r="C48" s="272" t="s">
        <v>291</v>
      </c>
      <c r="E48" s="259"/>
      <c r="F48" s="259"/>
      <c r="G48" s="285"/>
      <c r="H48" s="259"/>
    </row>
    <row r="49" customFormat="false" ht="15" hidden="false" customHeight="false" outlineLevel="0" collapsed="false">
      <c r="B49" s="274" t="s">
        <v>292</v>
      </c>
      <c r="C49" s="275" t="n">
        <f aca="false">+'Asientos - para Consolidado'!G9</f>
        <v>132050</v>
      </c>
      <c r="E49" s="276"/>
      <c r="F49" s="277" t="n">
        <v>750</v>
      </c>
      <c r="G49" s="278" t="n">
        <f aca="false">+F49/$F$51</f>
        <v>0.75</v>
      </c>
      <c r="H49" s="259" t="s">
        <v>293</v>
      </c>
    </row>
    <row r="50" customFormat="false" ht="15.75" hidden="false" customHeight="false" outlineLevel="0" collapsed="false">
      <c r="B50" s="274" t="s">
        <v>317</v>
      </c>
      <c r="C50" s="280" t="n">
        <f aca="false">C46*G50</f>
        <v>17552.7425</v>
      </c>
      <c r="D50" s="281" t="s">
        <v>295</v>
      </c>
      <c r="E50" s="259"/>
      <c r="F50" s="282" t="n">
        <v>250</v>
      </c>
      <c r="G50" s="278" t="n">
        <f aca="false">+F50/$F$51</f>
        <v>0.25</v>
      </c>
      <c r="H50" s="259" t="s">
        <v>296</v>
      </c>
    </row>
    <row r="51" customFormat="false" ht="15" hidden="false" customHeight="false" outlineLevel="0" collapsed="false">
      <c r="B51" s="274" t="s">
        <v>297</v>
      </c>
      <c r="C51" s="284" t="n">
        <f aca="false">+C49+C50</f>
        <v>149602.7425</v>
      </c>
      <c r="E51" s="259"/>
      <c r="F51" s="277" t="n">
        <f aca="false">SUM(F49:F50)</f>
        <v>1000</v>
      </c>
      <c r="G51" s="285"/>
      <c r="H51" s="259"/>
      <c r="I51" s="267" t="n">
        <f aca="false">C49</f>
        <v>132050</v>
      </c>
    </row>
    <row r="52" customFormat="false" ht="15" hidden="false" customHeight="false" outlineLevel="0" collapsed="false">
      <c r="B52" s="274" t="s">
        <v>318</v>
      </c>
      <c r="C52" s="275" t="n">
        <f aca="false">+C46</f>
        <v>70210.97</v>
      </c>
      <c r="D52" s="281"/>
      <c r="E52" s="259"/>
      <c r="F52" s="259"/>
      <c r="G52" s="285"/>
      <c r="H52" s="259"/>
      <c r="I52" s="267" t="n">
        <f aca="false">C46*G49</f>
        <v>52658.2275</v>
      </c>
    </row>
    <row r="53" customFormat="false" ht="15" hidden="false" customHeight="false" outlineLevel="0" collapsed="false">
      <c r="B53" s="287" t="s">
        <v>62</v>
      </c>
      <c r="C53" s="288" t="n">
        <f aca="false">+C51-C52</f>
        <v>79391.7725</v>
      </c>
      <c r="D53" s="281" t="s">
        <v>306</v>
      </c>
      <c r="E53" s="259"/>
      <c r="F53" s="259"/>
      <c r="G53" s="285"/>
      <c r="H53" s="259"/>
      <c r="I53" s="267" t="n">
        <f aca="false">I51-I52</f>
        <v>79391.7725</v>
      </c>
    </row>
    <row r="54" customFormat="false" ht="7.5" hidden="false" customHeight="true" outlineLevel="0" collapsed="false">
      <c r="B54" s="290"/>
      <c r="C54" s="291"/>
      <c r="G54" s="292"/>
    </row>
    <row r="55" customFormat="false" ht="15" hidden="false" customHeight="false" outlineLevel="0" collapsed="false">
      <c r="G55" s="292"/>
    </row>
    <row r="56" customFormat="false" ht="15" hidden="false" customHeight="false" outlineLevel="0" collapsed="false">
      <c r="B56" s="263" t="s">
        <v>319</v>
      </c>
      <c r="C56" s="264"/>
      <c r="G56" s="292"/>
    </row>
    <row r="57" customFormat="false" ht="15" hidden="false" customHeight="false" outlineLevel="0" collapsed="false">
      <c r="B57" s="265" t="s">
        <v>289</v>
      </c>
      <c r="C57" s="266" t="n">
        <f aca="false">+'ESF - ERI'!J58</f>
        <v>7194.99</v>
      </c>
      <c r="E57" s="259"/>
      <c r="F57" s="259"/>
      <c r="G57" s="285"/>
      <c r="H57" s="259"/>
    </row>
    <row r="58" customFormat="false" ht="14.25" hidden="false" customHeight="false" outlineLevel="0" collapsed="false">
      <c r="B58" s="268"/>
      <c r="C58" s="269"/>
      <c r="G58" s="292"/>
    </row>
    <row r="59" customFormat="false" ht="30" hidden="false" customHeight="false" outlineLevel="0" collapsed="false">
      <c r="B59" s="271" t="s">
        <v>320</v>
      </c>
      <c r="C59" s="272" t="s">
        <v>291</v>
      </c>
      <c r="E59" s="259"/>
      <c r="F59" s="259"/>
      <c r="G59" s="285"/>
      <c r="H59" s="259"/>
    </row>
    <row r="60" customFormat="false" ht="15" hidden="false" customHeight="false" outlineLevel="0" collapsed="false">
      <c r="B60" s="274" t="s">
        <v>292</v>
      </c>
      <c r="C60" s="275" t="n">
        <f aca="false">+'Asientos - para Consolidado'!H9</f>
        <v>140052</v>
      </c>
      <c r="E60" s="276"/>
      <c r="F60" s="277" t="n">
        <v>4640</v>
      </c>
      <c r="G60" s="278" t="n">
        <f aca="false">+F60/$F$62</f>
        <v>0.928</v>
      </c>
      <c r="H60" s="259" t="s">
        <v>293</v>
      </c>
    </row>
    <row r="61" customFormat="false" ht="15.75" hidden="false" customHeight="false" outlineLevel="0" collapsed="false">
      <c r="B61" s="274" t="s">
        <v>321</v>
      </c>
      <c r="C61" s="280" t="n">
        <f aca="false">C57*G61</f>
        <v>518.03928</v>
      </c>
      <c r="D61" s="281" t="s">
        <v>295</v>
      </c>
      <c r="E61" s="259"/>
      <c r="F61" s="282" t="n">
        <v>360</v>
      </c>
      <c r="G61" s="278" t="n">
        <f aca="false">+F61/$F$62</f>
        <v>0.072</v>
      </c>
      <c r="H61" s="259" t="s">
        <v>296</v>
      </c>
    </row>
    <row r="62" customFormat="false" ht="15" hidden="false" customHeight="false" outlineLevel="0" collapsed="false">
      <c r="B62" s="274" t="s">
        <v>297</v>
      </c>
      <c r="C62" s="284" t="n">
        <f aca="false">+C60+C61</f>
        <v>140570.03928</v>
      </c>
      <c r="E62" s="259"/>
      <c r="F62" s="277" t="n">
        <f aca="false">SUM(F60:F61)</f>
        <v>5000</v>
      </c>
      <c r="G62" s="259"/>
      <c r="H62" s="259"/>
      <c r="I62" s="283" t="n">
        <f aca="false">C60</f>
        <v>140052</v>
      </c>
    </row>
    <row r="63" customFormat="false" ht="15" hidden="false" customHeight="false" outlineLevel="0" collapsed="false">
      <c r="B63" s="274" t="s">
        <v>322</v>
      </c>
      <c r="C63" s="275" t="n">
        <f aca="false">+C57</f>
        <v>7194.99</v>
      </c>
      <c r="D63" s="281"/>
      <c r="E63" s="259"/>
      <c r="F63" s="259"/>
      <c r="G63" s="259"/>
      <c r="H63" s="259"/>
      <c r="I63" s="295" t="n">
        <f aca="false">C57*G60</f>
        <v>6676.95072</v>
      </c>
    </row>
    <row r="64" customFormat="false" ht="15.75" hidden="false" customHeight="true" outlineLevel="0" collapsed="false">
      <c r="B64" s="287" t="s">
        <v>62</v>
      </c>
      <c r="C64" s="288" t="n">
        <f aca="false">+C62-C63</f>
        <v>133375.04928</v>
      </c>
      <c r="D64" s="281" t="s">
        <v>300</v>
      </c>
      <c r="E64" s="296" t="s">
        <v>301</v>
      </c>
      <c r="F64" s="296"/>
      <c r="G64" s="259"/>
      <c r="H64" s="259"/>
      <c r="I64" s="295" t="n">
        <f aca="false">I62-I63</f>
        <v>133375.04928</v>
      </c>
    </row>
    <row r="65" customFormat="false" ht="7.5" hidden="false" customHeight="true" outlineLevel="0" collapsed="false">
      <c r="B65" s="290"/>
      <c r="C65" s="291"/>
    </row>
    <row r="66" customFormat="false" ht="15" hidden="false" customHeight="false" outlineLevel="0" collapsed="false"/>
    <row r="67" customFormat="false" ht="15" hidden="false" customHeight="false" outlineLevel="0" collapsed="false">
      <c r="B67" s="263" t="s">
        <v>257</v>
      </c>
      <c r="C67" s="264"/>
      <c r="G67" s="292"/>
    </row>
    <row r="68" customFormat="false" ht="15" hidden="false" customHeight="false" outlineLevel="0" collapsed="false">
      <c r="B68" s="265" t="s">
        <v>289</v>
      </c>
      <c r="C68" s="266" t="n">
        <f aca="false">+'ESF - ERI'!K58</f>
        <v>10000</v>
      </c>
      <c r="E68" s="259"/>
      <c r="F68" s="259"/>
      <c r="G68" s="285"/>
      <c r="H68" s="259"/>
    </row>
    <row r="69" customFormat="false" ht="14.25" hidden="false" customHeight="false" outlineLevel="0" collapsed="false">
      <c r="B69" s="268"/>
      <c r="C69" s="269"/>
      <c r="G69" s="292"/>
    </row>
    <row r="70" customFormat="false" ht="30" hidden="false" customHeight="false" outlineLevel="0" collapsed="false">
      <c r="B70" s="271" t="s">
        <v>323</v>
      </c>
      <c r="C70" s="272" t="s">
        <v>291</v>
      </c>
      <c r="E70" s="259"/>
      <c r="F70" s="259"/>
      <c r="G70" s="285"/>
      <c r="H70" s="259"/>
    </row>
    <row r="71" customFormat="false" ht="15" hidden="false" customHeight="false" outlineLevel="0" collapsed="false">
      <c r="B71" s="274" t="s">
        <v>292</v>
      </c>
      <c r="C71" s="275" t="n">
        <f aca="false">+'Asientos - para Consolidado'!I9</f>
        <v>6000</v>
      </c>
      <c r="E71" s="276"/>
      <c r="F71" s="277" t="n">
        <v>6000</v>
      </c>
      <c r="G71" s="278" t="n">
        <f aca="false">+F71/$F$73</f>
        <v>0.6</v>
      </c>
      <c r="H71" s="259" t="s">
        <v>293</v>
      </c>
    </row>
    <row r="72" customFormat="false" ht="15.75" hidden="false" customHeight="false" outlineLevel="0" collapsed="false">
      <c r="B72" s="274" t="s">
        <v>324</v>
      </c>
      <c r="C72" s="280" t="n">
        <f aca="false">C68*G72</f>
        <v>4000</v>
      </c>
      <c r="D72" s="281" t="s">
        <v>295</v>
      </c>
      <c r="E72" s="259"/>
      <c r="F72" s="282" t="n">
        <v>4000</v>
      </c>
      <c r="G72" s="278" t="n">
        <f aca="false">+F72/$F$73</f>
        <v>0.4</v>
      </c>
      <c r="H72" s="259" t="s">
        <v>296</v>
      </c>
    </row>
    <row r="73" customFormat="false" ht="15" hidden="false" customHeight="false" outlineLevel="0" collapsed="false">
      <c r="B73" s="274" t="s">
        <v>297</v>
      </c>
      <c r="C73" s="284" t="n">
        <f aca="false">+C71+C72</f>
        <v>10000</v>
      </c>
      <c r="E73" s="259"/>
      <c r="F73" s="277" t="n">
        <f aca="false">SUM(F71:F72)</f>
        <v>10000</v>
      </c>
      <c r="G73" s="259"/>
      <c r="H73" s="259"/>
      <c r="I73" s="283" t="n">
        <f aca="false">C71</f>
        <v>6000</v>
      </c>
    </row>
    <row r="74" customFormat="false" ht="15" hidden="false" customHeight="false" outlineLevel="0" collapsed="false">
      <c r="B74" s="274" t="s">
        <v>325</v>
      </c>
      <c r="C74" s="275" t="n">
        <f aca="false">+C68</f>
        <v>10000</v>
      </c>
      <c r="D74" s="281"/>
      <c r="E74" s="259"/>
      <c r="F74" s="259"/>
      <c r="G74" s="259"/>
      <c r="H74" s="259"/>
      <c r="I74" s="295" t="n">
        <f aca="false">C68*G71</f>
        <v>6000</v>
      </c>
    </row>
    <row r="75" customFormat="false" ht="15" hidden="false" customHeight="false" outlineLevel="0" collapsed="false">
      <c r="B75" s="287" t="s">
        <v>326</v>
      </c>
      <c r="C75" s="288" t="n">
        <f aca="false">+C73-C74</f>
        <v>0</v>
      </c>
      <c r="D75" s="281"/>
      <c r="E75" s="259"/>
      <c r="F75" s="259"/>
      <c r="G75" s="259"/>
      <c r="H75" s="259"/>
      <c r="I75" s="295" t="n">
        <f aca="false">I73-I74</f>
        <v>0</v>
      </c>
    </row>
    <row r="76" customFormat="false" ht="6.75" hidden="false" customHeight="true" outlineLevel="0" collapsed="false">
      <c r="B76" s="290"/>
      <c r="C76" s="291"/>
    </row>
    <row r="77" customFormat="false" ht="15" hidden="false" customHeight="false" outlineLevel="0" collapsed="false"/>
    <row r="78" customFormat="false" ht="15" hidden="false" customHeight="false" outlineLevel="0" collapsed="false">
      <c r="B78" s="263" t="s">
        <v>327</v>
      </c>
      <c r="C78" s="264"/>
      <c r="G78" s="292"/>
    </row>
    <row r="79" customFormat="false" ht="15" hidden="false" customHeight="true" outlineLevel="0" collapsed="false">
      <c r="B79" s="265" t="s">
        <v>289</v>
      </c>
      <c r="C79" s="266" t="n">
        <f aca="false">+'ESF - ERI'!L58+881973</f>
        <v>883113.17</v>
      </c>
      <c r="D79" s="286" t="s">
        <v>328</v>
      </c>
      <c r="E79" s="286"/>
      <c r="F79" s="286"/>
      <c r="G79" s="286"/>
      <c r="H79" s="286"/>
    </row>
    <row r="80" customFormat="false" ht="14.25" hidden="false" customHeight="false" outlineLevel="0" collapsed="false">
      <c r="B80" s="268"/>
      <c r="C80" s="269"/>
      <c r="G80" s="292"/>
    </row>
    <row r="81" customFormat="false" ht="30" hidden="false" customHeight="false" outlineLevel="0" collapsed="false">
      <c r="B81" s="271" t="s">
        <v>329</v>
      </c>
      <c r="C81" s="272" t="s">
        <v>291</v>
      </c>
      <c r="E81" s="259"/>
      <c r="F81" s="259"/>
      <c r="G81" s="285"/>
      <c r="H81" s="259"/>
    </row>
    <row r="82" customFormat="false" ht="15" hidden="false" customHeight="false" outlineLevel="0" collapsed="false">
      <c r="B82" s="274" t="s">
        <v>292</v>
      </c>
      <c r="C82" s="275" t="n">
        <f aca="false">+'Asientos - para Consolidado'!J9</f>
        <v>1114176</v>
      </c>
      <c r="E82" s="276"/>
      <c r="F82" s="277" t="n">
        <v>799.96</v>
      </c>
      <c r="G82" s="278" t="n">
        <f aca="false">+F82/$F$84</f>
        <v>0.99995</v>
      </c>
      <c r="H82" s="259" t="s">
        <v>293</v>
      </c>
    </row>
    <row r="83" customFormat="false" ht="15.75" hidden="false" customHeight="false" outlineLevel="0" collapsed="false">
      <c r="B83" s="274" t="s">
        <v>330</v>
      </c>
      <c r="C83" s="280" t="n">
        <f aca="false">C79*G83</f>
        <v>44.1556585</v>
      </c>
      <c r="D83" s="281" t="s">
        <v>295</v>
      </c>
      <c r="E83" s="259"/>
      <c r="F83" s="282" t="n">
        <v>0.04</v>
      </c>
      <c r="G83" s="278" t="n">
        <f aca="false">+F83/$F$84</f>
        <v>5E-005</v>
      </c>
      <c r="H83" s="259" t="s">
        <v>296</v>
      </c>
    </row>
    <row r="84" customFormat="false" ht="15" hidden="false" customHeight="false" outlineLevel="0" collapsed="false">
      <c r="B84" s="274" t="s">
        <v>297</v>
      </c>
      <c r="C84" s="284" t="n">
        <f aca="false">+C82+C83</f>
        <v>1114220.1556585</v>
      </c>
      <c r="E84" s="259"/>
      <c r="F84" s="277" t="n">
        <f aca="false">SUM(F82:F83)</f>
        <v>800</v>
      </c>
      <c r="G84" s="259"/>
      <c r="H84" s="259"/>
    </row>
    <row r="85" customFormat="false" ht="15" hidden="false" customHeight="false" outlineLevel="0" collapsed="false">
      <c r="B85" s="274" t="s">
        <v>331</v>
      </c>
      <c r="C85" s="275" t="n">
        <f aca="false">+C79</f>
        <v>883113.17</v>
      </c>
      <c r="D85" s="281"/>
      <c r="E85" s="259"/>
      <c r="F85" s="259"/>
      <c r="G85" s="259"/>
      <c r="H85" s="259"/>
      <c r="I85" s="267" t="n">
        <f aca="false">C82</f>
        <v>1114176</v>
      </c>
    </row>
    <row r="86" customFormat="false" ht="15" hidden="false" customHeight="false" outlineLevel="0" collapsed="false">
      <c r="B86" s="287" t="s">
        <v>62</v>
      </c>
      <c r="C86" s="288" t="n">
        <f aca="false">+C84-C85</f>
        <v>231106.9856585</v>
      </c>
      <c r="D86" s="281" t="s">
        <v>306</v>
      </c>
      <c r="E86" s="259"/>
      <c r="F86" s="259"/>
      <c r="G86" s="259"/>
      <c r="H86" s="259"/>
      <c r="I86" s="267" t="n">
        <f aca="false">C79*G82</f>
        <v>883069.0143415</v>
      </c>
    </row>
    <row r="87" customFormat="false" ht="15.75" hidden="false" customHeight="true" outlineLevel="0" collapsed="false">
      <c r="B87" s="290"/>
      <c r="C87" s="291"/>
      <c r="I87" s="267" t="n">
        <f aca="false">I85-I86</f>
        <v>231106.9856585</v>
      </c>
    </row>
    <row r="88" customFormat="false" ht="15" hidden="false" customHeight="false" outlineLevel="0" collapsed="false"/>
    <row r="89" customFormat="false" ht="15" hidden="false" customHeight="false" outlineLevel="0" collapsed="false">
      <c r="B89" s="263" t="s">
        <v>332</v>
      </c>
      <c r="C89" s="264"/>
      <c r="G89" s="292"/>
    </row>
    <row r="90" customFormat="false" ht="15" hidden="false" customHeight="false" outlineLevel="0" collapsed="false">
      <c r="B90" s="265" t="s">
        <v>289</v>
      </c>
      <c r="C90" s="266" t="n">
        <f aca="false">+'ESF - ERI'!M58</f>
        <v>800</v>
      </c>
      <c r="E90" s="259"/>
      <c r="F90" s="259"/>
      <c r="G90" s="285"/>
      <c r="H90" s="259"/>
    </row>
    <row r="91" customFormat="false" ht="14.25" hidden="false" customHeight="false" outlineLevel="0" collapsed="false">
      <c r="B91" s="268"/>
      <c r="C91" s="269"/>
      <c r="G91" s="292"/>
    </row>
    <row r="92" customFormat="false" ht="30" hidden="false" customHeight="false" outlineLevel="0" collapsed="false">
      <c r="B92" s="271" t="s">
        <v>333</v>
      </c>
      <c r="C92" s="272" t="s">
        <v>291</v>
      </c>
      <c r="E92" s="259"/>
      <c r="F92" s="259"/>
      <c r="G92" s="285"/>
      <c r="H92" s="259"/>
    </row>
    <row r="93" customFormat="false" ht="15" hidden="false" customHeight="false" outlineLevel="0" collapsed="false">
      <c r="B93" s="274" t="s">
        <v>292</v>
      </c>
      <c r="C93" s="275" t="n">
        <f aca="false">+'Asientos - para Consolidado'!K9</f>
        <v>740</v>
      </c>
      <c r="E93" s="276"/>
      <c r="F93" s="277" t="n">
        <v>740</v>
      </c>
      <c r="G93" s="278" t="n">
        <f aca="false">+F93/$F$95</f>
        <v>0.925</v>
      </c>
      <c r="H93" s="259" t="s">
        <v>293</v>
      </c>
    </row>
    <row r="94" customFormat="false" ht="15.75" hidden="false" customHeight="false" outlineLevel="0" collapsed="false">
      <c r="B94" s="274" t="s">
        <v>334</v>
      </c>
      <c r="C94" s="280" t="n">
        <f aca="false">C90*G94</f>
        <v>60</v>
      </c>
      <c r="D94" s="281" t="s">
        <v>295</v>
      </c>
      <c r="E94" s="259"/>
      <c r="F94" s="282" t="n">
        <v>60</v>
      </c>
      <c r="G94" s="278" t="n">
        <f aca="false">+F94/$F$95</f>
        <v>0.075</v>
      </c>
      <c r="H94" s="259" t="s">
        <v>296</v>
      </c>
    </row>
    <row r="95" customFormat="false" ht="15" hidden="false" customHeight="false" outlineLevel="0" collapsed="false">
      <c r="B95" s="274" t="s">
        <v>297</v>
      </c>
      <c r="C95" s="284" t="n">
        <f aca="false">+C93+C94</f>
        <v>800</v>
      </c>
      <c r="E95" s="259"/>
      <c r="F95" s="277" t="n">
        <f aca="false">SUM(F93:F94)</f>
        <v>800</v>
      </c>
      <c r="G95" s="259"/>
      <c r="H95" s="259"/>
      <c r="I95" s="283" t="n">
        <f aca="false">C93</f>
        <v>740</v>
      </c>
    </row>
    <row r="96" customFormat="false" ht="15" hidden="false" customHeight="false" outlineLevel="0" collapsed="false">
      <c r="B96" s="274" t="s">
        <v>335</v>
      </c>
      <c r="C96" s="275" t="n">
        <f aca="false">+C90</f>
        <v>800</v>
      </c>
      <c r="D96" s="281"/>
      <c r="E96" s="259"/>
      <c r="F96" s="259"/>
      <c r="G96" s="259"/>
      <c r="H96" s="259"/>
      <c r="I96" s="295" t="n">
        <f aca="false">C90*G93</f>
        <v>740</v>
      </c>
    </row>
    <row r="97" customFormat="false" ht="15" hidden="false" customHeight="false" outlineLevel="0" collapsed="false">
      <c r="B97" s="287" t="s">
        <v>326</v>
      </c>
      <c r="C97" s="288" t="n">
        <f aca="false">+C95-C96</f>
        <v>0</v>
      </c>
      <c r="D97" s="281"/>
      <c r="E97" s="259"/>
      <c r="F97" s="259"/>
      <c r="G97" s="259"/>
      <c r="H97" s="259"/>
      <c r="I97" s="295" t="n">
        <f aca="false">I95-I96</f>
        <v>0</v>
      </c>
    </row>
    <row r="98" customFormat="false" ht="6.75" hidden="false" customHeight="true" outlineLevel="0" collapsed="false">
      <c r="B98" s="290"/>
      <c r="C98" s="291"/>
    </row>
    <row r="99" customFormat="false" ht="14.25" hidden="false" customHeight="false" outlineLevel="0" collapsed="false">
      <c r="B99" s="297"/>
    </row>
    <row r="100" customFormat="false" ht="14.25" hidden="false" customHeight="false" outlineLevel="0" collapsed="false">
      <c r="B100" s="297"/>
    </row>
    <row r="101" customFormat="false" ht="15" hidden="false" customHeight="true" outlineLevel="0" collapsed="false">
      <c r="B101" s="298" t="s">
        <v>336</v>
      </c>
      <c r="C101" s="299" t="n">
        <f aca="false">+C17+C28+C39+C50+C61+C72+C83+C94+C6</f>
        <v>9357519.07065547</v>
      </c>
      <c r="D101" s="300" t="s">
        <v>337</v>
      </c>
      <c r="E101" s="300"/>
      <c r="F101" s="300"/>
      <c r="G101" s="300"/>
      <c r="H101" s="301"/>
    </row>
    <row r="102" customFormat="false" ht="15" hidden="false" customHeight="true" outlineLevel="0" collapsed="false">
      <c r="B102" s="298" t="s">
        <v>338</v>
      </c>
      <c r="C102" s="299" t="n">
        <f aca="false">+C9+C31+C64+C42</f>
        <v>828548.363648746</v>
      </c>
      <c r="D102" s="300" t="s">
        <v>209</v>
      </c>
      <c r="E102" s="300"/>
      <c r="F102" s="300"/>
      <c r="G102" s="300"/>
      <c r="H102" s="300"/>
    </row>
    <row r="103" customFormat="false" ht="15" hidden="false" customHeight="true" outlineLevel="0" collapsed="false">
      <c r="B103" s="298" t="s">
        <v>339</v>
      </c>
      <c r="C103" s="299" t="n">
        <f aca="false">+C86+C53+C20</f>
        <v>394335.366944214</v>
      </c>
      <c r="D103" s="300" t="s">
        <v>62</v>
      </c>
      <c r="E103" s="300"/>
      <c r="F103" s="300"/>
      <c r="G103" s="300"/>
    </row>
    <row r="105" customFormat="false" ht="14.25" hidden="false" customHeight="false" outlineLevel="0" collapsed="false">
      <c r="E105" s="270"/>
    </row>
  </sheetData>
  <mergeCells count="12">
    <mergeCell ref="D8:H8"/>
    <mergeCell ref="E9:F9"/>
    <mergeCell ref="D13:H13"/>
    <mergeCell ref="E31:F31"/>
    <mergeCell ref="D35:H35"/>
    <mergeCell ref="E42:F42"/>
    <mergeCell ref="D46:H46"/>
    <mergeCell ref="E64:F64"/>
    <mergeCell ref="D79:H79"/>
    <mergeCell ref="D101:G101"/>
    <mergeCell ref="D102:H102"/>
    <mergeCell ref="D103:G10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LibreOffice/6.4.6.2$Linux_X86_64 LibreOffice_project/40$Build-2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2015-04-08T16:45:18Z</dcterms:created>
  <dc:creator>Joffre Rafael Hungría Cortez</dc:creator>
  <dc:description/>
  <dc:language>es-EC</dc:language>
  <cp:lastModifiedBy/>
  <cp:lastPrinted>2020-06-19T14:37:21Z</cp:lastPrinted>
  <dcterms:modified xsi:type="dcterms:W3CDTF">2021-04-12T12:34:20Z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