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13_ncr:1_{05B3A357-6707-4510-8863-3A6D36A66494}" xr6:coauthVersionLast="46" xr6:coauthVersionMax="46" xr10:uidLastSave="{00000000-0000-0000-0000-000000000000}"/>
  <bookViews>
    <workbookView xWindow="-120" yWindow="-120" windowWidth="20730" windowHeight="11160" tabRatio="1000" firstSheet="12" activeTab="21" xr2:uid="{00000000-000D-0000-FFFF-FFFF00000000}"/>
  </bookViews>
  <sheets>
    <sheet name="ESF - ERI" sheetId="1" state="hidden" r:id="rId1"/>
    <sheet name="EF Informe" sheetId="2" state="hidden" r:id="rId2"/>
    <sheet name="PyG Informe" sheetId="3" state="hidden" r:id="rId3"/>
    <sheet name="Estado de Cambios en el Patr." sheetId="4" state="hidden" r:id="rId4"/>
    <sheet name="Diario 2015 (a)" sheetId="5" state="hidden" r:id="rId5"/>
    <sheet name="Diarios Cxc Cxp relac (c)" sheetId="6" state="hidden" r:id="rId6"/>
    <sheet name="Ventas-Compras (d)" sheetId="7" state="hidden" r:id="rId7"/>
    <sheet name="Asientos - para Consolidado" sheetId="8" state="hidden" r:id="rId8"/>
    <sheet name="PNC" sheetId="9" state="hidden" r:id="rId9"/>
    <sheet name="Hoja2" sheetId="10" state="hidden" r:id="rId10"/>
    <sheet name="Variación Patrimonio 2017-2016" sheetId="11" state="hidden" r:id="rId11"/>
    <sheet name="Variación Patrimonio 2018-2017" sheetId="12" state="hidden" r:id="rId12"/>
    <sheet name="Inversiones" sheetId="13" r:id="rId13"/>
    <sheet name="Participaciones" sheetId="14" r:id="rId14"/>
    <sheet name="Saldos interco." sheetId="15" r:id="rId15"/>
    <sheet name="Planilla final" sheetId="16" r:id="rId16"/>
    <sheet name="AD ESF" sheetId="17" r:id="rId17"/>
    <sheet name="AD ERI" sheetId="18" r:id="rId18"/>
    <sheet name="ESF20" sheetId="19" r:id="rId19"/>
    <sheet name="ERI20" sheetId="20" r:id="rId20"/>
    <sheet name="ECP20" sheetId="21" r:id="rId21"/>
    <sheet name="Patrimonio" sheetId="22" r:id="rId22"/>
    <sheet name="EFE20" sheetId="23" r:id="rId23"/>
    <sheet name="Planilla Final 2017" sheetId="24" state="hidden" r:id="rId24"/>
    <sheet name="Participaciones 2017" sheetId="25" state="hidden" r:id="rId25"/>
  </sheets>
  <externalReferences>
    <externalReference r:id="rId26"/>
    <externalReference r:id="rId27"/>
  </externalReferences>
  <definedNames>
    <definedName name="_xlnm.Print_Area" localSheetId="7">'Asientos - para Consolidado'!$A$1:$M$75</definedName>
    <definedName name="_xlnm.Print_Area" localSheetId="22">'EFE20'!$A$1:$J$72</definedName>
    <definedName name="_xlnm.Print_Area" localSheetId="0">'ESF - ERI'!$A$1:$AI$79</definedName>
    <definedName name="_xlnm.Print_Area" localSheetId="18">'ESF20'!$A$2:$W$34</definedName>
    <definedName name="_xlnm.Print_Area" localSheetId="8">PNC!$B$1:$H$103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78" i="21" l="1"/>
  <c r="P41" i="16"/>
  <c r="P15" i="16"/>
  <c r="P9" i="16"/>
  <c r="P8" i="16"/>
  <c r="E310" i="17"/>
  <c r="D306" i="17"/>
  <c r="D304" i="17"/>
  <c r="E312" i="17"/>
  <c r="K56" i="16" l="1"/>
  <c r="K33" i="16"/>
  <c r="K31" i="16"/>
  <c r="C56" i="19"/>
  <c r="C54" i="19"/>
  <c r="C17" i="23"/>
  <c r="C43" i="23"/>
  <c r="C37" i="23"/>
  <c r="C39" i="23"/>
  <c r="C67" i="23"/>
  <c r="C20" i="23"/>
  <c r="C104" i="19"/>
  <c r="C105" i="19" s="1"/>
  <c r="C18" i="23"/>
  <c r="C63" i="23" l="1"/>
  <c r="C62" i="23"/>
  <c r="D68" i="23"/>
  <c r="D64" i="23"/>
  <c r="D55" i="23"/>
  <c r="C49" i="23"/>
  <c r="C48" i="23"/>
  <c r="C47" i="23"/>
  <c r="C28" i="23"/>
  <c r="C27" i="23"/>
  <c r="C26" i="23"/>
  <c r="Q39" i="19"/>
  <c r="D14" i="19"/>
  <c r="R26" i="19"/>
  <c r="R25" i="19"/>
  <c r="R24" i="19"/>
  <c r="R23" i="19"/>
  <c r="R22" i="19"/>
  <c r="R20" i="19"/>
  <c r="R19" i="19"/>
  <c r="R18" i="19"/>
  <c r="R6" i="19"/>
  <c r="R7" i="19"/>
  <c r="R12" i="19"/>
  <c r="R13" i="19"/>
  <c r="R14" i="19"/>
  <c r="R5" i="19"/>
  <c r="J17" i="23"/>
  <c r="E308" i="17"/>
  <c r="E309" i="17"/>
  <c r="P80" i="21"/>
  <c r="B92" i="22" l="1"/>
  <c r="C91" i="22"/>
  <c r="N89" i="22"/>
  <c r="B89" i="22"/>
  <c r="O58" i="16"/>
  <c r="E255" i="17"/>
  <c r="C88" i="19"/>
  <c r="K6" i="23" l="1"/>
  <c r="L6" i="23"/>
  <c r="M6" i="23"/>
  <c r="N6" i="23"/>
  <c r="P6" i="23"/>
  <c r="Q6" i="23"/>
  <c r="R6" i="23"/>
  <c r="U6" i="23"/>
  <c r="S16" i="23"/>
  <c r="Q57" i="22"/>
  <c r="Q60" i="22"/>
  <c r="E30" i="18"/>
  <c r="E27" i="18"/>
  <c r="D26" i="18"/>
  <c r="P68" i="16"/>
  <c r="O22" i="16"/>
  <c r="E318" i="17"/>
  <c r="X15" i="23" s="1"/>
  <c r="D319" i="17"/>
  <c r="E319" i="17" l="1"/>
  <c r="F319" i="17" s="1"/>
  <c r="D21" i="23"/>
  <c r="D40" i="23" s="1"/>
  <c r="D44" i="23" s="1"/>
  <c r="W6" i="23"/>
  <c r="X6" i="23"/>
  <c r="O56" i="22"/>
  <c r="E311" i="17"/>
  <c r="O30" i="16"/>
  <c r="D305" i="17"/>
  <c r="D303" i="17"/>
  <c r="O41" i="16" s="1"/>
  <c r="D302" i="17"/>
  <c r="O31" i="16" s="1"/>
  <c r="E313" i="17" l="1"/>
  <c r="D296" i="17"/>
  <c r="E297" i="17" s="1"/>
  <c r="E298" i="17" s="1"/>
  <c r="F102" i="17"/>
  <c r="F113" i="17"/>
  <c r="F152" i="17"/>
  <c r="F177" i="17"/>
  <c r="T80" i="21"/>
  <c r="T78" i="21"/>
  <c r="T76" i="21"/>
  <c r="T74" i="21"/>
  <c r="T71" i="21"/>
  <c r="Q43" i="19" l="1"/>
  <c r="J19" i="23" s="1"/>
  <c r="D298" i="17"/>
  <c r="F298" i="17" s="1"/>
  <c r="N61" i="22" l="1"/>
  <c r="N58" i="22"/>
  <c r="N59" i="22"/>
  <c r="Q59" i="22" s="1"/>
  <c r="L56" i="22"/>
  <c r="N86" i="22" l="1"/>
  <c r="Q86" i="22" s="1"/>
  <c r="E18" i="18"/>
  <c r="E21" i="18"/>
  <c r="E15" i="18"/>
  <c r="E7" i="18"/>
  <c r="E10" i="18"/>
  <c r="D292" i="17" l="1"/>
  <c r="E291" i="17"/>
  <c r="E292" i="17" s="1"/>
  <c r="F292" i="17" l="1"/>
  <c r="N49" i="16"/>
  <c r="N50" i="16"/>
  <c r="N51" i="16"/>
  <c r="Q51" i="16" s="1"/>
  <c r="N52" i="16"/>
  <c r="N53" i="16"/>
  <c r="Q53" i="16" s="1"/>
  <c r="N54" i="16"/>
  <c r="N55" i="16"/>
  <c r="N58" i="16"/>
  <c r="N28" i="16"/>
  <c r="N29" i="16"/>
  <c r="N34" i="16"/>
  <c r="N36" i="16"/>
  <c r="N37" i="16"/>
  <c r="N38" i="16"/>
  <c r="N39" i="16"/>
  <c r="N40" i="16"/>
  <c r="N42" i="16"/>
  <c r="N43" i="16"/>
  <c r="N44" i="16"/>
  <c r="N45" i="16"/>
  <c r="N46" i="16"/>
  <c r="N6" i="16"/>
  <c r="Q6" i="16" s="1"/>
  <c r="N7" i="16"/>
  <c r="Q7" i="16" s="1"/>
  <c r="N9" i="16"/>
  <c r="Q9" i="16" s="1"/>
  <c r="N11" i="16"/>
  <c r="Q11" i="16" s="1"/>
  <c r="N12" i="16"/>
  <c r="Q12" i="16" s="1"/>
  <c r="N13" i="16"/>
  <c r="Q13" i="16" s="1"/>
  <c r="N14" i="16"/>
  <c r="Q14" i="16" s="1"/>
  <c r="C14" i="19" s="1"/>
  <c r="N15" i="16"/>
  <c r="Q15" i="16" s="1"/>
  <c r="N16" i="16"/>
  <c r="Q16" i="16" s="1"/>
  <c r="N17" i="16"/>
  <c r="N18" i="16"/>
  <c r="N19" i="16"/>
  <c r="Q19" i="16" s="1"/>
  <c r="N20" i="16"/>
  <c r="N21" i="16"/>
  <c r="Q21" i="16" s="1"/>
  <c r="N22" i="16"/>
  <c r="N23" i="16"/>
  <c r="Q23" i="16" s="1"/>
  <c r="N24" i="16"/>
  <c r="Q24" i="16" s="1"/>
  <c r="N25" i="16"/>
  <c r="C26" i="16"/>
  <c r="D26" i="16"/>
  <c r="E26" i="16"/>
  <c r="F26" i="16"/>
  <c r="G26" i="16"/>
  <c r="H26" i="16"/>
  <c r="I26" i="16"/>
  <c r="J26" i="16"/>
  <c r="O18" i="16"/>
  <c r="Q18" i="16" s="1"/>
  <c r="E284" i="17"/>
  <c r="C41" i="16"/>
  <c r="D59" i="16" l="1"/>
  <c r="E59" i="16"/>
  <c r="F59" i="16"/>
  <c r="G59" i="16"/>
  <c r="H59" i="16"/>
  <c r="I59" i="16"/>
  <c r="J59" i="16"/>
  <c r="P17" i="16" l="1"/>
  <c r="D286" i="17"/>
  <c r="E285" i="17"/>
  <c r="D197" i="17"/>
  <c r="D198" i="17"/>
  <c r="E203" i="17"/>
  <c r="F196" i="17" l="1"/>
  <c r="E286" i="17"/>
  <c r="F286" i="17" s="1"/>
  <c r="P61" i="22"/>
  <c r="Q61" i="22" s="1"/>
  <c r="N30" i="16"/>
  <c r="T72" i="21"/>
  <c r="T77" i="21"/>
  <c r="T69" i="21"/>
  <c r="N84" i="21"/>
  <c r="L84" i="21"/>
  <c r="J84" i="21"/>
  <c r="R53" i="16" s="1"/>
  <c r="H84" i="21"/>
  <c r="R51" i="16" s="1"/>
  <c r="F84" i="21"/>
  <c r="D84" i="21"/>
  <c r="B84" i="21"/>
  <c r="B26" i="16" l="1"/>
  <c r="N8" i="16"/>
  <c r="Q8" i="16" s="1"/>
  <c r="O62" i="22" l="1"/>
  <c r="O55" i="16"/>
  <c r="D33" i="15"/>
  <c r="N32" i="16"/>
  <c r="N51" i="22"/>
  <c r="L60" i="22"/>
  <c r="N60" i="22" s="1"/>
  <c r="L5" i="16"/>
  <c r="L26" i="16" s="1"/>
  <c r="L73" i="16"/>
  <c r="L68" i="16"/>
  <c r="K88" i="22"/>
  <c r="D90" i="22"/>
  <c r="N90" i="22" s="1"/>
  <c r="D91" i="22"/>
  <c r="B86" i="22"/>
  <c r="N74" i="22"/>
  <c r="Q74" i="22" s="1"/>
  <c r="O72" i="22"/>
  <c r="Q72" i="22" s="1"/>
  <c r="N87" i="22"/>
  <c r="Q87" i="22" s="1"/>
  <c r="O58" i="22"/>
  <c r="Q58" i="22" s="1"/>
  <c r="N62" i="22"/>
  <c r="N57" i="22"/>
  <c r="C87" i="15" l="1"/>
  <c r="Q62" i="22"/>
  <c r="O90" i="22"/>
  <c r="Q90" i="22" s="1"/>
  <c r="K26" i="16"/>
  <c r="N10" i="16"/>
  <c r="Q10" i="16" s="1"/>
  <c r="Q55" i="16"/>
  <c r="R55" i="16" s="1"/>
  <c r="N33" i="16"/>
  <c r="N31" i="16"/>
  <c r="L91" i="22"/>
  <c r="C68" i="15"/>
  <c r="D68" i="15"/>
  <c r="O33" i="16" l="1"/>
  <c r="O47" i="16" s="1"/>
  <c r="D313" i="17"/>
  <c r="F313" i="17" s="1"/>
  <c r="C76" i="15"/>
  <c r="C77" i="15"/>
  <c r="D277" i="17"/>
  <c r="E276" i="17"/>
  <c r="W39" i="25"/>
  <c r="U39" i="25"/>
  <c r="G39" i="25"/>
  <c r="AA38" i="25"/>
  <c r="AG38" i="25" s="1"/>
  <c r="W37" i="25"/>
  <c r="G37" i="25"/>
  <c r="Y36" i="25"/>
  <c r="Q36" i="25"/>
  <c r="O36" i="25"/>
  <c r="M36" i="25"/>
  <c r="K36" i="25"/>
  <c r="I36" i="25"/>
  <c r="C36" i="25"/>
  <c r="G35" i="25"/>
  <c r="Y34" i="25"/>
  <c r="Q34" i="25"/>
  <c r="K34" i="25"/>
  <c r="C34" i="25"/>
  <c r="K33" i="25"/>
  <c r="E33" i="25"/>
  <c r="Y32" i="25"/>
  <c r="W32" i="25"/>
  <c r="U32" i="25"/>
  <c r="M32" i="25"/>
  <c r="K32" i="25"/>
  <c r="G32" i="25"/>
  <c r="E32" i="25"/>
  <c r="C32" i="25"/>
  <c r="U31" i="25"/>
  <c r="M31" i="25"/>
  <c r="E31" i="25"/>
  <c r="K28" i="25"/>
  <c r="W27" i="25"/>
  <c r="U27" i="25"/>
  <c r="S27" i="25"/>
  <c r="S39" i="25" s="1"/>
  <c r="Q27" i="25"/>
  <c r="Q39" i="25" s="1"/>
  <c r="K27" i="25"/>
  <c r="I27" i="25"/>
  <c r="C27" i="25"/>
  <c r="C39" i="25" s="1"/>
  <c r="AG26" i="25"/>
  <c r="AA26" i="25"/>
  <c r="AE25" i="25"/>
  <c r="AC25" i="25"/>
  <c r="Y25" i="25"/>
  <c r="Y37" i="25" s="1"/>
  <c r="U25" i="25"/>
  <c r="U37" i="25" s="1"/>
  <c r="Q25" i="25"/>
  <c r="Q37" i="25" s="1"/>
  <c r="M25" i="25"/>
  <c r="M37" i="25" s="1"/>
  <c r="K25" i="25"/>
  <c r="K37" i="25" s="1"/>
  <c r="E25" i="25"/>
  <c r="E37" i="25" s="1"/>
  <c r="C25" i="25"/>
  <c r="AE24" i="25"/>
  <c r="AC24" i="25"/>
  <c r="Y24" i="25"/>
  <c r="W24" i="25"/>
  <c r="W36" i="25" s="1"/>
  <c r="U24" i="25"/>
  <c r="U36" i="25" s="1"/>
  <c r="Q24" i="25"/>
  <c r="K24" i="25"/>
  <c r="G24" i="25"/>
  <c r="G36" i="25" s="1"/>
  <c r="E24" i="25"/>
  <c r="E36" i="25" s="1"/>
  <c r="C24" i="25"/>
  <c r="AE23" i="25"/>
  <c r="AC23" i="25"/>
  <c r="Y23" i="25"/>
  <c r="Y35" i="25" s="1"/>
  <c r="W23" i="25"/>
  <c r="W35" i="25" s="1"/>
  <c r="U23" i="25"/>
  <c r="U35" i="25" s="1"/>
  <c r="Q23" i="25"/>
  <c r="Q35" i="25" s="1"/>
  <c r="M23" i="25"/>
  <c r="M35" i="25" s="1"/>
  <c r="K23" i="25"/>
  <c r="K35" i="25" s="1"/>
  <c r="G23" i="25"/>
  <c r="E23" i="25"/>
  <c r="E35" i="25" s="1"/>
  <c r="C23" i="25"/>
  <c r="C35" i="25" s="1"/>
  <c r="AE22" i="25"/>
  <c r="AC22" i="25"/>
  <c r="Y22" i="25"/>
  <c r="W22" i="25"/>
  <c r="W34" i="25" s="1"/>
  <c r="U22" i="25"/>
  <c r="U34" i="25" s="1"/>
  <c r="Q22" i="25"/>
  <c r="M22" i="25"/>
  <c r="M34" i="25" s="1"/>
  <c r="K22" i="25"/>
  <c r="G22" i="25"/>
  <c r="G34" i="25" s="1"/>
  <c r="E22" i="25"/>
  <c r="E34" i="25" s="1"/>
  <c r="C22" i="25"/>
  <c r="AE21" i="25"/>
  <c r="AC21" i="25"/>
  <c r="Y21" i="25"/>
  <c r="Y33" i="25" s="1"/>
  <c r="W21" i="25"/>
  <c r="W33" i="25" s="1"/>
  <c r="U21" i="25"/>
  <c r="U33" i="25" s="1"/>
  <c r="Q21" i="25"/>
  <c r="Q33" i="25" s="1"/>
  <c r="M21" i="25"/>
  <c r="M33" i="25" s="1"/>
  <c r="E21" i="25"/>
  <c r="C21" i="25"/>
  <c r="AE20" i="25"/>
  <c r="AC20" i="25"/>
  <c r="Y20" i="25"/>
  <c r="Q20" i="25"/>
  <c r="Q32" i="25" s="1"/>
  <c r="C20" i="25"/>
  <c r="AE19" i="25"/>
  <c r="Y19" i="25"/>
  <c r="W19" i="25"/>
  <c r="U19" i="25"/>
  <c r="U28" i="25" s="1"/>
  <c r="Q19" i="25"/>
  <c r="Q31" i="25" s="1"/>
  <c r="M19" i="25"/>
  <c r="K19" i="25"/>
  <c r="K31" i="25" s="1"/>
  <c r="I19" i="25"/>
  <c r="I31" i="25" s="1"/>
  <c r="G19" i="25"/>
  <c r="E19" i="25"/>
  <c r="C19" i="25"/>
  <c r="S16" i="25"/>
  <c r="O16" i="25"/>
  <c r="O20" i="25" s="1"/>
  <c r="O32" i="25" s="1"/>
  <c r="I16" i="25"/>
  <c r="I23" i="25" s="1"/>
  <c r="I35" i="25" s="1"/>
  <c r="G16" i="25"/>
  <c r="G25" i="25" s="1"/>
  <c r="AE13" i="25"/>
  <c r="W13" i="25"/>
  <c r="U13" i="25"/>
  <c r="S13" i="25"/>
  <c r="Q13" i="25"/>
  <c r="O13" i="25"/>
  <c r="I13" i="25"/>
  <c r="G13" i="25"/>
  <c r="C13" i="25"/>
  <c r="AE11" i="25"/>
  <c r="AE27" i="25" s="1"/>
  <c r="AC11" i="25"/>
  <c r="AC27" i="25" s="1"/>
  <c r="Y11" i="25"/>
  <c r="M11" i="25"/>
  <c r="K11" i="25"/>
  <c r="K13" i="25" s="1"/>
  <c r="I11" i="25"/>
  <c r="I39" i="25" s="1"/>
  <c r="G11" i="25"/>
  <c r="G27" i="25" s="1"/>
  <c r="E11" i="25"/>
  <c r="AG10" i="25"/>
  <c r="AA10" i="25"/>
  <c r="AG9" i="25"/>
  <c r="AA9" i="25"/>
  <c r="AC8" i="25"/>
  <c r="AA8" i="25"/>
  <c r="AG8" i="25" s="1"/>
  <c r="AG7" i="25"/>
  <c r="AA7" i="25"/>
  <c r="AA6" i="25"/>
  <c r="AG6" i="25" s="1"/>
  <c r="AG5" i="25"/>
  <c r="AC5" i="25"/>
  <c r="AA5" i="25"/>
  <c r="AC4" i="25"/>
  <c r="AG4" i="25" s="1"/>
  <c r="AA4" i="25"/>
  <c r="AC3" i="25"/>
  <c r="AA3" i="25"/>
  <c r="B70" i="24"/>
  <c r="N70" i="24" s="1"/>
  <c r="R70" i="24" s="1"/>
  <c r="R67" i="24"/>
  <c r="N67" i="24"/>
  <c r="N66" i="24"/>
  <c r="R66" i="24" s="1"/>
  <c r="F64" i="24"/>
  <c r="F68" i="24" s="1"/>
  <c r="F71" i="24" s="1"/>
  <c r="B63" i="24"/>
  <c r="N63" i="24" s="1"/>
  <c r="R63" i="24" s="1"/>
  <c r="J61" i="24"/>
  <c r="J64" i="24" s="1"/>
  <c r="J68" i="24" s="1"/>
  <c r="J71" i="24" s="1"/>
  <c r="J77" i="24" s="1"/>
  <c r="F61" i="24"/>
  <c r="B61" i="24"/>
  <c r="B64" i="24" s="1"/>
  <c r="B68" i="24" s="1"/>
  <c r="B71" i="24" s="1"/>
  <c r="Q60" i="24"/>
  <c r="P60" i="24"/>
  <c r="N60" i="24"/>
  <c r="R60" i="24" s="1"/>
  <c r="K59" i="24"/>
  <c r="N59" i="24" s="1"/>
  <c r="D59" i="24"/>
  <c r="M57" i="24"/>
  <c r="M61" i="24" s="1"/>
  <c r="M64" i="24" s="1"/>
  <c r="M68" i="24" s="1"/>
  <c r="M71" i="24" s="1"/>
  <c r="L57" i="24"/>
  <c r="L61" i="24" s="1"/>
  <c r="L64" i="24" s="1"/>
  <c r="L68" i="24" s="1"/>
  <c r="L71" i="24" s="1"/>
  <c r="K57" i="24"/>
  <c r="K61" i="24" s="1"/>
  <c r="K64" i="24" s="1"/>
  <c r="K68" i="24" s="1"/>
  <c r="K71" i="24" s="1"/>
  <c r="J57" i="24"/>
  <c r="I57" i="24"/>
  <c r="I61" i="24" s="1"/>
  <c r="I64" i="24" s="1"/>
  <c r="I68" i="24" s="1"/>
  <c r="I71" i="24" s="1"/>
  <c r="I77" i="24" s="1"/>
  <c r="H57" i="24"/>
  <c r="H61" i="24" s="1"/>
  <c r="H64" i="24" s="1"/>
  <c r="H68" i="24" s="1"/>
  <c r="H71" i="24" s="1"/>
  <c r="H77" i="24" s="1"/>
  <c r="G57" i="24"/>
  <c r="G61" i="24" s="1"/>
  <c r="G64" i="24" s="1"/>
  <c r="G68" i="24" s="1"/>
  <c r="G71" i="24" s="1"/>
  <c r="F57" i="24"/>
  <c r="E57" i="24"/>
  <c r="E61" i="24" s="1"/>
  <c r="E64" i="24" s="1"/>
  <c r="E68" i="24" s="1"/>
  <c r="E71" i="24" s="1"/>
  <c r="D57" i="24"/>
  <c r="D61" i="24" s="1"/>
  <c r="D64" i="24" s="1"/>
  <c r="D68" i="24" s="1"/>
  <c r="D71" i="24" s="1"/>
  <c r="C57" i="24"/>
  <c r="C61" i="24" s="1"/>
  <c r="C64" i="24" s="1"/>
  <c r="C68" i="24" s="1"/>
  <c r="C71" i="24" s="1"/>
  <c r="B57" i="24"/>
  <c r="N56" i="24"/>
  <c r="N55" i="24"/>
  <c r="E52" i="24"/>
  <c r="J51" i="24"/>
  <c r="I51" i="24"/>
  <c r="I74" i="24" s="1"/>
  <c r="H51" i="24"/>
  <c r="E51" i="24"/>
  <c r="E74" i="24" s="1"/>
  <c r="Q50" i="24"/>
  <c r="P50" i="24"/>
  <c r="M50" i="24"/>
  <c r="M51" i="24" s="1"/>
  <c r="L50" i="24"/>
  <c r="L51" i="24" s="1"/>
  <c r="K50" i="24"/>
  <c r="K51" i="24" s="1"/>
  <c r="G50" i="24"/>
  <c r="G51" i="24" s="1"/>
  <c r="F50" i="24"/>
  <c r="F51" i="24" s="1"/>
  <c r="F74" i="24" s="1"/>
  <c r="E50" i="24"/>
  <c r="D50" i="24"/>
  <c r="D51" i="24" s="1"/>
  <c r="D74" i="24" s="1"/>
  <c r="C50" i="24"/>
  <c r="C51" i="24" s="1"/>
  <c r="B50" i="24"/>
  <c r="N50" i="24" s="1"/>
  <c r="R50" i="24" s="1"/>
  <c r="B49" i="24"/>
  <c r="N49" i="24" s="1"/>
  <c r="R49" i="24" s="1"/>
  <c r="R48" i="24"/>
  <c r="N48" i="24"/>
  <c r="P47" i="24"/>
  <c r="N47" i="24"/>
  <c r="R47" i="24" s="1"/>
  <c r="N46" i="24"/>
  <c r="R46" i="24" s="1"/>
  <c r="P45" i="24"/>
  <c r="R45" i="24" s="1"/>
  <c r="N45" i="24"/>
  <c r="P44" i="24"/>
  <c r="N44" i="24"/>
  <c r="R44" i="24" s="1"/>
  <c r="P43" i="24"/>
  <c r="N43" i="24"/>
  <c r="M42" i="24"/>
  <c r="K42" i="24"/>
  <c r="J42" i="24"/>
  <c r="I42" i="24"/>
  <c r="H42" i="24"/>
  <c r="G42" i="24"/>
  <c r="F42" i="24"/>
  <c r="E42" i="24"/>
  <c r="D42" i="24"/>
  <c r="B42" i="24"/>
  <c r="N41" i="24"/>
  <c r="R41" i="24" s="1"/>
  <c r="R40" i="24"/>
  <c r="N40" i="24"/>
  <c r="N39" i="24"/>
  <c r="R39" i="24" s="1"/>
  <c r="R38" i="24"/>
  <c r="N38" i="24"/>
  <c r="N37" i="24"/>
  <c r="R37" i="24" s="1"/>
  <c r="R36" i="24"/>
  <c r="N36" i="24"/>
  <c r="N35" i="24"/>
  <c r="R35" i="24" s="1"/>
  <c r="R34" i="24"/>
  <c r="N34" i="24"/>
  <c r="N33" i="24"/>
  <c r="R33" i="24" s="1"/>
  <c r="R32" i="24"/>
  <c r="L32" i="24"/>
  <c r="N32" i="24" s="1"/>
  <c r="N31" i="24"/>
  <c r="R31" i="24" s="1"/>
  <c r="C31" i="24"/>
  <c r="Q30" i="24"/>
  <c r="Q51" i="24" s="1"/>
  <c r="P30" i="24"/>
  <c r="L30" i="24"/>
  <c r="L42" i="24" s="1"/>
  <c r="N29" i="24"/>
  <c r="R29" i="24" s="1"/>
  <c r="P28" i="24"/>
  <c r="P51" i="24" s="1"/>
  <c r="Q53" i="24" s="1"/>
  <c r="C28" i="24"/>
  <c r="C42" i="24" s="1"/>
  <c r="N27" i="24"/>
  <c r="R27" i="24" s="1"/>
  <c r="R26" i="24"/>
  <c r="N26" i="24"/>
  <c r="N25" i="24"/>
  <c r="R25" i="24" s="1"/>
  <c r="N24" i="24"/>
  <c r="M23" i="24"/>
  <c r="K23" i="24"/>
  <c r="K52" i="24" s="1"/>
  <c r="J23" i="24"/>
  <c r="J52" i="24" s="1"/>
  <c r="I23" i="24"/>
  <c r="H23" i="24"/>
  <c r="H52" i="24" s="1"/>
  <c r="G23" i="24"/>
  <c r="G52" i="24" s="1"/>
  <c r="F23" i="24"/>
  <c r="E23" i="24"/>
  <c r="D23" i="24"/>
  <c r="C23" i="24"/>
  <c r="B23" i="24"/>
  <c r="N22" i="24"/>
  <c r="R22" i="24" s="1"/>
  <c r="N21" i="24"/>
  <c r="R21" i="24" s="1"/>
  <c r="Q20" i="24"/>
  <c r="P20" i="24"/>
  <c r="N20" i="24"/>
  <c r="N19" i="24"/>
  <c r="R19" i="24" s="1"/>
  <c r="N18" i="24"/>
  <c r="R18" i="24" s="1"/>
  <c r="N17" i="24"/>
  <c r="R17" i="24" s="1"/>
  <c r="R16" i="24"/>
  <c r="P16" i="24"/>
  <c r="N16" i="24"/>
  <c r="R15" i="24"/>
  <c r="V15" i="24" s="1"/>
  <c r="N15" i="24"/>
  <c r="N14" i="24"/>
  <c r="N13" i="24"/>
  <c r="R12" i="24"/>
  <c r="N12" i="24"/>
  <c r="N11" i="24"/>
  <c r="R11" i="24" s="1"/>
  <c r="L10" i="24"/>
  <c r="N10" i="24" s="1"/>
  <c r="R9" i="24"/>
  <c r="N9" i="24"/>
  <c r="L8" i="24"/>
  <c r="L23" i="24" s="1"/>
  <c r="L52" i="24" s="1"/>
  <c r="N7" i="24"/>
  <c r="R7" i="24" s="1"/>
  <c r="R6" i="24"/>
  <c r="N6" i="24"/>
  <c r="N5" i="24"/>
  <c r="R5" i="24" s="1"/>
  <c r="I63" i="23"/>
  <c r="H63" i="23"/>
  <c r="G63" i="23"/>
  <c r="I62" i="23"/>
  <c r="H62" i="23"/>
  <c r="H64" i="23" s="1"/>
  <c r="G62" i="23"/>
  <c r="V58" i="23"/>
  <c r="Y58" i="23" s="1"/>
  <c r="H54" i="23"/>
  <c r="H55" i="23" s="1"/>
  <c r="I52" i="23"/>
  <c r="I55" i="23" s="1"/>
  <c r="G48" i="23"/>
  <c r="G47" i="23"/>
  <c r="V43" i="23"/>
  <c r="Y43" i="23" s="1"/>
  <c r="V42" i="23"/>
  <c r="Y42" i="23" s="1"/>
  <c r="C42" i="23" s="1"/>
  <c r="V41" i="23"/>
  <c r="Y41" i="23" s="1"/>
  <c r="C41" i="23" s="1"/>
  <c r="H41" i="23"/>
  <c r="G41" i="23"/>
  <c r="H39" i="23"/>
  <c r="G39" i="23"/>
  <c r="H38" i="23"/>
  <c r="G38" i="23"/>
  <c r="H34" i="23"/>
  <c r="G34" i="23"/>
  <c r="I33" i="23"/>
  <c r="H33" i="23"/>
  <c r="G33" i="23"/>
  <c r="H32" i="23"/>
  <c r="G32" i="23"/>
  <c r="H31" i="23"/>
  <c r="G31" i="23"/>
  <c r="H30" i="23"/>
  <c r="G30" i="23"/>
  <c r="G28" i="23"/>
  <c r="G27" i="23"/>
  <c r="G26" i="23"/>
  <c r="G24" i="23"/>
  <c r="G23" i="23"/>
  <c r="V20" i="23"/>
  <c r="Y20" i="23" s="1"/>
  <c r="V19" i="23"/>
  <c r="Y19" i="23" s="1"/>
  <c r="C19" i="23" s="1"/>
  <c r="G19" i="23"/>
  <c r="V17" i="23"/>
  <c r="Y17" i="23" s="1"/>
  <c r="H16" i="23"/>
  <c r="V15" i="23"/>
  <c r="V14" i="23"/>
  <c r="Y14" i="23" s="1"/>
  <c r="C14" i="23" s="1"/>
  <c r="V13" i="23"/>
  <c r="Y13" i="23" s="1"/>
  <c r="C13" i="23" s="1"/>
  <c r="V12" i="23"/>
  <c r="Y12" i="23" s="1"/>
  <c r="C12" i="23" s="1"/>
  <c r="V11" i="23"/>
  <c r="Y11" i="23" s="1"/>
  <c r="C11" i="23" s="1"/>
  <c r="V10" i="23"/>
  <c r="V9" i="23"/>
  <c r="Y9" i="23" s="1"/>
  <c r="C9" i="23" s="1"/>
  <c r="V8" i="23"/>
  <c r="Y8" i="23" s="1"/>
  <c r="C8" i="23" s="1"/>
  <c r="V7" i="23"/>
  <c r="I6" i="23"/>
  <c r="I21" i="23" s="1"/>
  <c r="I40" i="23" s="1"/>
  <c r="I44" i="23" s="1"/>
  <c r="H6" i="23"/>
  <c r="G6" i="23"/>
  <c r="L84" i="22"/>
  <c r="J84" i="22"/>
  <c r="I84" i="22"/>
  <c r="H84" i="22"/>
  <c r="G84" i="22"/>
  <c r="E84" i="22"/>
  <c r="D84" i="22"/>
  <c r="C84" i="22"/>
  <c r="M83" i="22"/>
  <c r="L83" i="22"/>
  <c r="K83" i="22"/>
  <c r="J83" i="22"/>
  <c r="I83" i="22"/>
  <c r="H83" i="22"/>
  <c r="G83" i="22"/>
  <c r="F83" i="22"/>
  <c r="D83" i="22"/>
  <c r="C83" i="22"/>
  <c r="B83" i="22"/>
  <c r="M82" i="22"/>
  <c r="L82" i="22"/>
  <c r="K82" i="22"/>
  <c r="J82" i="22"/>
  <c r="I82" i="22"/>
  <c r="H82" i="22"/>
  <c r="G82" i="22"/>
  <c r="F82" i="22"/>
  <c r="E82" i="22"/>
  <c r="D82" i="22"/>
  <c r="C82" i="22"/>
  <c r="B82" i="22"/>
  <c r="M81" i="22"/>
  <c r="L81" i="22"/>
  <c r="K81" i="22"/>
  <c r="J81" i="22"/>
  <c r="I81" i="22"/>
  <c r="H81" i="22"/>
  <c r="G81" i="22"/>
  <c r="F81" i="22"/>
  <c r="E81" i="22"/>
  <c r="D81" i="22"/>
  <c r="C81" i="22"/>
  <c r="M80" i="22"/>
  <c r="L80" i="22"/>
  <c r="K80" i="22"/>
  <c r="J80" i="22"/>
  <c r="I80" i="22"/>
  <c r="H80" i="22"/>
  <c r="G80" i="22"/>
  <c r="F80" i="22"/>
  <c r="E80" i="22"/>
  <c r="D80" i="22"/>
  <c r="C80" i="22"/>
  <c r="N79" i="22"/>
  <c r="Q79" i="22" s="1"/>
  <c r="M78" i="22"/>
  <c r="L78" i="22"/>
  <c r="K78" i="22"/>
  <c r="J78" i="22"/>
  <c r="I78" i="22"/>
  <c r="H78" i="22"/>
  <c r="G78" i="22"/>
  <c r="F78" i="22"/>
  <c r="E78" i="22"/>
  <c r="D78" i="22"/>
  <c r="C78" i="22"/>
  <c r="B78" i="22"/>
  <c r="M71" i="22"/>
  <c r="M75" i="22" s="1"/>
  <c r="L71" i="22"/>
  <c r="L75" i="22" s="1"/>
  <c r="K71" i="22"/>
  <c r="K75" i="22" s="1"/>
  <c r="J71" i="22"/>
  <c r="J75" i="22" s="1"/>
  <c r="I71" i="22"/>
  <c r="I75" i="22" s="1"/>
  <c r="H71" i="22"/>
  <c r="H75" i="22" s="1"/>
  <c r="G71" i="22"/>
  <c r="G75" i="22" s="1"/>
  <c r="F71" i="22"/>
  <c r="F75" i="22" s="1"/>
  <c r="E71" i="22"/>
  <c r="E75" i="22" s="1"/>
  <c r="N70" i="22"/>
  <c r="N67" i="22"/>
  <c r="J56" i="22"/>
  <c r="I56" i="22"/>
  <c r="H56" i="22"/>
  <c r="G56" i="22"/>
  <c r="D56" i="22"/>
  <c r="C56" i="22"/>
  <c r="E54" i="22"/>
  <c r="E83" i="22" s="1"/>
  <c r="N53" i="22"/>
  <c r="Q53" i="22" s="1"/>
  <c r="N52" i="22"/>
  <c r="Q52" i="22" s="1"/>
  <c r="Q51" i="22"/>
  <c r="N50" i="22"/>
  <c r="Q50" i="22" s="1"/>
  <c r="N49" i="22"/>
  <c r="O46" i="22"/>
  <c r="O47" i="22" s="1"/>
  <c r="M46" i="22"/>
  <c r="L46" i="22"/>
  <c r="K46" i="22"/>
  <c r="J46" i="22"/>
  <c r="I46" i="22"/>
  <c r="H46" i="22"/>
  <c r="G46" i="22"/>
  <c r="F46" i="22"/>
  <c r="E46" i="22"/>
  <c r="D46" i="22"/>
  <c r="C46" i="22"/>
  <c r="B46" i="22"/>
  <c r="N45" i="22"/>
  <c r="Q45" i="22" s="1"/>
  <c r="N44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P40" i="22"/>
  <c r="N40" i="22"/>
  <c r="N39" i="22"/>
  <c r="P36" i="22"/>
  <c r="P37" i="22" s="1"/>
  <c r="O36" i="22"/>
  <c r="O37" i="22" s="1"/>
  <c r="M36" i="22"/>
  <c r="L36" i="22"/>
  <c r="K36" i="22"/>
  <c r="J36" i="22"/>
  <c r="I36" i="22"/>
  <c r="H36" i="22"/>
  <c r="G36" i="22"/>
  <c r="F36" i="22"/>
  <c r="E36" i="22"/>
  <c r="D36" i="22"/>
  <c r="C36" i="22"/>
  <c r="B36" i="22"/>
  <c r="N35" i="22"/>
  <c r="Q35" i="22" s="1"/>
  <c r="N34" i="22"/>
  <c r="Q34" i="22" s="1"/>
  <c r="M31" i="22"/>
  <c r="L31" i="22"/>
  <c r="K31" i="22"/>
  <c r="J31" i="22"/>
  <c r="I31" i="22"/>
  <c r="H31" i="22"/>
  <c r="G31" i="22"/>
  <c r="F31" i="22"/>
  <c r="E31" i="22"/>
  <c r="D31" i="22"/>
  <c r="C31" i="22"/>
  <c r="B31" i="22"/>
  <c r="P30" i="22"/>
  <c r="N30" i="22"/>
  <c r="N29" i="22"/>
  <c r="P26" i="22"/>
  <c r="P27" i="22" s="1"/>
  <c r="O26" i="22"/>
  <c r="O27" i="22" s="1"/>
  <c r="M26" i="22"/>
  <c r="L26" i="22"/>
  <c r="K26" i="22"/>
  <c r="J26" i="22"/>
  <c r="I26" i="22"/>
  <c r="H26" i="22"/>
  <c r="G26" i="22"/>
  <c r="F26" i="22"/>
  <c r="E26" i="22"/>
  <c r="D26" i="22"/>
  <c r="C26" i="22"/>
  <c r="B26" i="22"/>
  <c r="N25" i="22"/>
  <c r="Q25" i="22" s="1"/>
  <c r="N24" i="22"/>
  <c r="Q24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P20" i="22"/>
  <c r="P21" i="22" s="1"/>
  <c r="P22" i="22" s="1"/>
  <c r="N20" i="22"/>
  <c r="N19" i="22"/>
  <c r="Q19" i="22" s="1"/>
  <c r="N18" i="22"/>
  <c r="P15" i="22"/>
  <c r="P16" i="22" s="1"/>
  <c r="M15" i="22"/>
  <c r="L15" i="22"/>
  <c r="K15" i="22"/>
  <c r="J15" i="22"/>
  <c r="I15" i="22"/>
  <c r="H15" i="22"/>
  <c r="G15" i="22"/>
  <c r="F15" i="22"/>
  <c r="E15" i="22"/>
  <c r="N91" i="22" s="1"/>
  <c r="D15" i="22"/>
  <c r="C15" i="22"/>
  <c r="B15" i="22"/>
  <c r="N14" i="22"/>
  <c r="Q89" i="22" s="1"/>
  <c r="N13" i="22"/>
  <c r="M10" i="22"/>
  <c r="M11" i="22" s="1"/>
  <c r="L10" i="22"/>
  <c r="L11" i="22" s="1"/>
  <c r="K10" i="22"/>
  <c r="K11" i="22" s="1"/>
  <c r="J10" i="22"/>
  <c r="J11" i="22" s="1"/>
  <c r="I10" i="22"/>
  <c r="I11" i="22" s="1"/>
  <c r="H10" i="22"/>
  <c r="H11" i="22" s="1"/>
  <c r="G10" i="22"/>
  <c r="G11" i="22" s="1"/>
  <c r="F10" i="22"/>
  <c r="F11" i="22" s="1"/>
  <c r="E10" i="22"/>
  <c r="E11" i="22" s="1"/>
  <c r="D10" i="22"/>
  <c r="D11" i="22" s="1"/>
  <c r="C10" i="22"/>
  <c r="C11" i="22" s="1"/>
  <c r="B10" i="22"/>
  <c r="B11" i="22" s="1"/>
  <c r="N9" i="22"/>
  <c r="Q9" i="22" s="1"/>
  <c r="P8" i="22"/>
  <c r="N8" i="22"/>
  <c r="N7" i="22"/>
  <c r="N81" i="22" s="1"/>
  <c r="Q81" i="22" s="1"/>
  <c r="N6" i="22"/>
  <c r="G40" i="18"/>
  <c r="F38" i="18"/>
  <c r="F41" i="18" s="1"/>
  <c r="F35" i="18"/>
  <c r="D35" i="18"/>
  <c r="D38" i="18" s="1"/>
  <c r="O64" i="16" s="1"/>
  <c r="O76" i="16" s="1"/>
  <c r="G33" i="18"/>
  <c r="G27" i="18"/>
  <c r="G24" i="18"/>
  <c r="G21" i="18"/>
  <c r="G18" i="18"/>
  <c r="G35" i="18" s="1"/>
  <c r="G15" i="18"/>
  <c r="G10" i="18"/>
  <c r="G7" i="18"/>
  <c r="E35" i="18"/>
  <c r="E39" i="18" s="1"/>
  <c r="P65" i="16" s="1"/>
  <c r="P80" i="16" s="1"/>
  <c r="P82" i="16" s="1"/>
  <c r="D263" i="17"/>
  <c r="E262" i="17"/>
  <c r="D262" i="17"/>
  <c r="E261" i="17"/>
  <c r="D261" i="17"/>
  <c r="D239" i="17"/>
  <c r="E238" i="17"/>
  <c r="E239" i="17" s="1"/>
  <c r="D233" i="17"/>
  <c r="E232" i="17"/>
  <c r="D227" i="17"/>
  <c r="E226" i="17"/>
  <c r="D215" i="17"/>
  <c r="D209" i="17"/>
  <c r="O14" i="22"/>
  <c r="D188" i="17"/>
  <c r="E178" i="17"/>
  <c r="D175" i="17"/>
  <c r="D178" i="17" s="1"/>
  <c r="D171" i="17"/>
  <c r="E170" i="17"/>
  <c r="D165" i="17"/>
  <c r="E164" i="17"/>
  <c r="E157" i="17"/>
  <c r="D153" i="17"/>
  <c r="D157" i="17" s="1"/>
  <c r="D147" i="17"/>
  <c r="E144" i="17"/>
  <c r="D143" i="17"/>
  <c r="D252" i="17" s="1"/>
  <c r="O20" i="16" s="1"/>
  <c r="D141" i="17"/>
  <c r="D140" i="17"/>
  <c r="D139" i="17"/>
  <c r="D138" i="17"/>
  <c r="D137" i="17"/>
  <c r="D130" i="17"/>
  <c r="E129" i="17"/>
  <c r="E130" i="17" s="1"/>
  <c r="D125" i="17"/>
  <c r="E124" i="17"/>
  <c r="E125" i="17" s="1"/>
  <c r="E120" i="17"/>
  <c r="D120" i="17"/>
  <c r="E114" i="17"/>
  <c r="D114" i="17"/>
  <c r="E105" i="17"/>
  <c r="D105" i="17"/>
  <c r="E91" i="17"/>
  <c r="D86" i="17"/>
  <c r="D91" i="17" s="1"/>
  <c r="D79" i="17"/>
  <c r="E78" i="17"/>
  <c r="E79" i="17" s="1"/>
  <c r="E72" i="17"/>
  <c r="E74" i="17" s="1"/>
  <c r="D70" i="17"/>
  <c r="D74" i="17" s="1"/>
  <c r="E62" i="17"/>
  <c r="E65" i="17" s="1"/>
  <c r="D59" i="17"/>
  <c r="D65" i="17" s="1"/>
  <c r="E53" i="17"/>
  <c r="D53" i="17"/>
  <c r="E43" i="17"/>
  <c r="D43" i="17"/>
  <c r="E37" i="17"/>
  <c r="D35" i="17"/>
  <c r="D37" i="17" s="1"/>
  <c r="D26" i="17"/>
  <c r="E27" i="17" s="1"/>
  <c r="D25" i="17"/>
  <c r="E20" i="17"/>
  <c r="D18" i="17"/>
  <c r="F19" i="17" s="1"/>
  <c r="E13" i="17"/>
  <c r="D13" i="17"/>
  <c r="J8" i="17"/>
  <c r="O80" i="16"/>
  <c r="O82" i="16" s="1"/>
  <c r="P76" i="16"/>
  <c r="N75" i="16"/>
  <c r="Q75" i="16" s="1"/>
  <c r="D26" i="20" s="1"/>
  <c r="N73" i="16"/>
  <c r="Q73" i="16" s="1"/>
  <c r="D20" i="20" s="1"/>
  <c r="C71" i="19" s="1"/>
  <c r="Q48" i="19" s="1"/>
  <c r="N72" i="16"/>
  <c r="N70" i="16"/>
  <c r="N68" i="16"/>
  <c r="N67" i="16"/>
  <c r="Q67" i="16" s="1"/>
  <c r="M66" i="16"/>
  <c r="M69" i="16" s="1"/>
  <c r="M71" i="16" s="1"/>
  <c r="L66" i="16"/>
  <c r="L69" i="16" s="1"/>
  <c r="L71" i="16" s="1"/>
  <c r="T6" i="23" s="1"/>
  <c r="K66" i="16"/>
  <c r="K69" i="16" s="1"/>
  <c r="K71" i="16" s="1"/>
  <c r="S6" i="23" s="1"/>
  <c r="J66" i="16"/>
  <c r="J69" i="16" s="1"/>
  <c r="J71" i="16" s="1"/>
  <c r="I66" i="16"/>
  <c r="I69" i="16" s="1"/>
  <c r="I71" i="16" s="1"/>
  <c r="H66" i="16"/>
  <c r="H69" i="16" s="1"/>
  <c r="H71" i="16" s="1"/>
  <c r="G66" i="16"/>
  <c r="G69" i="16" s="1"/>
  <c r="G71" i="16" s="1"/>
  <c r="O6" i="23" s="1"/>
  <c r="F66" i="16"/>
  <c r="F69" i="16" s="1"/>
  <c r="F71" i="16" s="1"/>
  <c r="E66" i="16"/>
  <c r="E69" i="16" s="1"/>
  <c r="E71" i="16" s="1"/>
  <c r="D66" i="16"/>
  <c r="D69" i="16" s="1"/>
  <c r="D71" i="16" s="1"/>
  <c r="C66" i="16"/>
  <c r="C69" i="16" s="1"/>
  <c r="C71" i="16" s="1"/>
  <c r="B66" i="16"/>
  <c r="B69" i="16" s="1"/>
  <c r="B71" i="16" s="1"/>
  <c r="J6" i="23" s="1"/>
  <c r="N65" i="16"/>
  <c r="N64" i="16"/>
  <c r="N48" i="16"/>
  <c r="P47" i="16"/>
  <c r="M47" i="16"/>
  <c r="M60" i="16" s="1"/>
  <c r="L47" i="16"/>
  <c r="K47" i="16"/>
  <c r="J47" i="16"/>
  <c r="J60" i="16" s="1"/>
  <c r="I47" i="16"/>
  <c r="I60" i="16" s="1"/>
  <c r="H47" i="16"/>
  <c r="H60" i="16" s="1"/>
  <c r="G47" i="16"/>
  <c r="G60" i="16" s="1"/>
  <c r="F47" i="16"/>
  <c r="F60" i="16" s="1"/>
  <c r="E47" i="16"/>
  <c r="E60" i="16" s="1"/>
  <c r="C47" i="16"/>
  <c r="C60" i="16" s="1"/>
  <c r="B47" i="16"/>
  <c r="Q46" i="16"/>
  <c r="Q45" i="16"/>
  <c r="Q44" i="16"/>
  <c r="Q43" i="16"/>
  <c r="Q42" i="16"/>
  <c r="D41" i="16"/>
  <c r="Q40" i="16"/>
  <c r="Q39" i="16"/>
  <c r="Q38" i="16"/>
  <c r="Q37" i="16"/>
  <c r="Q24" i="19" s="1"/>
  <c r="Q36" i="16"/>
  <c r="D35" i="16"/>
  <c r="N35" i="16" s="1"/>
  <c r="Q34" i="16"/>
  <c r="Q33" i="16"/>
  <c r="Q32" i="16"/>
  <c r="Q31" i="16"/>
  <c r="Q30" i="16"/>
  <c r="Q29" i="16"/>
  <c r="Q28" i="16"/>
  <c r="N27" i="16"/>
  <c r="Q27" i="16" s="1"/>
  <c r="M26" i="16"/>
  <c r="C26" i="19"/>
  <c r="D26" i="19" s="1"/>
  <c r="C27" i="19"/>
  <c r="D27" i="19" s="1"/>
  <c r="C94" i="19" s="1"/>
  <c r="C95" i="19" s="1"/>
  <c r="C96" i="19" s="1"/>
  <c r="C23" i="19"/>
  <c r="D23" i="19" s="1"/>
  <c r="C21" i="19"/>
  <c r="D21" i="19" s="1"/>
  <c r="C18" i="19"/>
  <c r="C19" i="19"/>
  <c r="D19" i="19" s="1"/>
  <c r="C13" i="19"/>
  <c r="D13" i="19" s="1"/>
  <c r="C12" i="19"/>
  <c r="D12" i="19" s="1"/>
  <c r="C10" i="19"/>
  <c r="D10" i="19" s="1"/>
  <c r="C11" i="19"/>
  <c r="D11" i="19" s="1"/>
  <c r="C25" i="23" s="1"/>
  <c r="C9" i="19"/>
  <c r="D9" i="19" s="1"/>
  <c r="C8" i="19"/>
  <c r="D8" i="19" s="1"/>
  <c r="C6" i="19"/>
  <c r="D6" i="19" s="1"/>
  <c r="N5" i="16"/>
  <c r="D84" i="15"/>
  <c r="G83" i="15"/>
  <c r="D83" i="15"/>
  <c r="G82" i="15"/>
  <c r="D82" i="15"/>
  <c r="D81" i="15"/>
  <c r="D80" i="15"/>
  <c r="G79" i="15"/>
  <c r="G85" i="15" s="1"/>
  <c r="C78" i="15"/>
  <c r="F76" i="15"/>
  <c r="F75" i="15"/>
  <c r="F74" i="15"/>
  <c r="C74" i="15"/>
  <c r="F73" i="15"/>
  <c r="F85" i="15" s="1"/>
  <c r="G71" i="15"/>
  <c r="F71" i="15"/>
  <c r="D62" i="15"/>
  <c r="C62" i="15"/>
  <c r="D57" i="15"/>
  <c r="C47" i="15"/>
  <c r="D36" i="15"/>
  <c r="C36" i="15"/>
  <c r="D27" i="15"/>
  <c r="C27" i="15"/>
  <c r="C21" i="15"/>
  <c r="D12" i="15"/>
  <c r="C12" i="15"/>
  <c r="AE40" i="14"/>
  <c r="AC40" i="14"/>
  <c r="AA25" i="14"/>
  <c r="S16" i="14"/>
  <c r="O16" i="14"/>
  <c r="I16" i="14"/>
  <c r="G16" i="14"/>
  <c r="Y11" i="14"/>
  <c r="W11" i="14"/>
  <c r="U11" i="14"/>
  <c r="S11" i="14"/>
  <c r="Q11" i="14"/>
  <c r="Q27" i="14" s="1"/>
  <c r="O11" i="14"/>
  <c r="M11" i="14"/>
  <c r="M27" i="14" s="1"/>
  <c r="K11" i="14"/>
  <c r="I11" i="14"/>
  <c r="G11" i="14"/>
  <c r="E11" i="14"/>
  <c r="E27" i="14" s="1"/>
  <c r="AE10" i="14"/>
  <c r="AE26" i="14" s="1"/>
  <c r="AC10" i="14"/>
  <c r="AC26" i="14" s="1"/>
  <c r="Y10" i="14"/>
  <c r="Y26" i="14" s="1"/>
  <c r="Y38" i="14" s="1"/>
  <c r="W10" i="14"/>
  <c r="W38" i="14" s="1"/>
  <c r="U10" i="14"/>
  <c r="S10" i="14"/>
  <c r="Q10" i="14"/>
  <c r="O10" i="14"/>
  <c r="M10" i="14"/>
  <c r="K10" i="14"/>
  <c r="I10" i="14"/>
  <c r="G10" i="14"/>
  <c r="E10" i="14"/>
  <c r="C10" i="14"/>
  <c r="C26" i="14" s="1"/>
  <c r="AE9" i="14"/>
  <c r="Y9" i="14"/>
  <c r="W9" i="14"/>
  <c r="U9" i="14"/>
  <c r="S9" i="14"/>
  <c r="Q9" i="14"/>
  <c r="O9" i="14"/>
  <c r="M9" i="14"/>
  <c r="K9" i="14"/>
  <c r="I9" i="14"/>
  <c r="G9" i="14"/>
  <c r="E9" i="14"/>
  <c r="C9" i="14"/>
  <c r="AE8" i="14"/>
  <c r="AE24" i="14" s="1"/>
  <c r="AC8" i="14"/>
  <c r="AC24" i="14" s="1"/>
  <c r="Y8" i="14"/>
  <c r="C211" i="12" s="1"/>
  <c r="E211" i="12" s="1"/>
  <c r="W8" i="14"/>
  <c r="W36" i="14" s="1"/>
  <c r="U8" i="14"/>
  <c r="C173" i="12" s="1"/>
  <c r="E173" i="12" s="1"/>
  <c r="S8" i="14"/>
  <c r="Q8" i="14"/>
  <c r="C139" i="12" s="1"/>
  <c r="E139" i="12" s="1"/>
  <c r="O8" i="14"/>
  <c r="M8" i="14"/>
  <c r="M24" i="14" s="1"/>
  <c r="M36" i="14" s="1"/>
  <c r="K8" i="14"/>
  <c r="C82" i="12" s="1"/>
  <c r="E82" i="12" s="1"/>
  <c r="I8" i="14"/>
  <c r="C65" i="12" s="1"/>
  <c r="E65" i="12" s="1"/>
  <c r="G8" i="14"/>
  <c r="C44" i="12" s="1"/>
  <c r="E44" i="12" s="1"/>
  <c r="E8" i="14"/>
  <c r="E24" i="14" s="1"/>
  <c r="E36" i="14" s="1"/>
  <c r="C8" i="14"/>
  <c r="C24" i="14" s="1"/>
  <c r="AE7" i="14"/>
  <c r="AE23" i="14" s="1"/>
  <c r="Y7" i="14"/>
  <c r="Y23" i="14" s="1"/>
  <c r="W7" i="14"/>
  <c r="C189" i="12" s="1"/>
  <c r="E189" i="12" s="1"/>
  <c r="U7" i="14"/>
  <c r="C172" i="12" s="1"/>
  <c r="E172" i="12" s="1"/>
  <c r="S7" i="14"/>
  <c r="S35" i="14" s="1"/>
  <c r="Q7" i="14"/>
  <c r="C138" i="12" s="1"/>
  <c r="E138" i="12" s="1"/>
  <c r="O7" i="14"/>
  <c r="M7" i="14"/>
  <c r="K7" i="14"/>
  <c r="K23" i="14" s="1"/>
  <c r="I7" i="14"/>
  <c r="I23" i="14" s="1"/>
  <c r="I35" i="14" s="1"/>
  <c r="G7" i="14"/>
  <c r="C43" i="12" s="1"/>
  <c r="E43" i="12" s="1"/>
  <c r="E7" i="14"/>
  <c r="C7" i="14"/>
  <c r="C23" i="14" s="1"/>
  <c r="AE6" i="14"/>
  <c r="AE22" i="14" s="1"/>
  <c r="AC6" i="14"/>
  <c r="AC22" i="14" s="1"/>
  <c r="Y6" i="14"/>
  <c r="C209" i="12" s="1"/>
  <c r="E209" i="12" s="1"/>
  <c r="W6" i="14"/>
  <c r="C188" i="12" s="1"/>
  <c r="E188" i="12" s="1"/>
  <c r="U6" i="14"/>
  <c r="U22" i="14" s="1"/>
  <c r="S6" i="14"/>
  <c r="C154" i="12" s="1"/>
  <c r="E154" i="12" s="1"/>
  <c r="Q6" i="14"/>
  <c r="O6" i="14"/>
  <c r="M6" i="14"/>
  <c r="M22" i="14" s="1"/>
  <c r="M34" i="14" s="1"/>
  <c r="K6" i="14"/>
  <c r="C80" i="12" s="1"/>
  <c r="E80" i="12" s="1"/>
  <c r="I6" i="14"/>
  <c r="C63" i="12" s="1"/>
  <c r="E63" i="12" s="1"/>
  <c r="G6" i="14"/>
  <c r="C42" i="12" s="1"/>
  <c r="E42" i="12" s="1"/>
  <c r="E6" i="14"/>
  <c r="E22" i="14" s="1"/>
  <c r="E34" i="14" s="1"/>
  <c r="C6" i="14"/>
  <c r="AE5" i="14"/>
  <c r="AE21" i="14" s="1"/>
  <c r="Y5" i="14"/>
  <c r="C208" i="12" s="1"/>
  <c r="E208" i="12" s="1"/>
  <c r="W5" i="14"/>
  <c r="C187" i="12" s="1"/>
  <c r="E187" i="12" s="1"/>
  <c r="U5" i="14"/>
  <c r="U21" i="14" s="1"/>
  <c r="S5" i="14"/>
  <c r="C153" i="12" s="1"/>
  <c r="E153" i="12" s="1"/>
  <c r="Q5" i="14"/>
  <c r="O5" i="14"/>
  <c r="O33" i="14" s="1"/>
  <c r="M5" i="14"/>
  <c r="C99" i="12" s="1"/>
  <c r="E99" i="12" s="1"/>
  <c r="K5" i="14"/>
  <c r="K33" i="14" s="1"/>
  <c r="I5" i="14"/>
  <c r="I33" i="14" s="1"/>
  <c r="G5" i="14"/>
  <c r="C41" i="12" s="1"/>
  <c r="E41" i="12" s="1"/>
  <c r="E5" i="14"/>
  <c r="C24" i="12" s="1"/>
  <c r="E24" i="12" s="1"/>
  <c r="C5" i="14"/>
  <c r="AE4" i="14"/>
  <c r="AE20" i="14" s="1"/>
  <c r="Y4" i="14"/>
  <c r="C207" i="12" s="1"/>
  <c r="E207" i="12" s="1"/>
  <c r="W4" i="14"/>
  <c r="W32" i="14" s="1"/>
  <c r="U4" i="14"/>
  <c r="U32" i="14" s="1"/>
  <c r="S4" i="14"/>
  <c r="Q4" i="14"/>
  <c r="C135" i="12" s="1"/>
  <c r="E135" i="12" s="1"/>
  <c r="O4" i="14"/>
  <c r="M4" i="14"/>
  <c r="M32" i="14" s="1"/>
  <c r="K4" i="14"/>
  <c r="K32" i="14" s="1"/>
  <c r="I4" i="14"/>
  <c r="C61" i="12" s="1"/>
  <c r="E61" i="12" s="1"/>
  <c r="G4" i="14"/>
  <c r="G32" i="14" s="1"/>
  <c r="E4" i="14"/>
  <c r="E32" i="14" s="1"/>
  <c r="C4" i="14"/>
  <c r="AE3" i="14"/>
  <c r="Y3" i="14"/>
  <c r="C206" i="12" s="1"/>
  <c r="E206" i="12" s="1"/>
  <c r="W3" i="14"/>
  <c r="C185" i="12" s="1"/>
  <c r="E185" i="12" s="1"/>
  <c r="U3" i="14"/>
  <c r="C168" i="12" s="1"/>
  <c r="S3" i="14"/>
  <c r="S31" i="14" s="1"/>
  <c r="Q3" i="14"/>
  <c r="C134" i="12" s="1"/>
  <c r="E134" i="12" s="1"/>
  <c r="O3" i="14"/>
  <c r="M3" i="14"/>
  <c r="M19" i="14" s="1"/>
  <c r="K3" i="14"/>
  <c r="K19" i="14" s="1"/>
  <c r="I3" i="14"/>
  <c r="C60" i="12" s="1"/>
  <c r="E60" i="12" s="1"/>
  <c r="G3" i="14"/>
  <c r="C39" i="12" s="1"/>
  <c r="E39" i="12" s="1"/>
  <c r="E3" i="14"/>
  <c r="E19" i="14" s="1"/>
  <c r="C3" i="14"/>
  <c r="G26" i="13"/>
  <c r="F26" i="13"/>
  <c r="E26" i="13"/>
  <c r="G25" i="13"/>
  <c r="G24" i="13"/>
  <c r="G23" i="13"/>
  <c r="G22" i="13"/>
  <c r="G21" i="13"/>
  <c r="G20" i="13"/>
  <c r="G19" i="13"/>
  <c r="F19" i="13"/>
  <c r="E19" i="13"/>
  <c r="G18" i="13"/>
  <c r="F18" i="13"/>
  <c r="F27" i="13" s="1"/>
  <c r="E18" i="13"/>
  <c r="E27" i="13" s="1"/>
  <c r="F17" i="13"/>
  <c r="G17" i="13" s="1"/>
  <c r="G16" i="13"/>
  <c r="G15" i="13"/>
  <c r="G14" i="13"/>
  <c r="G13" i="13"/>
  <c r="G12" i="13"/>
  <c r="G11" i="13"/>
  <c r="G10" i="13"/>
  <c r="G9" i="13"/>
  <c r="G8" i="13"/>
  <c r="G7" i="13"/>
  <c r="G6" i="13"/>
  <c r="S229" i="12"/>
  <c r="Q229" i="12"/>
  <c r="S223" i="12"/>
  <c r="S225" i="12" s="1"/>
  <c r="H215" i="12"/>
  <c r="I212" i="12"/>
  <c r="K212" i="12" s="1"/>
  <c r="D212" i="12"/>
  <c r="K211" i="12"/>
  <c r="I211" i="12"/>
  <c r="I210" i="12"/>
  <c r="I209" i="12"/>
  <c r="R208" i="12"/>
  <c r="I208" i="12"/>
  <c r="K208" i="12" s="1"/>
  <c r="R207" i="12"/>
  <c r="J205" i="12" s="1"/>
  <c r="K207" i="12"/>
  <c r="I207" i="12"/>
  <c r="I206" i="12"/>
  <c r="K205" i="12"/>
  <c r="H197" i="12"/>
  <c r="H195" i="12"/>
  <c r="I194" i="12"/>
  <c r="H194" i="12"/>
  <c r="D194" i="12"/>
  <c r="D195" i="12" s="1"/>
  <c r="I192" i="12"/>
  <c r="J192" i="12" s="1"/>
  <c r="I191" i="12"/>
  <c r="J190" i="12"/>
  <c r="I190" i="12"/>
  <c r="I189" i="12"/>
  <c r="J188" i="12"/>
  <c r="I188" i="12"/>
  <c r="S187" i="12"/>
  <c r="S224" i="12" s="1"/>
  <c r="Q187" i="12"/>
  <c r="Q188" i="12" s="1"/>
  <c r="R186" i="12" s="1"/>
  <c r="J184" i="12" s="1"/>
  <c r="I187" i="12"/>
  <c r="J186" i="12"/>
  <c r="I186" i="12"/>
  <c r="I185" i="12"/>
  <c r="H177" i="12"/>
  <c r="I175" i="12"/>
  <c r="D175" i="12"/>
  <c r="D174" i="12"/>
  <c r="D177" i="12" s="1"/>
  <c r="I173" i="12"/>
  <c r="I172" i="12"/>
  <c r="U171" i="12"/>
  <c r="S171" i="12"/>
  <c r="Q171" i="12"/>
  <c r="I171" i="12"/>
  <c r="U170" i="12"/>
  <c r="T170" i="12"/>
  <c r="R170" i="12"/>
  <c r="I170" i="12"/>
  <c r="U169" i="12"/>
  <c r="T169" i="12"/>
  <c r="R169" i="12"/>
  <c r="I169" i="12"/>
  <c r="D169" i="12"/>
  <c r="I168" i="12"/>
  <c r="H160" i="12"/>
  <c r="D160" i="12"/>
  <c r="I158" i="12"/>
  <c r="I157" i="12"/>
  <c r="I156" i="12"/>
  <c r="I155" i="12"/>
  <c r="S154" i="12"/>
  <c r="Q154" i="12"/>
  <c r="R152" i="12" s="1"/>
  <c r="I154" i="12"/>
  <c r="U153" i="12"/>
  <c r="T153" i="12"/>
  <c r="I153" i="12"/>
  <c r="U152" i="12"/>
  <c r="U154" i="12" s="1"/>
  <c r="T152" i="12"/>
  <c r="I152" i="12"/>
  <c r="I151" i="12"/>
  <c r="H143" i="12"/>
  <c r="D143" i="12"/>
  <c r="I141" i="12"/>
  <c r="I140" i="12"/>
  <c r="I139" i="12"/>
  <c r="I138" i="12"/>
  <c r="S137" i="12"/>
  <c r="T135" i="12" s="1"/>
  <c r="Q137" i="12"/>
  <c r="I137" i="12"/>
  <c r="U136" i="12"/>
  <c r="T136" i="12"/>
  <c r="I136" i="12"/>
  <c r="U135" i="12"/>
  <c r="I135" i="12"/>
  <c r="I134" i="12"/>
  <c r="I143" i="12" s="1"/>
  <c r="D128" i="12"/>
  <c r="C128" i="12"/>
  <c r="D127" i="12"/>
  <c r="H126" i="12"/>
  <c r="E126" i="12"/>
  <c r="D126" i="12"/>
  <c r="C126" i="12"/>
  <c r="C127" i="12" s="1"/>
  <c r="C129" i="12" s="1"/>
  <c r="K124" i="12"/>
  <c r="J124" i="12"/>
  <c r="I124" i="12"/>
  <c r="E124" i="12"/>
  <c r="K123" i="12"/>
  <c r="J123" i="12"/>
  <c r="I123" i="12"/>
  <c r="E123" i="12"/>
  <c r="K122" i="12"/>
  <c r="J122" i="12"/>
  <c r="I122" i="12"/>
  <c r="E122" i="12"/>
  <c r="K121" i="12"/>
  <c r="J121" i="12"/>
  <c r="I121" i="12"/>
  <c r="E121" i="12"/>
  <c r="S120" i="12"/>
  <c r="Q120" i="12"/>
  <c r="J120" i="12"/>
  <c r="I120" i="12"/>
  <c r="K120" i="12" s="1"/>
  <c r="E120" i="12"/>
  <c r="U119" i="12"/>
  <c r="T119" i="12"/>
  <c r="V119" i="12" s="1"/>
  <c r="R119" i="12"/>
  <c r="J119" i="12"/>
  <c r="I119" i="12"/>
  <c r="K119" i="12" s="1"/>
  <c r="E119" i="12"/>
  <c r="U118" i="12"/>
  <c r="U120" i="12" s="1"/>
  <c r="T118" i="12"/>
  <c r="V118" i="12" s="1"/>
  <c r="R118" i="12"/>
  <c r="J118" i="12"/>
  <c r="I118" i="12"/>
  <c r="K118" i="12" s="1"/>
  <c r="E118" i="12"/>
  <c r="I117" i="12"/>
  <c r="E117" i="12"/>
  <c r="K116" i="12"/>
  <c r="J116" i="12"/>
  <c r="H107" i="12"/>
  <c r="H109" i="12" s="1"/>
  <c r="D107" i="12"/>
  <c r="D106" i="12"/>
  <c r="D109" i="12" s="1"/>
  <c r="I109" i="12" s="1"/>
  <c r="I104" i="12"/>
  <c r="D104" i="12"/>
  <c r="H103" i="12"/>
  <c r="H106" i="12" s="1"/>
  <c r="D103" i="12"/>
  <c r="I103" i="12" s="1"/>
  <c r="I102" i="12"/>
  <c r="I101" i="12"/>
  <c r="S100" i="12"/>
  <c r="Q100" i="12"/>
  <c r="R98" i="12" s="1"/>
  <c r="I100" i="12"/>
  <c r="U99" i="12"/>
  <c r="T99" i="12"/>
  <c r="I99" i="12"/>
  <c r="U98" i="12"/>
  <c r="U100" i="12" s="1"/>
  <c r="T98" i="12"/>
  <c r="I98" i="12"/>
  <c r="I97" i="12"/>
  <c r="I106" i="12" s="1"/>
  <c r="H87" i="12"/>
  <c r="D87" i="12"/>
  <c r="H86" i="12"/>
  <c r="H89" i="12" s="1"/>
  <c r="D84" i="12"/>
  <c r="I84" i="12" s="1"/>
  <c r="H83" i="12"/>
  <c r="D83" i="12"/>
  <c r="D86" i="12" s="1"/>
  <c r="D89" i="12" s="1"/>
  <c r="I82" i="12"/>
  <c r="J82" i="12" s="1"/>
  <c r="I81" i="12"/>
  <c r="U80" i="12"/>
  <c r="S80" i="12"/>
  <c r="T78" i="12" s="1"/>
  <c r="Q80" i="12"/>
  <c r="R79" i="12" s="1"/>
  <c r="I80" i="12"/>
  <c r="U79" i="12"/>
  <c r="I79" i="12"/>
  <c r="U78" i="12"/>
  <c r="R78" i="12"/>
  <c r="I78" i="12"/>
  <c r="I77" i="12"/>
  <c r="J77" i="12" s="1"/>
  <c r="J76" i="12"/>
  <c r="J81" i="12" s="1"/>
  <c r="H69" i="12"/>
  <c r="D67" i="12"/>
  <c r="I67" i="12" s="1"/>
  <c r="R66" i="12"/>
  <c r="D66" i="12"/>
  <c r="I66" i="12" s="1"/>
  <c r="I65" i="12"/>
  <c r="J65" i="12" s="1"/>
  <c r="I64" i="12"/>
  <c r="U63" i="12"/>
  <c r="S63" i="12"/>
  <c r="T62" i="12" s="1"/>
  <c r="Q63" i="12"/>
  <c r="R62" i="12" s="1"/>
  <c r="I63" i="12"/>
  <c r="U62" i="12"/>
  <c r="D62" i="12"/>
  <c r="D69" i="12" s="1"/>
  <c r="U61" i="12"/>
  <c r="T61" i="12"/>
  <c r="R61" i="12"/>
  <c r="V61" i="12" s="1"/>
  <c r="I61" i="12"/>
  <c r="J61" i="12" s="1"/>
  <c r="J60" i="12"/>
  <c r="I60" i="12"/>
  <c r="J59" i="12"/>
  <c r="H70" i="12" s="1"/>
  <c r="H50" i="12"/>
  <c r="H52" i="12" s="1"/>
  <c r="D50" i="12"/>
  <c r="E49" i="12"/>
  <c r="H48" i="12"/>
  <c r="I46" i="12"/>
  <c r="K46" i="12" s="1"/>
  <c r="D46" i="12"/>
  <c r="D45" i="12"/>
  <c r="I45" i="12" s="1"/>
  <c r="I44" i="12"/>
  <c r="K44" i="12" s="1"/>
  <c r="I43" i="12"/>
  <c r="U42" i="12"/>
  <c r="S42" i="12"/>
  <c r="T41" i="12" s="1"/>
  <c r="V41" i="12" s="1"/>
  <c r="Q42" i="12"/>
  <c r="I42" i="12"/>
  <c r="U41" i="12"/>
  <c r="R41" i="12"/>
  <c r="I41" i="12"/>
  <c r="U40" i="12"/>
  <c r="T40" i="12"/>
  <c r="R40" i="12"/>
  <c r="V40" i="12" s="1"/>
  <c r="I40" i="12"/>
  <c r="C40" i="12"/>
  <c r="E40" i="12" s="1"/>
  <c r="I39" i="12"/>
  <c r="I48" i="12" s="1"/>
  <c r="K38" i="12"/>
  <c r="K43" i="12" s="1"/>
  <c r="J38" i="12"/>
  <c r="J43" i="12" s="1"/>
  <c r="H31" i="12"/>
  <c r="G31" i="12"/>
  <c r="F31" i="12"/>
  <c r="S30" i="12"/>
  <c r="T28" i="12" s="1"/>
  <c r="U29" i="12"/>
  <c r="T29" i="12"/>
  <c r="I29" i="12"/>
  <c r="J29" i="12" s="1"/>
  <c r="D29" i="12"/>
  <c r="Q28" i="12"/>
  <c r="Q223" i="12" s="1"/>
  <c r="I28" i="12"/>
  <c r="J28" i="12" s="1"/>
  <c r="E28" i="12"/>
  <c r="D28" i="12"/>
  <c r="I27" i="12"/>
  <c r="I26" i="12"/>
  <c r="S25" i="12"/>
  <c r="Q25" i="12"/>
  <c r="O25" i="12"/>
  <c r="P24" i="12" s="1"/>
  <c r="I25" i="12"/>
  <c r="U24" i="12"/>
  <c r="T24" i="12"/>
  <c r="X28" i="12" s="1"/>
  <c r="R24" i="12"/>
  <c r="K21" i="12" s="1"/>
  <c r="I24" i="12"/>
  <c r="K24" i="12" s="1"/>
  <c r="V23" i="12"/>
  <c r="U23" i="12"/>
  <c r="U25" i="12" s="1"/>
  <c r="T23" i="12"/>
  <c r="R23" i="12"/>
  <c r="P23" i="12"/>
  <c r="D23" i="12"/>
  <c r="I23" i="12" s="1"/>
  <c r="I22" i="12"/>
  <c r="K22" i="12" s="1"/>
  <c r="J21" i="12"/>
  <c r="J26" i="12" s="1"/>
  <c r="D14" i="12"/>
  <c r="C14" i="12"/>
  <c r="G12" i="12"/>
  <c r="E12" i="12"/>
  <c r="H11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E14" i="12" s="1"/>
  <c r="G4" i="12"/>
  <c r="E4" i="12"/>
  <c r="M207" i="11"/>
  <c r="K207" i="11"/>
  <c r="M202" i="11"/>
  <c r="M203" i="11" s="1"/>
  <c r="M201" i="11"/>
  <c r="D193" i="11"/>
  <c r="C190" i="11"/>
  <c r="E190" i="11" s="1"/>
  <c r="F190" i="11" s="1"/>
  <c r="E189" i="11"/>
  <c r="F188" i="11"/>
  <c r="E188" i="11"/>
  <c r="E187" i="11"/>
  <c r="L186" i="11"/>
  <c r="E186" i="11"/>
  <c r="L185" i="11"/>
  <c r="E185" i="11"/>
  <c r="E184" i="11"/>
  <c r="F184" i="11" s="1"/>
  <c r="G183" i="11"/>
  <c r="G188" i="11" s="1"/>
  <c r="F183" i="11"/>
  <c r="F189" i="11" s="1"/>
  <c r="D178" i="11"/>
  <c r="C177" i="11"/>
  <c r="D175" i="11"/>
  <c r="D177" i="11" s="1"/>
  <c r="D179" i="11" s="1"/>
  <c r="C175" i="11"/>
  <c r="D173" i="11"/>
  <c r="D168" i="11"/>
  <c r="C168" i="11"/>
  <c r="C173" i="11" s="1"/>
  <c r="E166" i="11"/>
  <c r="E165" i="11"/>
  <c r="E164" i="11"/>
  <c r="E163" i="11"/>
  <c r="M162" i="11"/>
  <c r="E162" i="11"/>
  <c r="N161" i="11"/>
  <c r="M161" i="11"/>
  <c r="K161" i="11"/>
  <c r="K202" i="11" s="1"/>
  <c r="E161" i="11"/>
  <c r="N160" i="11"/>
  <c r="E160" i="11"/>
  <c r="E159" i="11"/>
  <c r="D151" i="11"/>
  <c r="C149" i="11"/>
  <c r="E149" i="11" s="1"/>
  <c r="C148" i="11"/>
  <c r="E147" i="11"/>
  <c r="E146" i="11"/>
  <c r="M145" i="11"/>
  <c r="N144" i="11" s="1"/>
  <c r="K145" i="11"/>
  <c r="E145" i="11"/>
  <c r="O144" i="11"/>
  <c r="E144" i="11"/>
  <c r="O143" i="11"/>
  <c r="N143" i="11"/>
  <c r="E143" i="11"/>
  <c r="C143" i="11"/>
  <c r="E142" i="11"/>
  <c r="D135" i="11"/>
  <c r="C135" i="11"/>
  <c r="E133" i="11"/>
  <c r="E132" i="11"/>
  <c r="E131" i="11"/>
  <c r="E130" i="11"/>
  <c r="O129" i="11"/>
  <c r="M129" i="11"/>
  <c r="N127" i="11" s="1"/>
  <c r="K129" i="11"/>
  <c r="F129" i="11"/>
  <c r="E129" i="11"/>
  <c r="O128" i="11"/>
  <c r="N128" i="11"/>
  <c r="L128" i="11"/>
  <c r="P128" i="11" s="1"/>
  <c r="E128" i="11"/>
  <c r="O127" i="11"/>
  <c r="L127" i="11"/>
  <c r="P127" i="11" s="1"/>
  <c r="E127" i="11"/>
  <c r="F127" i="11" s="1"/>
  <c r="E126" i="11"/>
  <c r="F125" i="11"/>
  <c r="D118" i="11"/>
  <c r="C118" i="11"/>
  <c r="F116" i="11"/>
  <c r="E116" i="11"/>
  <c r="E115" i="11"/>
  <c r="E114" i="11"/>
  <c r="E113" i="11"/>
  <c r="M112" i="11"/>
  <c r="K112" i="11"/>
  <c r="L110" i="11" s="1"/>
  <c r="F108" i="11" s="1"/>
  <c r="E112" i="11"/>
  <c r="O111" i="11"/>
  <c r="L111" i="11"/>
  <c r="E111" i="11"/>
  <c r="F111" i="11" s="1"/>
  <c r="O110" i="11"/>
  <c r="O112" i="11" s="1"/>
  <c r="E110" i="11"/>
  <c r="F109" i="11"/>
  <c r="E109" i="11"/>
  <c r="D101" i="11"/>
  <c r="C101" i="11"/>
  <c r="E99" i="11"/>
  <c r="E98" i="11"/>
  <c r="E97" i="11"/>
  <c r="E96" i="11"/>
  <c r="M95" i="11"/>
  <c r="N94" i="11" s="1"/>
  <c r="K95" i="11"/>
  <c r="E95" i="11"/>
  <c r="O94" i="11"/>
  <c r="E94" i="11"/>
  <c r="O93" i="11"/>
  <c r="O95" i="11" s="1"/>
  <c r="N93" i="11"/>
  <c r="E93" i="11"/>
  <c r="E92" i="11"/>
  <c r="C84" i="11"/>
  <c r="D83" i="11"/>
  <c r="C83" i="11"/>
  <c r="D82" i="11"/>
  <c r="D84" i="11" s="1"/>
  <c r="E80" i="11"/>
  <c r="C80" i="11"/>
  <c r="C82" i="11" s="1"/>
  <c r="E79" i="11"/>
  <c r="D79" i="11"/>
  <c r="C79" i="11"/>
  <c r="F78" i="11"/>
  <c r="E78" i="11"/>
  <c r="G78" i="11" s="1"/>
  <c r="E77" i="11"/>
  <c r="M76" i="11"/>
  <c r="K76" i="11"/>
  <c r="L75" i="11" s="1"/>
  <c r="P75" i="11" s="1"/>
  <c r="G76" i="11"/>
  <c r="E76" i="11"/>
  <c r="O75" i="11"/>
  <c r="O76" i="11" s="1"/>
  <c r="N75" i="11"/>
  <c r="F75" i="11"/>
  <c r="E75" i="11"/>
  <c r="G75" i="11" s="1"/>
  <c r="O74" i="11"/>
  <c r="N74" i="11"/>
  <c r="L74" i="11"/>
  <c r="P74" i="11" s="1"/>
  <c r="E74" i="11"/>
  <c r="E73" i="11"/>
  <c r="F73" i="11" s="1"/>
  <c r="G72" i="11"/>
  <c r="G73" i="11" s="1"/>
  <c r="F72" i="11"/>
  <c r="F76" i="11" s="1"/>
  <c r="D65" i="11"/>
  <c r="C65" i="11"/>
  <c r="C64" i="11"/>
  <c r="C66" i="11" s="1"/>
  <c r="C62" i="11"/>
  <c r="E62" i="11" s="1"/>
  <c r="D61" i="11"/>
  <c r="D64" i="11" s="1"/>
  <c r="D66" i="11" s="1"/>
  <c r="C61" i="11"/>
  <c r="E61" i="11" s="1"/>
  <c r="E60" i="11"/>
  <c r="E59" i="11"/>
  <c r="O58" i="11"/>
  <c r="M58" i="11"/>
  <c r="N56" i="11" s="1"/>
  <c r="K58" i="11"/>
  <c r="E58" i="11"/>
  <c r="O57" i="11"/>
  <c r="N57" i="11"/>
  <c r="L57" i="11"/>
  <c r="E57" i="11"/>
  <c r="O56" i="11"/>
  <c r="L56" i="11"/>
  <c r="P56" i="11" s="1"/>
  <c r="E56" i="11"/>
  <c r="E55" i="11"/>
  <c r="F54" i="11"/>
  <c r="F55" i="11" s="1"/>
  <c r="D48" i="11"/>
  <c r="E46" i="11"/>
  <c r="C46" i="11"/>
  <c r="L45" i="11"/>
  <c r="C45" i="11"/>
  <c r="E45" i="11" s="1"/>
  <c r="E44" i="11"/>
  <c r="E43" i="11"/>
  <c r="M42" i="11"/>
  <c r="N41" i="11" s="1"/>
  <c r="K42" i="11"/>
  <c r="E42" i="11"/>
  <c r="O41" i="11"/>
  <c r="C41" i="11"/>
  <c r="C48" i="11" s="1"/>
  <c r="O40" i="11"/>
  <c r="O42" i="11" s="1"/>
  <c r="E40" i="11"/>
  <c r="E39" i="11"/>
  <c r="D31" i="11"/>
  <c r="C31" i="11"/>
  <c r="D29" i="11"/>
  <c r="D32" i="11" s="1"/>
  <c r="E27" i="11"/>
  <c r="C27" i="11"/>
  <c r="E26" i="11"/>
  <c r="C26" i="11"/>
  <c r="C29" i="11" s="1"/>
  <c r="C32" i="11" s="1"/>
  <c r="E25" i="11"/>
  <c r="E24" i="11"/>
  <c r="O23" i="11"/>
  <c r="M23" i="11"/>
  <c r="N21" i="11" s="1"/>
  <c r="K23" i="11"/>
  <c r="E23" i="11"/>
  <c r="O22" i="11"/>
  <c r="N22" i="11"/>
  <c r="L22" i="11"/>
  <c r="P22" i="11" s="1"/>
  <c r="E22" i="11"/>
  <c r="O21" i="11"/>
  <c r="L21" i="11"/>
  <c r="P21" i="11" s="1"/>
  <c r="E21" i="11"/>
  <c r="E29" i="11" s="1"/>
  <c r="E20" i="11"/>
  <c r="D13" i="11"/>
  <c r="M12" i="11"/>
  <c r="K12" i="11"/>
  <c r="L10" i="11" s="1"/>
  <c r="P10" i="11" s="1"/>
  <c r="O11" i="11"/>
  <c r="N11" i="11"/>
  <c r="C11" i="11"/>
  <c r="E11" i="11" s="1"/>
  <c r="O10" i="11"/>
  <c r="O12" i="11" s="1"/>
  <c r="N10" i="11"/>
  <c r="K10" i="11"/>
  <c r="K201" i="11" s="1"/>
  <c r="E10" i="11"/>
  <c r="C10" i="11"/>
  <c r="E9" i="11"/>
  <c r="E8" i="11"/>
  <c r="E7" i="11"/>
  <c r="O6" i="11"/>
  <c r="M6" i="11"/>
  <c r="N4" i="11" s="1"/>
  <c r="K6" i="11"/>
  <c r="E6" i="11"/>
  <c r="O5" i="11"/>
  <c r="N5" i="11"/>
  <c r="R10" i="11" s="1"/>
  <c r="L5" i="11"/>
  <c r="P5" i="11" s="1"/>
  <c r="E5" i="11"/>
  <c r="O4" i="11"/>
  <c r="L4" i="11"/>
  <c r="C4" i="11"/>
  <c r="E3" i="11"/>
  <c r="G2" i="11"/>
  <c r="E22" i="10"/>
  <c r="D9" i="10"/>
  <c r="C9" i="10"/>
  <c r="F95" i="9"/>
  <c r="G94" i="9" s="1"/>
  <c r="G93" i="9"/>
  <c r="I85" i="9"/>
  <c r="F84" i="9"/>
  <c r="G83" i="9" s="1"/>
  <c r="G82" i="9"/>
  <c r="C82" i="9"/>
  <c r="F73" i="9"/>
  <c r="G72" i="9" s="1"/>
  <c r="G71" i="9"/>
  <c r="I62" i="9"/>
  <c r="F62" i="9"/>
  <c r="G61" i="9" s="1"/>
  <c r="G60" i="9"/>
  <c r="C60" i="9"/>
  <c r="F51" i="9"/>
  <c r="G50" i="9" s="1"/>
  <c r="G49" i="9"/>
  <c r="F40" i="9"/>
  <c r="G39" i="9"/>
  <c r="G38" i="9"/>
  <c r="C38" i="9"/>
  <c r="I40" i="9" s="1"/>
  <c r="F29" i="9"/>
  <c r="G28" i="9"/>
  <c r="G27" i="9"/>
  <c r="C27" i="9"/>
  <c r="I30" i="9" s="1"/>
  <c r="F18" i="9"/>
  <c r="G17" i="9" s="1"/>
  <c r="F7" i="9"/>
  <c r="G6" i="9"/>
  <c r="G5" i="9"/>
  <c r="C5" i="9"/>
  <c r="E80" i="8"/>
  <c r="E82" i="8" s="1"/>
  <c r="D79" i="8"/>
  <c r="D82" i="8" s="1"/>
  <c r="E72" i="8"/>
  <c r="E69" i="8"/>
  <c r="E73" i="8" s="1"/>
  <c r="D65" i="8"/>
  <c r="D64" i="8"/>
  <c r="D63" i="8"/>
  <c r="D62" i="8"/>
  <c r="D61" i="8"/>
  <c r="D59" i="8"/>
  <c r="D58" i="8"/>
  <c r="D73" i="8" s="1"/>
  <c r="J50" i="8"/>
  <c r="J49" i="8"/>
  <c r="J51" i="8" s="1"/>
  <c r="I49" i="8"/>
  <c r="E47" i="8"/>
  <c r="E51" i="8" s="1"/>
  <c r="G46" i="8"/>
  <c r="G44" i="8"/>
  <c r="D43" i="8"/>
  <c r="D51" i="8" s="1"/>
  <c r="E34" i="8"/>
  <c r="D28" i="8"/>
  <c r="D27" i="8"/>
  <c r="D26" i="8"/>
  <c r="D25" i="8"/>
  <c r="D24" i="8"/>
  <c r="D16" i="8"/>
  <c r="I13" i="8"/>
  <c r="H13" i="8"/>
  <c r="E13" i="8"/>
  <c r="L12" i="8"/>
  <c r="L13" i="8" s="1"/>
  <c r="J11" i="8"/>
  <c r="J13" i="8" s="1"/>
  <c r="I11" i="8"/>
  <c r="H11" i="8"/>
  <c r="F11" i="8"/>
  <c r="F13" i="8" s="1"/>
  <c r="E11" i="8"/>
  <c r="C11" i="8"/>
  <c r="C13" i="8" s="1"/>
  <c r="L10" i="8"/>
  <c r="K9" i="8"/>
  <c r="C93" i="9" s="1"/>
  <c r="I9" i="8"/>
  <c r="C71" i="9" s="1"/>
  <c r="G9" i="8"/>
  <c r="F9" i="8"/>
  <c r="L9" i="8" s="1"/>
  <c r="L11" i="8" s="1"/>
  <c r="N11" i="8" s="1"/>
  <c r="O12" i="8" s="1"/>
  <c r="D9" i="8"/>
  <c r="D11" i="8" s="1"/>
  <c r="D13" i="8" s="1"/>
  <c r="E30" i="7"/>
  <c r="Q13" i="24" s="1"/>
  <c r="R13" i="24" s="1"/>
  <c r="E29" i="7"/>
  <c r="E28" i="7"/>
  <c r="Q59" i="24" s="1"/>
  <c r="D26" i="7"/>
  <c r="P55" i="24" s="1"/>
  <c r="D23" i="7"/>
  <c r="E19" i="7"/>
  <c r="E16" i="7"/>
  <c r="E8" i="7"/>
  <c r="E23" i="7" s="1"/>
  <c r="E5" i="7"/>
  <c r="E27" i="7" s="1"/>
  <c r="Q56" i="24" s="1"/>
  <c r="E38" i="6"/>
  <c r="E37" i="6"/>
  <c r="E36" i="6"/>
  <c r="Q8" i="24" s="1"/>
  <c r="E35" i="6"/>
  <c r="Q10" i="24" s="1"/>
  <c r="E34" i="6"/>
  <c r="Q14" i="24" s="1"/>
  <c r="E33" i="6"/>
  <c r="D32" i="6"/>
  <c r="D30" i="6"/>
  <c r="D29" i="6"/>
  <c r="D38" i="6" s="1"/>
  <c r="F15" i="5" s="1"/>
  <c r="E24" i="6"/>
  <c r="E40" i="6" s="1"/>
  <c r="D24" i="6"/>
  <c r="N39" i="4"/>
  <c r="L39" i="4"/>
  <c r="F39" i="4"/>
  <c r="D39" i="4"/>
  <c r="R37" i="4"/>
  <c r="R35" i="4"/>
  <c r="N35" i="4"/>
  <c r="P33" i="4"/>
  <c r="R33" i="4" s="1"/>
  <c r="R31" i="4"/>
  <c r="N31" i="4"/>
  <c r="R29" i="4"/>
  <c r="P26" i="4"/>
  <c r="P39" i="4" s="1"/>
  <c r="N26" i="4"/>
  <c r="L26" i="4"/>
  <c r="J26" i="4"/>
  <c r="J39" i="4" s="1"/>
  <c r="H26" i="4"/>
  <c r="H39" i="4" s="1"/>
  <c r="F26" i="4"/>
  <c r="D26" i="4"/>
  <c r="B26" i="4"/>
  <c r="B39" i="4" s="1"/>
  <c r="R24" i="4"/>
  <c r="R22" i="4"/>
  <c r="P20" i="4"/>
  <c r="R20" i="4" s="1"/>
  <c r="R18" i="4"/>
  <c r="R16" i="4"/>
  <c r="R14" i="4"/>
  <c r="R12" i="4"/>
  <c r="R10" i="4"/>
  <c r="R8" i="4"/>
  <c r="R6" i="4"/>
  <c r="D34" i="3"/>
  <c r="F7" i="3"/>
  <c r="F12" i="3" s="1"/>
  <c r="F16" i="3" s="1"/>
  <c r="F20" i="3" s="1"/>
  <c r="F28" i="3" s="1"/>
  <c r="F32" i="3" s="1"/>
  <c r="D7" i="3"/>
  <c r="D12" i="3" s="1"/>
  <c r="D16" i="3" s="1"/>
  <c r="D20" i="3" s="1"/>
  <c r="D28" i="3" s="1"/>
  <c r="F67" i="2"/>
  <c r="F70" i="2" s="1"/>
  <c r="D67" i="2"/>
  <c r="D70" i="2" s="1"/>
  <c r="F59" i="2"/>
  <c r="F60" i="2" s="1"/>
  <c r="F72" i="2" s="1"/>
  <c r="F75" i="2" s="1"/>
  <c r="D59" i="2"/>
  <c r="D54" i="2"/>
  <c r="F48" i="2"/>
  <c r="D44" i="2"/>
  <c r="D48" i="2" s="1"/>
  <c r="D41" i="2"/>
  <c r="F29" i="2"/>
  <c r="F28" i="2"/>
  <c r="D28" i="2"/>
  <c r="D27" i="2"/>
  <c r="D21" i="2"/>
  <c r="D10" i="2"/>
  <c r="D15" i="2" s="1"/>
  <c r="D9" i="2"/>
  <c r="D8" i="2"/>
  <c r="F7" i="2"/>
  <c r="F6" i="2"/>
  <c r="F15" i="2" s="1"/>
  <c r="F30" i="2" s="1"/>
  <c r="Z82" i="1"/>
  <c r="Q81" i="1"/>
  <c r="Z80" i="1"/>
  <c r="H76" i="1"/>
  <c r="AE75" i="1"/>
  <c r="AI75" i="1" s="1"/>
  <c r="AJ75" i="1" s="1"/>
  <c r="N75" i="1"/>
  <c r="R75" i="1" s="1"/>
  <c r="AE72" i="1"/>
  <c r="AI72" i="1" s="1"/>
  <c r="AJ72" i="1" s="1"/>
  <c r="N72" i="1"/>
  <c r="R72" i="1" s="1"/>
  <c r="C72" i="1"/>
  <c r="AC69" i="1"/>
  <c r="AC73" i="1" s="1"/>
  <c r="AL68" i="1"/>
  <c r="S68" i="1"/>
  <c r="AE68" i="1" s="1"/>
  <c r="AI68" i="1" s="1"/>
  <c r="AJ68" i="1" s="1"/>
  <c r="N68" i="1"/>
  <c r="R68" i="1" s="1"/>
  <c r="C68" i="1"/>
  <c r="AA66" i="1"/>
  <c r="AA69" i="1" s="1"/>
  <c r="AA73" i="1" s="1"/>
  <c r="AA80" i="1" s="1"/>
  <c r="W66" i="1"/>
  <c r="W69" i="1" s="1"/>
  <c r="W73" i="1" s="1"/>
  <c r="W80" i="1" s="1"/>
  <c r="S66" i="1"/>
  <c r="S69" i="1" s="1"/>
  <c r="S73" i="1" s="1"/>
  <c r="S76" i="1" s="1"/>
  <c r="L66" i="1"/>
  <c r="L69" i="1" s="1"/>
  <c r="L73" i="1" s="1"/>
  <c r="L76" i="1" s="1"/>
  <c r="K66" i="1"/>
  <c r="K69" i="1" s="1"/>
  <c r="K73" i="1" s="1"/>
  <c r="K76" i="1" s="1"/>
  <c r="H66" i="1"/>
  <c r="H69" i="1" s="1"/>
  <c r="H73" i="1" s="1"/>
  <c r="H80" i="1" s="1"/>
  <c r="G66" i="1"/>
  <c r="G69" i="1" s="1"/>
  <c r="G73" i="1" s="1"/>
  <c r="G76" i="1" s="1"/>
  <c r="D66" i="1"/>
  <c r="D69" i="1" s="1"/>
  <c r="D73" i="1" s="1"/>
  <c r="D76" i="1" s="1"/>
  <c r="D56" i="1" s="1"/>
  <c r="B66" i="1"/>
  <c r="B69" i="1" s="1"/>
  <c r="B73" i="1" s="1"/>
  <c r="B76" i="1" s="1"/>
  <c r="AH65" i="1"/>
  <c r="AL67" i="1" s="1"/>
  <c r="AG65" i="1"/>
  <c r="AI65" i="1" s="1"/>
  <c r="AJ65" i="1" s="1"/>
  <c r="AE65" i="1"/>
  <c r="P65" i="1"/>
  <c r="N65" i="1"/>
  <c r="R65" i="1" s="1"/>
  <c r="C65" i="1"/>
  <c r="AH64" i="1"/>
  <c r="AG56" i="1" s="1"/>
  <c r="AB64" i="1"/>
  <c r="AE64" i="1" s="1"/>
  <c r="AI64" i="1" s="1"/>
  <c r="AJ64" i="1" s="1"/>
  <c r="Q64" i="1"/>
  <c r="H64" i="1"/>
  <c r="F64" i="1"/>
  <c r="E64" i="1"/>
  <c r="N64" i="1" s="1"/>
  <c r="R64" i="1" s="1"/>
  <c r="C64" i="1"/>
  <c r="AK62" i="1"/>
  <c r="AK66" i="1" s="1"/>
  <c r="AK69" i="1" s="1"/>
  <c r="AK73" i="1" s="1"/>
  <c r="AK76" i="1" s="1"/>
  <c r="AD62" i="1"/>
  <c r="AD66" i="1" s="1"/>
  <c r="AD69" i="1" s="1"/>
  <c r="AD73" i="1" s="1"/>
  <c r="AD76" i="1" s="1"/>
  <c r="AD81" i="1" s="1"/>
  <c r="AC62" i="1"/>
  <c r="AC66" i="1" s="1"/>
  <c r="AB62" i="1"/>
  <c r="AB66" i="1" s="1"/>
  <c r="AB69" i="1" s="1"/>
  <c r="AB73" i="1" s="1"/>
  <c r="AA62" i="1"/>
  <c r="Z62" i="1"/>
  <c r="Z66" i="1" s="1"/>
  <c r="Z69" i="1" s="1"/>
  <c r="Z73" i="1" s="1"/>
  <c r="Z76" i="1" s="1"/>
  <c r="Y62" i="1"/>
  <c r="Y66" i="1" s="1"/>
  <c r="Y69" i="1" s="1"/>
  <c r="Y73" i="1" s="1"/>
  <c r="X62" i="1"/>
  <c r="X66" i="1" s="1"/>
  <c r="X69" i="1" s="1"/>
  <c r="X73" i="1" s="1"/>
  <c r="W62" i="1"/>
  <c r="V62" i="1"/>
  <c r="V66" i="1" s="1"/>
  <c r="V69" i="1" s="1"/>
  <c r="V73" i="1" s="1"/>
  <c r="V76" i="1" s="1"/>
  <c r="U62" i="1"/>
  <c r="U66" i="1" s="1"/>
  <c r="U69" i="1" s="1"/>
  <c r="U73" i="1" s="1"/>
  <c r="T62" i="1"/>
  <c r="T66" i="1" s="1"/>
  <c r="T69" i="1" s="1"/>
  <c r="T73" i="1" s="1"/>
  <c r="S62" i="1"/>
  <c r="N62" i="1"/>
  <c r="M62" i="1"/>
  <c r="M66" i="1" s="1"/>
  <c r="M69" i="1" s="1"/>
  <c r="M73" i="1" s="1"/>
  <c r="M76" i="1" s="1"/>
  <c r="L62" i="1"/>
  <c r="K62" i="1"/>
  <c r="J62" i="1"/>
  <c r="J66" i="1" s="1"/>
  <c r="J69" i="1" s="1"/>
  <c r="J73" i="1" s="1"/>
  <c r="J76" i="1" s="1"/>
  <c r="I62" i="1"/>
  <c r="I66" i="1" s="1"/>
  <c r="I69" i="1" s="1"/>
  <c r="I73" i="1" s="1"/>
  <c r="I76" i="1" s="1"/>
  <c r="H62" i="1"/>
  <c r="G62" i="1"/>
  <c r="F62" i="1"/>
  <c r="F66" i="1" s="1"/>
  <c r="F69" i="1" s="1"/>
  <c r="F73" i="1" s="1"/>
  <c r="F76" i="1" s="1"/>
  <c r="E62" i="1"/>
  <c r="E66" i="1" s="1"/>
  <c r="E69" i="1" s="1"/>
  <c r="E73" i="1" s="1"/>
  <c r="E76" i="1" s="1"/>
  <c r="D62" i="1"/>
  <c r="B62" i="1"/>
  <c r="AI61" i="1"/>
  <c r="AJ61" i="1" s="1"/>
  <c r="AH61" i="1"/>
  <c r="AE61" i="1"/>
  <c r="Q61" i="1"/>
  <c r="R61" i="1" s="1"/>
  <c r="N61" i="1"/>
  <c r="C61" i="1"/>
  <c r="AI60" i="1"/>
  <c r="AJ60" i="1" s="1"/>
  <c r="AG60" i="1"/>
  <c r="AE60" i="1"/>
  <c r="AE62" i="1" s="1"/>
  <c r="AE66" i="1" s="1"/>
  <c r="AE69" i="1" s="1"/>
  <c r="AE73" i="1" s="1"/>
  <c r="AE76" i="1" s="1"/>
  <c r="P60" i="1"/>
  <c r="R60" i="1" s="1"/>
  <c r="R62" i="1" s="1"/>
  <c r="N60" i="1"/>
  <c r="C60" i="1"/>
  <c r="AK58" i="1"/>
  <c r="AC58" i="1"/>
  <c r="AB58" i="1"/>
  <c r="AA58" i="1"/>
  <c r="Z58" i="1"/>
  <c r="Y58" i="1"/>
  <c r="X58" i="1"/>
  <c r="X79" i="1" s="1"/>
  <c r="W58" i="1"/>
  <c r="V58" i="1"/>
  <c r="U58" i="1"/>
  <c r="T58" i="1"/>
  <c r="T79" i="1" s="1"/>
  <c r="M58" i="1"/>
  <c r="C90" i="9" s="1"/>
  <c r="L58" i="1"/>
  <c r="K58" i="1"/>
  <c r="J58" i="1"/>
  <c r="I58" i="1"/>
  <c r="C46" i="9" s="1"/>
  <c r="H58" i="1"/>
  <c r="G58" i="1"/>
  <c r="E58" i="1"/>
  <c r="C2" i="9" s="1"/>
  <c r="C6" i="9" s="1"/>
  <c r="I6" i="9" s="1"/>
  <c r="AI57" i="1"/>
  <c r="AJ57" i="1" s="1"/>
  <c r="AH57" i="1"/>
  <c r="AG57" i="1"/>
  <c r="AE57" i="1"/>
  <c r="N57" i="1"/>
  <c r="C57" i="1"/>
  <c r="AH56" i="1"/>
  <c r="AE56" i="1"/>
  <c r="AI56" i="1" s="1"/>
  <c r="AD56" i="1"/>
  <c r="Q56" i="1"/>
  <c r="P56" i="1"/>
  <c r="AH55" i="1"/>
  <c r="AG55" i="1"/>
  <c r="S55" i="1"/>
  <c r="Q55" i="1"/>
  <c r="N55" i="1"/>
  <c r="H55" i="1"/>
  <c r="D29" i="8" s="1"/>
  <c r="C55" i="1"/>
  <c r="B55" i="1"/>
  <c r="B58" i="1" s="1"/>
  <c r="B79" i="1" s="1"/>
  <c r="S54" i="1"/>
  <c r="AE54" i="1" s="1"/>
  <c r="AI54" i="1" s="1"/>
  <c r="AH53" i="1"/>
  <c r="AG53" i="1"/>
  <c r="AE53" i="1"/>
  <c r="AI53" i="1" s="1"/>
  <c r="P53" i="1"/>
  <c r="N53" i="1"/>
  <c r="R53" i="1" s="1"/>
  <c r="C53" i="1"/>
  <c r="AO52" i="1"/>
  <c r="AI52" i="1"/>
  <c r="AL52" i="1" s="1"/>
  <c r="AG52" i="1"/>
  <c r="AE52" i="1"/>
  <c r="P52" i="1"/>
  <c r="R52" i="1" s="1"/>
  <c r="N52" i="1"/>
  <c r="C52" i="1"/>
  <c r="AE51" i="1"/>
  <c r="AI51" i="1" s="1"/>
  <c r="N51" i="1"/>
  <c r="R51" i="1" s="1"/>
  <c r="C51" i="1"/>
  <c r="AI50" i="1"/>
  <c r="AL50" i="1" s="1"/>
  <c r="AG50" i="1"/>
  <c r="AE50" i="1"/>
  <c r="P50" i="1"/>
  <c r="R50" i="1" s="1"/>
  <c r="N50" i="1"/>
  <c r="C50" i="1"/>
  <c r="AG49" i="1"/>
  <c r="AE49" i="1"/>
  <c r="AI49" i="1" s="1"/>
  <c r="P49" i="1"/>
  <c r="F49" i="1"/>
  <c r="F58" i="1" s="1"/>
  <c r="C49" i="1"/>
  <c r="AI48" i="1"/>
  <c r="AL48" i="1" s="1"/>
  <c r="AG48" i="1"/>
  <c r="AE48" i="1"/>
  <c r="P48" i="1"/>
  <c r="R48" i="1" s="1"/>
  <c r="N48" i="1"/>
  <c r="C48" i="1"/>
  <c r="AK47" i="1"/>
  <c r="AD47" i="1"/>
  <c r="AC47" i="1"/>
  <c r="AB47" i="1"/>
  <c r="AA47" i="1"/>
  <c r="Z47" i="1"/>
  <c r="Y47" i="1"/>
  <c r="X47" i="1"/>
  <c r="W47" i="1"/>
  <c r="V47" i="1"/>
  <c r="U47" i="1"/>
  <c r="T47" i="1"/>
  <c r="S47" i="1"/>
  <c r="M47" i="1"/>
  <c r="L47" i="1"/>
  <c r="K47" i="1"/>
  <c r="J47" i="1"/>
  <c r="I47" i="1"/>
  <c r="I79" i="1" s="1"/>
  <c r="H47" i="1"/>
  <c r="G47" i="1"/>
  <c r="E47" i="1"/>
  <c r="D47" i="1"/>
  <c r="B47" i="1"/>
  <c r="AE46" i="1"/>
  <c r="AI46" i="1" s="1"/>
  <c r="AJ46" i="1" s="1"/>
  <c r="N46" i="1"/>
  <c r="R46" i="1" s="1"/>
  <c r="C46" i="1"/>
  <c r="AE45" i="1"/>
  <c r="AI45" i="1" s="1"/>
  <c r="AJ45" i="1" s="1"/>
  <c r="N45" i="1"/>
  <c r="R45" i="1" s="1"/>
  <c r="C45" i="1"/>
  <c r="AE44" i="1"/>
  <c r="AI44" i="1" s="1"/>
  <c r="AJ44" i="1" s="1"/>
  <c r="N44" i="1"/>
  <c r="R44" i="1" s="1"/>
  <c r="H44" i="1"/>
  <c r="C44" i="1"/>
  <c r="AI43" i="1"/>
  <c r="AJ43" i="1" s="1"/>
  <c r="AE43" i="1"/>
  <c r="R43" i="1"/>
  <c r="N43" i="1"/>
  <c r="C43" i="1"/>
  <c r="AG42" i="1"/>
  <c r="AE42" i="1"/>
  <c r="AI42" i="1" s="1"/>
  <c r="AJ42" i="1" s="1"/>
  <c r="N42" i="1"/>
  <c r="R42" i="1" s="1"/>
  <c r="C42" i="1"/>
  <c r="AG41" i="1"/>
  <c r="AE41" i="1"/>
  <c r="AI41" i="1" s="1"/>
  <c r="AJ41" i="1" s="1"/>
  <c r="R41" i="1"/>
  <c r="P41" i="1"/>
  <c r="N41" i="1"/>
  <c r="C41" i="1"/>
  <c r="AE40" i="1"/>
  <c r="AI40" i="1" s="1"/>
  <c r="AJ40" i="1" s="1"/>
  <c r="N40" i="1"/>
  <c r="R40" i="1" s="1"/>
  <c r="C40" i="1"/>
  <c r="AI39" i="1"/>
  <c r="AE39" i="1"/>
  <c r="AE38" i="1"/>
  <c r="AI38" i="1" s="1"/>
  <c r="AJ38" i="1" s="1"/>
  <c r="N38" i="1"/>
  <c r="R38" i="1" s="1"/>
  <c r="C38" i="1"/>
  <c r="AE37" i="1"/>
  <c r="AI37" i="1" s="1"/>
  <c r="AJ37" i="1" s="1"/>
  <c r="N37" i="1"/>
  <c r="R37" i="1" s="1"/>
  <c r="C37" i="1"/>
  <c r="AE36" i="1"/>
  <c r="AI36" i="1" s="1"/>
  <c r="AJ36" i="1" s="1"/>
  <c r="AC36" i="1"/>
  <c r="R36" i="1"/>
  <c r="N36" i="1"/>
  <c r="C36" i="1"/>
  <c r="AI35" i="1"/>
  <c r="AJ35" i="1" s="1"/>
  <c r="AE35" i="1"/>
  <c r="R35" i="1"/>
  <c r="N35" i="1"/>
  <c r="C35" i="1"/>
  <c r="AH34" i="1"/>
  <c r="AE34" i="1"/>
  <c r="AI34" i="1" s="1"/>
  <c r="AJ34" i="1" s="1"/>
  <c r="AC34" i="1"/>
  <c r="R34" i="1"/>
  <c r="N34" i="1"/>
  <c r="C34" i="1"/>
  <c r="AI33" i="1"/>
  <c r="AJ33" i="1" s="1"/>
  <c r="AE33" i="1"/>
  <c r="R33" i="1"/>
  <c r="N33" i="1"/>
  <c r="C33" i="1"/>
  <c r="AI32" i="1"/>
  <c r="AJ32" i="1" s="1"/>
  <c r="AE32" i="1"/>
  <c r="R32" i="1"/>
  <c r="N32" i="1"/>
  <c r="C32" i="1"/>
  <c r="AG31" i="1"/>
  <c r="AE31" i="1"/>
  <c r="AI31" i="1" s="1"/>
  <c r="AJ31" i="1" s="1"/>
  <c r="P31" i="1"/>
  <c r="F31" i="1"/>
  <c r="N31" i="1" s="1"/>
  <c r="R31" i="1" s="1"/>
  <c r="C31" i="1"/>
  <c r="AG30" i="1"/>
  <c r="AI30" i="1" s="1"/>
  <c r="AJ30" i="1" s="1"/>
  <c r="AE30" i="1"/>
  <c r="F30" i="1"/>
  <c r="N30" i="1" s="1"/>
  <c r="R30" i="1" s="1"/>
  <c r="C30" i="1"/>
  <c r="AI29" i="1"/>
  <c r="AE29" i="1"/>
  <c r="AE28" i="1"/>
  <c r="AI28" i="1" s="1"/>
  <c r="AJ28" i="1" s="1"/>
  <c r="N28" i="1"/>
  <c r="R28" i="1" s="1"/>
  <c r="C28" i="1"/>
  <c r="AI27" i="1"/>
  <c r="AE27" i="1"/>
  <c r="AE47" i="1" s="1"/>
  <c r="AK26" i="1"/>
  <c r="AO49" i="1" s="1"/>
  <c r="AD26" i="1"/>
  <c r="AB26" i="1"/>
  <c r="AB79" i="1" s="1"/>
  <c r="AA26" i="1"/>
  <c r="Z26" i="1"/>
  <c r="Y26" i="1"/>
  <c r="X26" i="1"/>
  <c r="W26" i="1"/>
  <c r="V26" i="1"/>
  <c r="U26" i="1"/>
  <c r="T26" i="1"/>
  <c r="S26" i="1"/>
  <c r="M26" i="1"/>
  <c r="K26" i="1"/>
  <c r="I26" i="1"/>
  <c r="G26" i="1"/>
  <c r="E26" i="1"/>
  <c r="D26" i="1"/>
  <c r="B26" i="1"/>
  <c r="AG25" i="1"/>
  <c r="AE25" i="1"/>
  <c r="AI25" i="1" s="1"/>
  <c r="AJ25" i="1" s="1"/>
  <c r="N25" i="1"/>
  <c r="C25" i="1"/>
  <c r="AI24" i="1"/>
  <c r="AJ24" i="1" s="1"/>
  <c r="AE24" i="1"/>
  <c r="R24" i="1"/>
  <c r="N24" i="1"/>
  <c r="C24" i="1"/>
  <c r="AI23" i="1"/>
  <c r="AJ23" i="1" s="1"/>
  <c r="AE23" i="1"/>
  <c r="R23" i="1"/>
  <c r="N23" i="1"/>
  <c r="C23" i="1"/>
  <c r="AH22" i="1"/>
  <c r="AG22" i="1"/>
  <c r="AI22" i="1" s="1"/>
  <c r="AJ22" i="1" s="1"/>
  <c r="AE22" i="1"/>
  <c r="N22" i="1"/>
  <c r="C22" i="1"/>
  <c r="AE21" i="1"/>
  <c r="AI21" i="1" s="1"/>
  <c r="AJ21" i="1" s="1"/>
  <c r="N21" i="1"/>
  <c r="R21" i="1" s="1"/>
  <c r="C21" i="1"/>
  <c r="AM20" i="1"/>
  <c r="AI20" i="1"/>
  <c r="AJ20" i="1" s="1"/>
  <c r="AE20" i="1"/>
  <c r="R20" i="1"/>
  <c r="Q20" i="1"/>
  <c r="N20" i="1"/>
  <c r="C20" i="1"/>
  <c r="AM19" i="1"/>
  <c r="AH19" i="1"/>
  <c r="AE19" i="1"/>
  <c r="AI19" i="1" s="1"/>
  <c r="AJ19" i="1" s="1"/>
  <c r="Q19" i="1"/>
  <c r="H19" i="1"/>
  <c r="N19" i="1" s="1"/>
  <c r="R19" i="1" s="1"/>
  <c r="E19" i="1"/>
  <c r="C19" i="1"/>
  <c r="AI18" i="1"/>
  <c r="AJ18" i="1" s="1"/>
  <c r="AE18" i="1"/>
  <c r="R18" i="1"/>
  <c r="N18" i="1"/>
  <c r="C18" i="1"/>
  <c r="AG17" i="1"/>
  <c r="AG79" i="1" s="1"/>
  <c r="AE17" i="1"/>
  <c r="AI17" i="1" s="1"/>
  <c r="AJ17" i="1" s="1"/>
  <c r="P17" i="1"/>
  <c r="L17" i="1"/>
  <c r="L26" i="1" s="1"/>
  <c r="H17" i="1"/>
  <c r="F17" i="1"/>
  <c r="N17" i="1" s="1"/>
  <c r="R17" i="1" s="1"/>
  <c r="C17" i="1"/>
  <c r="AE16" i="1"/>
  <c r="AI16" i="1" s="1"/>
  <c r="R16" i="1"/>
  <c r="N16" i="1"/>
  <c r="C16" i="1"/>
  <c r="AI15" i="1"/>
  <c r="AJ15" i="1" s="1"/>
  <c r="AH15" i="1"/>
  <c r="AE15" i="1"/>
  <c r="N15" i="1"/>
  <c r="R15" i="1" s="1"/>
  <c r="C15" i="1"/>
  <c r="AE14" i="1"/>
  <c r="AI14" i="1" s="1"/>
  <c r="AJ14" i="1" s="1"/>
  <c r="N14" i="1"/>
  <c r="R14" i="1" s="1"/>
  <c r="C14" i="1"/>
  <c r="AH13" i="1"/>
  <c r="AE13" i="1"/>
  <c r="AI13" i="1" s="1"/>
  <c r="AJ13" i="1" s="1"/>
  <c r="R13" i="1"/>
  <c r="N13" i="1"/>
  <c r="C13" i="1"/>
  <c r="AI12" i="1"/>
  <c r="AJ12" i="1" s="1"/>
  <c r="AE12" i="1"/>
  <c r="N12" i="1"/>
  <c r="R12" i="1" s="1"/>
  <c r="C12" i="1"/>
  <c r="AE11" i="1"/>
  <c r="AI11" i="1" s="1"/>
  <c r="AJ11" i="1" s="1"/>
  <c r="J11" i="1"/>
  <c r="J26" i="1" s="1"/>
  <c r="H11" i="1"/>
  <c r="F11" i="1"/>
  <c r="N11" i="1" s="1"/>
  <c r="R11" i="1" s="1"/>
  <c r="C11" i="1"/>
  <c r="AH10" i="1"/>
  <c r="AC10" i="1"/>
  <c r="AE10" i="1" s="1"/>
  <c r="AI10" i="1" s="1"/>
  <c r="AJ10" i="1" s="1"/>
  <c r="N10" i="1"/>
  <c r="R10" i="1" s="1"/>
  <c r="C10" i="1"/>
  <c r="AH9" i="1"/>
  <c r="AI9" i="1" s="1"/>
  <c r="AJ9" i="1" s="1"/>
  <c r="AE9" i="1"/>
  <c r="Q9" i="1"/>
  <c r="N9" i="1"/>
  <c r="R9" i="1" s="1"/>
  <c r="F9" i="1"/>
  <c r="F26" i="1" s="1"/>
  <c r="C9" i="1"/>
  <c r="AM8" i="1"/>
  <c r="AH8" i="1"/>
  <c r="AC8" i="1"/>
  <c r="AC26" i="1" s="1"/>
  <c r="H8" i="1"/>
  <c r="N8" i="1" s="1"/>
  <c r="R8" i="1" s="1"/>
  <c r="C8" i="1"/>
  <c r="AE7" i="1"/>
  <c r="AI7" i="1" s="1"/>
  <c r="AJ7" i="1" s="1"/>
  <c r="R7" i="1"/>
  <c r="N7" i="1"/>
  <c r="C7" i="1"/>
  <c r="AI6" i="1"/>
  <c r="AJ6" i="1" s="1"/>
  <c r="AE6" i="1"/>
  <c r="N6" i="1"/>
  <c r="R6" i="1" s="1"/>
  <c r="C6" i="1"/>
  <c r="AE5" i="1"/>
  <c r="AI5" i="1" s="1"/>
  <c r="R5" i="1"/>
  <c r="N5" i="1"/>
  <c r="C5" i="1"/>
  <c r="C24" i="23" l="1"/>
  <c r="C83" i="19"/>
  <c r="C78" i="19"/>
  <c r="C84" i="19"/>
  <c r="C23" i="23" s="1"/>
  <c r="C61" i="19"/>
  <c r="C48" i="19"/>
  <c r="C66" i="19"/>
  <c r="C72" i="19"/>
  <c r="C73" i="19"/>
  <c r="C33" i="23" s="1"/>
  <c r="I64" i="23"/>
  <c r="I66" i="23" s="1"/>
  <c r="I68" i="23" s="1"/>
  <c r="H67" i="23" s="1"/>
  <c r="G64" i="23"/>
  <c r="C58" i="23"/>
  <c r="G21" i="23"/>
  <c r="G40" i="23" s="1"/>
  <c r="G44" i="23" s="1"/>
  <c r="C50" i="19"/>
  <c r="C67" i="19"/>
  <c r="Q6" i="19"/>
  <c r="Q10" i="19"/>
  <c r="R10" i="19" s="1"/>
  <c r="Q25" i="19"/>
  <c r="Q7" i="19"/>
  <c r="Q11" i="19"/>
  <c r="R11" i="19" s="1"/>
  <c r="C34" i="23" s="1"/>
  <c r="Q13" i="19"/>
  <c r="Q8" i="19"/>
  <c r="R8" i="19" s="1"/>
  <c r="C31" i="23" s="1"/>
  <c r="Q12" i="19"/>
  <c r="Q18" i="19"/>
  <c r="Q22" i="19"/>
  <c r="Q26" i="19"/>
  <c r="Q20" i="19"/>
  <c r="Q5" i="19"/>
  <c r="Q9" i="19"/>
  <c r="R9" i="19" s="1"/>
  <c r="Q19" i="19"/>
  <c r="Q23" i="19"/>
  <c r="O57" i="16"/>
  <c r="O63" i="22"/>
  <c r="O92" i="22" s="1"/>
  <c r="C103" i="12"/>
  <c r="E103" i="12" s="1"/>
  <c r="N21" i="23"/>
  <c r="R21" i="23"/>
  <c r="Q65" i="16"/>
  <c r="D4" i="20" s="1"/>
  <c r="Q64" i="16"/>
  <c r="D3" i="20" s="1"/>
  <c r="D6" i="20" s="1"/>
  <c r="F13" i="17"/>
  <c r="F65" i="17"/>
  <c r="F37" i="17"/>
  <c r="F74" i="17"/>
  <c r="F91" i="17"/>
  <c r="P44" i="22"/>
  <c r="P46" i="22" s="1"/>
  <c r="P47" i="22" s="1"/>
  <c r="E233" i="17"/>
  <c r="F233" i="17" s="1"/>
  <c r="F232" i="17"/>
  <c r="F105" i="17"/>
  <c r="E29" i="17"/>
  <c r="E133" i="17" s="1"/>
  <c r="F27" i="17"/>
  <c r="F79" i="17"/>
  <c r="O13" i="22"/>
  <c r="Q13" i="22" s="1"/>
  <c r="D249" i="17"/>
  <c r="O49" i="16" s="1"/>
  <c r="AC4" i="14" s="1"/>
  <c r="AC20" i="14" s="1"/>
  <c r="F114" i="17"/>
  <c r="O18" i="22"/>
  <c r="O21" i="22" s="1"/>
  <c r="D247" i="17"/>
  <c r="O50" i="16" s="1"/>
  <c r="F239" i="17"/>
  <c r="Q5" i="16"/>
  <c r="N26" i="16"/>
  <c r="N41" i="16"/>
  <c r="Q41" i="16" s="1"/>
  <c r="C100" i="12"/>
  <c r="E100" i="12" s="1"/>
  <c r="C23" i="12"/>
  <c r="E23" i="12" s="1"/>
  <c r="C62" i="12"/>
  <c r="E62" i="12" s="1"/>
  <c r="Q20" i="16"/>
  <c r="E227" i="17"/>
  <c r="G226" i="17"/>
  <c r="C98" i="12"/>
  <c r="E98" i="12" s="1"/>
  <c r="G55" i="23"/>
  <c r="Y10" i="23"/>
  <c r="C10" i="23" s="1"/>
  <c r="E264" i="17"/>
  <c r="V51" i="16"/>
  <c r="T51" i="16"/>
  <c r="O29" i="22"/>
  <c r="O31" i="22" s="1"/>
  <c r="D248" i="17"/>
  <c r="O52" i="16" s="1"/>
  <c r="C27" i="12"/>
  <c r="E27" i="12" s="1"/>
  <c r="C102" i="12"/>
  <c r="E102" i="12" s="1"/>
  <c r="F61" i="16"/>
  <c r="D47" i="16"/>
  <c r="C64" i="12"/>
  <c r="E64" i="12" s="1"/>
  <c r="G61" i="16"/>
  <c r="V53" i="16"/>
  <c r="T53" i="16"/>
  <c r="V55" i="16"/>
  <c r="T55" i="16"/>
  <c r="C155" i="12"/>
  <c r="E155" i="12" s="1"/>
  <c r="C169" i="12"/>
  <c r="E169" i="12" s="1"/>
  <c r="C81" i="12"/>
  <c r="E81" i="12" s="1"/>
  <c r="C190" i="12"/>
  <c r="E190" i="12" s="1"/>
  <c r="H61" i="16"/>
  <c r="J61" i="16"/>
  <c r="C79" i="12"/>
  <c r="E79" i="12" s="1"/>
  <c r="C170" i="12"/>
  <c r="E170" i="12" s="1"/>
  <c r="C186" i="12"/>
  <c r="E186" i="12" s="1"/>
  <c r="E61" i="16"/>
  <c r="I61" i="16"/>
  <c r="M21" i="23"/>
  <c r="U21" i="23"/>
  <c r="Q35" i="16"/>
  <c r="C77" i="12"/>
  <c r="E77" i="12" s="1"/>
  <c r="C151" i="12"/>
  <c r="E151" i="12" s="1"/>
  <c r="S13" i="14"/>
  <c r="U24" i="14"/>
  <c r="U36" i="14" s="1"/>
  <c r="E277" i="17"/>
  <c r="F277" i="17" s="1"/>
  <c r="P25" i="16"/>
  <c r="E210" i="17"/>
  <c r="P22" i="16"/>
  <c r="J85" i="22"/>
  <c r="I85" i="22"/>
  <c r="D85" i="22"/>
  <c r="H85" i="22"/>
  <c r="L85" i="22"/>
  <c r="Q91" i="22"/>
  <c r="N88" i="22"/>
  <c r="N26" i="22"/>
  <c r="Q26" i="22" s="1"/>
  <c r="R26" i="22" s="1"/>
  <c r="N82" i="22"/>
  <c r="Q82" i="22" s="1"/>
  <c r="N54" i="22"/>
  <c r="G85" i="22"/>
  <c r="Q30" i="22"/>
  <c r="Q40" i="22"/>
  <c r="N78" i="22"/>
  <c r="Q8" i="22"/>
  <c r="N41" i="22"/>
  <c r="C85" i="22"/>
  <c r="N10" i="22"/>
  <c r="N11" i="22" s="1"/>
  <c r="D9" i="20"/>
  <c r="N66" i="16"/>
  <c r="N69" i="16" s="1"/>
  <c r="N71" i="16" s="1"/>
  <c r="F27" i="15"/>
  <c r="D47" i="15"/>
  <c r="F47" i="15" s="1"/>
  <c r="F86" i="15"/>
  <c r="S24" i="14"/>
  <c r="S36" i="14" s="1"/>
  <c r="I56" i="14"/>
  <c r="I27" i="14"/>
  <c r="I39" i="14" s="1"/>
  <c r="C25" i="12"/>
  <c r="E25" i="12" s="1"/>
  <c r="C29" i="12"/>
  <c r="E29" i="12" s="1"/>
  <c r="C140" i="12"/>
  <c r="E140" i="12" s="1"/>
  <c r="O26" i="14"/>
  <c r="O38" i="14" s="1"/>
  <c r="I20" i="14"/>
  <c r="I32" i="14" s="1"/>
  <c r="E39" i="14"/>
  <c r="K26" i="14"/>
  <c r="K38" i="14" s="1"/>
  <c r="S26" i="14"/>
  <c r="S38" i="14" s="1"/>
  <c r="C157" i="12"/>
  <c r="E157" i="12" s="1"/>
  <c r="O27" i="14"/>
  <c r="O39" i="14" s="1"/>
  <c r="W27" i="14"/>
  <c r="W39" i="14" s="1"/>
  <c r="C78" i="12"/>
  <c r="C152" i="12"/>
  <c r="E152" i="12" s="1"/>
  <c r="C156" i="12"/>
  <c r="E156" i="12" s="1"/>
  <c r="E31" i="14"/>
  <c r="C22" i="12"/>
  <c r="E22" i="12" s="1"/>
  <c r="M31" i="14"/>
  <c r="C97" i="12"/>
  <c r="E97" i="12" s="1"/>
  <c r="U19" i="14"/>
  <c r="U31" i="14" s="1"/>
  <c r="M21" i="14"/>
  <c r="M33" i="14" s="1"/>
  <c r="U33" i="14"/>
  <c r="C137" i="12"/>
  <c r="E137" i="12" s="1"/>
  <c r="Q22" i="14"/>
  <c r="Q34" i="14" s="1"/>
  <c r="C26" i="12"/>
  <c r="E26" i="12" s="1"/>
  <c r="E23" i="14"/>
  <c r="E35" i="14" s="1"/>
  <c r="M35" i="14"/>
  <c r="C101" i="12"/>
  <c r="E101" i="12" s="1"/>
  <c r="Q26" i="14"/>
  <c r="Q38" i="14" s="1"/>
  <c r="U27" i="14"/>
  <c r="U39" i="14" s="1"/>
  <c r="AE19" i="14"/>
  <c r="I22" i="14"/>
  <c r="I34" i="14" s="1"/>
  <c r="U23" i="14"/>
  <c r="U35" i="14" s="1"/>
  <c r="E13" i="14"/>
  <c r="U13" i="14"/>
  <c r="Q39" i="14"/>
  <c r="Y27" i="14"/>
  <c r="Y39" i="14" s="1"/>
  <c r="U34" i="14"/>
  <c r="C66" i="12"/>
  <c r="E66" i="12" s="1"/>
  <c r="C136" i="12"/>
  <c r="E136" i="12" s="1"/>
  <c r="C171" i="12"/>
  <c r="E171" i="12" s="1"/>
  <c r="C210" i="12"/>
  <c r="E210" i="12" s="1"/>
  <c r="E215" i="12" s="1"/>
  <c r="AA5" i="14"/>
  <c r="S21" i="14"/>
  <c r="S33" i="14" s="1"/>
  <c r="O24" i="14"/>
  <c r="O36" i="14" s="1"/>
  <c r="AA9" i="14"/>
  <c r="C19" i="14"/>
  <c r="C31" i="14" s="1"/>
  <c r="Q21" i="14"/>
  <c r="Q33" i="14" s="1"/>
  <c r="Y35" i="14"/>
  <c r="G86" i="15"/>
  <c r="F56" i="15"/>
  <c r="C73" i="15"/>
  <c r="C85" i="15" s="1"/>
  <c r="D79" i="15"/>
  <c r="D85" i="15" s="1"/>
  <c r="C57" i="15"/>
  <c r="C70" i="15" s="1"/>
  <c r="D211" i="17"/>
  <c r="E146" i="17"/>
  <c r="P31" i="22"/>
  <c r="P32" i="22" s="1"/>
  <c r="Q20" i="22"/>
  <c r="P41" i="22"/>
  <c r="P42" i="22" s="1"/>
  <c r="E171" i="17"/>
  <c r="D205" i="17"/>
  <c r="AJ5" i="1"/>
  <c r="R47" i="1"/>
  <c r="AL53" i="1"/>
  <c r="AJ53" i="1"/>
  <c r="R66" i="1"/>
  <c r="R69" i="1" s="1"/>
  <c r="R73" i="1" s="1"/>
  <c r="R76" i="1" s="1"/>
  <c r="U76" i="1"/>
  <c r="U80" i="1"/>
  <c r="Y76" i="1"/>
  <c r="Y82" i="1" s="1"/>
  <c r="Y80" i="1"/>
  <c r="AJ49" i="1"/>
  <c r="AL49" i="1"/>
  <c r="T80" i="1"/>
  <c r="T76" i="1"/>
  <c r="C13" i="9"/>
  <c r="AL51" i="1"/>
  <c r="AJ51" i="1"/>
  <c r="C56" i="1"/>
  <c r="N56" i="1"/>
  <c r="R56" i="1" s="1"/>
  <c r="D58" i="1"/>
  <c r="D79" i="1" s="1"/>
  <c r="AC76" i="1"/>
  <c r="AC80" i="1"/>
  <c r="E32" i="11"/>
  <c r="AL56" i="1"/>
  <c r="AJ56" i="1"/>
  <c r="X80" i="1"/>
  <c r="X76" i="1"/>
  <c r="AJ16" i="1"/>
  <c r="AO16" i="1"/>
  <c r="N26" i="1"/>
  <c r="AI47" i="1"/>
  <c r="AJ47" i="1" s="1"/>
  <c r="S81" i="1"/>
  <c r="S82" i="1" s="1"/>
  <c r="S80" i="1"/>
  <c r="F47" i="1"/>
  <c r="F79" i="1" s="1"/>
  <c r="N47" i="1"/>
  <c r="C35" i="9"/>
  <c r="C79" i="9"/>
  <c r="L79" i="1"/>
  <c r="S58" i="1"/>
  <c r="S79" i="1" s="1"/>
  <c r="W79" i="1"/>
  <c r="AA79" i="1"/>
  <c r="AB80" i="1"/>
  <c r="AB76" i="1"/>
  <c r="AI62" i="1"/>
  <c r="AA76" i="1"/>
  <c r="AA82" i="1" s="1"/>
  <c r="D19" i="8"/>
  <c r="G19" i="8"/>
  <c r="G20" i="8" s="1"/>
  <c r="E17" i="8"/>
  <c r="G7" i="11"/>
  <c r="G3" i="11"/>
  <c r="G9" i="11"/>
  <c r="G11" i="11"/>
  <c r="D15" i="11"/>
  <c r="L41" i="11"/>
  <c r="L40" i="11"/>
  <c r="F60" i="11"/>
  <c r="E66" i="11"/>
  <c r="G80" i="11"/>
  <c r="F80" i="11"/>
  <c r="C86" i="11"/>
  <c r="E84" i="11"/>
  <c r="C85" i="11"/>
  <c r="E101" i="11"/>
  <c r="F112" i="11"/>
  <c r="F128" i="11"/>
  <c r="D136" i="11"/>
  <c r="H26" i="1"/>
  <c r="H79" i="1" s="1"/>
  <c r="AJ48" i="1"/>
  <c r="N49" i="1"/>
  <c r="AJ50" i="1"/>
  <c r="AJ52" i="1"/>
  <c r="AE55" i="1"/>
  <c r="AI55" i="1" s="1"/>
  <c r="AJ55" i="1" s="1"/>
  <c r="D213" i="12"/>
  <c r="I213" i="12" s="1"/>
  <c r="C191" i="11"/>
  <c r="E191" i="11" s="1"/>
  <c r="I52" i="9"/>
  <c r="C52" i="9"/>
  <c r="I96" i="9"/>
  <c r="C96" i="9"/>
  <c r="AI58" i="1"/>
  <c r="N66" i="1"/>
  <c r="N69" i="1" s="1"/>
  <c r="N73" i="1" s="1"/>
  <c r="N76" i="1" s="1"/>
  <c r="M79" i="1"/>
  <c r="AG81" i="1"/>
  <c r="AD82" i="1"/>
  <c r="D60" i="2"/>
  <c r="D72" i="2" s="1"/>
  <c r="Q80" i="24"/>
  <c r="AH85" i="1"/>
  <c r="E35" i="8"/>
  <c r="C7" i="9"/>
  <c r="C94" i="9"/>
  <c r="C95" i="9" s="1"/>
  <c r="C97" i="9" s="1"/>
  <c r="G5" i="11"/>
  <c r="G6" i="11"/>
  <c r="L11" i="11"/>
  <c r="P11" i="11" s="1"/>
  <c r="E64" i="11"/>
  <c r="F61" i="11"/>
  <c r="G74" i="11"/>
  <c r="F74" i="11"/>
  <c r="G77" i="11"/>
  <c r="F77" i="11"/>
  <c r="D86" i="11"/>
  <c r="D85" i="11"/>
  <c r="C119" i="11"/>
  <c r="F113" i="11"/>
  <c r="F110" i="11"/>
  <c r="F114" i="11"/>
  <c r="L143" i="11"/>
  <c r="L144" i="11"/>
  <c r="D70" i="12"/>
  <c r="J96" i="12"/>
  <c r="V98" i="12"/>
  <c r="AE8" i="1"/>
  <c r="AI8" i="1" s="1"/>
  <c r="AJ8" i="1" s="1"/>
  <c r="AH79" i="1"/>
  <c r="AH80" i="1" s="1"/>
  <c r="C57" i="9"/>
  <c r="J79" i="1"/>
  <c r="U79" i="1"/>
  <c r="Y79" i="1"/>
  <c r="AC79" i="1"/>
  <c r="V81" i="1"/>
  <c r="AL69" i="1"/>
  <c r="F34" i="3"/>
  <c r="H32" i="3"/>
  <c r="R26" i="4"/>
  <c r="R39" i="4" s="1"/>
  <c r="Q57" i="24"/>
  <c r="Q61" i="24" s="1"/>
  <c r="Q64" i="24" s="1"/>
  <c r="Q68" i="24" s="1"/>
  <c r="Q71" i="24" s="1"/>
  <c r="Q76" i="24"/>
  <c r="C49" i="9"/>
  <c r="G11" i="8"/>
  <c r="G13" i="8" s="1"/>
  <c r="C8" i="9"/>
  <c r="C50" i="9"/>
  <c r="E4" i="11"/>
  <c r="C13" i="11"/>
  <c r="F19" i="11"/>
  <c r="F23" i="11" s="1"/>
  <c r="D33" i="11"/>
  <c r="F57" i="11"/>
  <c r="D67" i="11"/>
  <c r="G79" i="11"/>
  <c r="F79" i="11"/>
  <c r="L93" i="11"/>
  <c r="L94" i="11"/>
  <c r="G108" i="11"/>
  <c r="G112" i="11" s="1"/>
  <c r="N110" i="11"/>
  <c r="P110" i="11" s="1"/>
  <c r="N111" i="11"/>
  <c r="P111" i="11" s="1"/>
  <c r="G115" i="11"/>
  <c r="F115" i="11"/>
  <c r="D119" i="11"/>
  <c r="F132" i="11"/>
  <c r="F126" i="11"/>
  <c r="E148" i="11"/>
  <c r="C151" i="11"/>
  <c r="C178" i="11"/>
  <c r="G79" i="1"/>
  <c r="C24" i="9"/>
  <c r="K79" i="1"/>
  <c r="C68" i="9"/>
  <c r="V79" i="1"/>
  <c r="Z79" i="1"/>
  <c r="AD58" i="1"/>
  <c r="AD79" i="1" s="1"/>
  <c r="AH81" i="1"/>
  <c r="W76" i="1"/>
  <c r="E79" i="1"/>
  <c r="V80" i="1"/>
  <c r="V82" i="1"/>
  <c r="D29" i="2"/>
  <c r="D30" i="2" s="1"/>
  <c r="D40" i="6"/>
  <c r="G16" i="9"/>
  <c r="I73" i="9"/>
  <c r="I95" i="9"/>
  <c r="I97" i="9" s="1"/>
  <c r="P4" i="11"/>
  <c r="F2" i="11"/>
  <c r="F7" i="11" s="1"/>
  <c r="G8" i="11"/>
  <c r="F8" i="11"/>
  <c r="G10" i="11"/>
  <c r="F22" i="11"/>
  <c r="F26" i="11"/>
  <c r="F56" i="11"/>
  <c r="P57" i="11"/>
  <c r="F58" i="11"/>
  <c r="F59" i="11"/>
  <c r="F62" i="11"/>
  <c r="C67" i="11"/>
  <c r="G109" i="11"/>
  <c r="G116" i="11"/>
  <c r="E118" i="11"/>
  <c r="F131" i="11"/>
  <c r="C136" i="11"/>
  <c r="C179" i="11"/>
  <c r="S62" i="24"/>
  <c r="C16" i="9"/>
  <c r="E168" i="11"/>
  <c r="G186" i="11"/>
  <c r="F186" i="11"/>
  <c r="G190" i="11"/>
  <c r="H54" i="12"/>
  <c r="H53" i="12"/>
  <c r="J66" i="12"/>
  <c r="I89" i="12"/>
  <c r="D90" i="12"/>
  <c r="J100" i="12"/>
  <c r="H110" i="12"/>
  <c r="J211" i="12"/>
  <c r="J212" i="12"/>
  <c r="J208" i="12"/>
  <c r="P21" i="23"/>
  <c r="H74" i="16"/>
  <c r="H76" i="16" s="1"/>
  <c r="E55" i="14" s="1"/>
  <c r="G55" i="14" s="1"/>
  <c r="I55" i="14" s="1"/>
  <c r="Q23" i="24"/>
  <c r="S63" i="24"/>
  <c r="S64" i="24" s="1"/>
  <c r="P57" i="24"/>
  <c r="P61" i="24" s="1"/>
  <c r="P64" i="24" s="1"/>
  <c r="P68" i="24" s="1"/>
  <c r="P71" i="24" s="1"/>
  <c r="K11" i="8"/>
  <c r="K13" i="8" s="1"/>
  <c r="E13" i="11"/>
  <c r="G19" i="11"/>
  <c r="G24" i="11" s="1"/>
  <c r="G54" i="11"/>
  <c r="C68" i="11" s="1"/>
  <c r="E82" i="11"/>
  <c r="D120" i="11"/>
  <c r="G125" i="11"/>
  <c r="G131" i="11" s="1"/>
  <c r="F133" i="11"/>
  <c r="K162" i="11"/>
  <c r="G185" i="11"/>
  <c r="F185" i="11"/>
  <c r="G187" i="11"/>
  <c r="F187" i="11"/>
  <c r="G189" i="11"/>
  <c r="K23" i="12"/>
  <c r="K31" i="12" s="1"/>
  <c r="J23" i="12"/>
  <c r="K45" i="12"/>
  <c r="J45" i="12"/>
  <c r="V62" i="12"/>
  <c r="K59" i="12"/>
  <c r="K63" i="12" s="1"/>
  <c r="K67" i="12"/>
  <c r="J67" i="12"/>
  <c r="J84" i="12"/>
  <c r="E26" i="6"/>
  <c r="K208" i="11"/>
  <c r="K203" i="11"/>
  <c r="N40" i="11"/>
  <c r="E41" i="11"/>
  <c r="E135" i="11"/>
  <c r="F130" i="11"/>
  <c r="G133" i="11"/>
  <c r="O145" i="11"/>
  <c r="K26" i="12"/>
  <c r="K25" i="12"/>
  <c r="K27" i="12"/>
  <c r="K64" i="12"/>
  <c r="H71" i="12"/>
  <c r="H72" i="12" s="1"/>
  <c r="H73" i="12" s="1"/>
  <c r="V78" i="12"/>
  <c r="K76" i="12"/>
  <c r="K81" i="12" s="1"/>
  <c r="H90" i="12"/>
  <c r="H92" i="12" s="1"/>
  <c r="H93" i="12" s="1"/>
  <c r="H91" i="12"/>
  <c r="G184" i="11"/>
  <c r="E193" i="11"/>
  <c r="V24" i="12"/>
  <c r="J25" i="12"/>
  <c r="K28" i="12"/>
  <c r="U28" i="12"/>
  <c r="U30" i="12" s="1"/>
  <c r="K29" i="12"/>
  <c r="H32" i="12"/>
  <c r="J41" i="12"/>
  <c r="K61" i="12"/>
  <c r="I62" i="12"/>
  <c r="K65" i="12"/>
  <c r="K77" i="12"/>
  <c r="J78" i="12"/>
  <c r="T79" i="12"/>
  <c r="V79" i="12" s="1"/>
  <c r="K82" i="12"/>
  <c r="R99" i="12"/>
  <c r="J103" i="12"/>
  <c r="J104" i="12"/>
  <c r="E128" i="12"/>
  <c r="U137" i="12"/>
  <c r="I160" i="12"/>
  <c r="V169" i="12"/>
  <c r="K206" i="12"/>
  <c r="I215" i="12"/>
  <c r="J206" i="12"/>
  <c r="G27" i="13"/>
  <c r="E12" i="15"/>
  <c r="F12" i="15"/>
  <c r="L21" i="23"/>
  <c r="D74" i="16"/>
  <c r="D76" i="16" s="1"/>
  <c r="E51" i="14" s="1"/>
  <c r="G51" i="14" s="1"/>
  <c r="I51" i="14" s="1"/>
  <c r="T21" i="23"/>
  <c r="L74" i="16"/>
  <c r="L76" i="16" s="1"/>
  <c r="E59" i="14" s="1"/>
  <c r="G59" i="14" s="1"/>
  <c r="I59" i="14" s="1"/>
  <c r="E145" i="17"/>
  <c r="E254" i="17" s="1"/>
  <c r="Q68" i="22"/>
  <c r="D190" i="17"/>
  <c r="E189" i="17"/>
  <c r="Q230" i="12"/>
  <c r="Q30" i="12"/>
  <c r="R29" i="12" s="1"/>
  <c r="V29" i="12" s="1"/>
  <c r="D31" i="12"/>
  <c r="H33" i="12"/>
  <c r="K41" i="12"/>
  <c r="J42" i="12"/>
  <c r="D48" i="12"/>
  <c r="D52" i="12" s="1"/>
  <c r="J79" i="12"/>
  <c r="I83" i="12"/>
  <c r="H128" i="12"/>
  <c r="I128" i="12" s="1"/>
  <c r="H127" i="12"/>
  <c r="E168" i="12"/>
  <c r="C7" i="19"/>
  <c r="D7" i="19" s="1"/>
  <c r="O21" i="23"/>
  <c r="G74" i="16"/>
  <c r="G76" i="16" s="1"/>
  <c r="E54" i="14" s="1"/>
  <c r="G54" i="14" s="1"/>
  <c r="D13" i="20"/>
  <c r="Q70" i="16"/>
  <c r="C193" i="11"/>
  <c r="J22" i="12"/>
  <c r="J31" i="12" s="1"/>
  <c r="J24" i="12"/>
  <c r="J27" i="12"/>
  <c r="R28" i="12"/>
  <c r="V28" i="12" s="1"/>
  <c r="I31" i="12"/>
  <c r="K42" i="12"/>
  <c r="J44" i="12"/>
  <c r="J46" i="12"/>
  <c r="C50" i="12"/>
  <c r="E50" i="12" s="1"/>
  <c r="J63" i="12"/>
  <c r="J64" i="12"/>
  <c r="I69" i="12"/>
  <c r="J80" i="12"/>
  <c r="I86" i="12"/>
  <c r="D110" i="12"/>
  <c r="I126" i="12"/>
  <c r="K117" i="12"/>
  <c r="I127" i="12"/>
  <c r="D129" i="12"/>
  <c r="R136" i="12"/>
  <c r="R135" i="12"/>
  <c r="J153" i="12"/>
  <c r="J150" i="12"/>
  <c r="D161" i="12" s="1"/>
  <c r="V152" i="12"/>
  <c r="J155" i="12"/>
  <c r="V170" i="12"/>
  <c r="K167" i="12"/>
  <c r="K175" i="12" s="1"/>
  <c r="H200" i="12"/>
  <c r="Q21" i="23"/>
  <c r="I74" i="16"/>
  <c r="I76" i="16" s="1"/>
  <c r="E56" i="14" s="1"/>
  <c r="G56" i="14" s="1"/>
  <c r="D14" i="20"/>
  <c r="Q68" i="16"/>
  <c r="E74" i="16"/>
  <c r="E76" i="16" s="1"/>
  <c r="E52" i="14" s="1"/>
  <c r="G52" i="14" s="1"/>
  <c r="I52" i="14" s="1"/>
  <c r="O6" i="22"/>
  <c r="O39" i="22"/>
  <c r="O41" i="22" s="1"/>
  <c r="D250" i="17"/>
  <c r="J102" i="12"/>
  <c r="J117" i="12"/>
  <c r="D130" i="12"/>
  <c r="E127" i="12"/>
  <c r="R153" i="12"/>
  <c r="K169" i="12"/>
  <c r="K173" i="12"/>
  <c r="J189" i="12"/>
  <c r="J187" i="12"/>
  <c r="J185" i="12"/>
  <c r="J191" i="12"/>
  <c r="D197" i="12"/>
  <c r="D200" i="12"/>
  <c r="H199" i="12"/>
  <c r="H201" i="12" s="1"/>
  <c r="J207" i="12"/>
  <c r="G27" i="14"/>
  <c r="G23" i="14"/>
  <c r="G22" i="14"/>
  <c r="G34" i="14" s="1"/>
  <c r="G26" i="14"/>
  <c r="G38" i="14" s="1"/>
  <c r="I78" i="16"/>
  <c r="C74" i="16"/>
  <c r="C76" i="16" s="1"/>
  <c r="E50" i="14" s="1"/>
  <c r="G50" i="14" s="1"/>
  <c r="K21" i="23"/>
  <c r="S21" i="23"/>
  <c r="K74" i="16"/>
  <c r="K76" i="16" s="1"/>
  <c r="E58" i="14" s="1"/>
  <c r="D18" i="20"/>
  <c r="Q72" i="16"/>
  <c r="M74" i="16"/>
  <c r="M76" i="16" s="1"/>
  <c r="E78" i="16"/>
  <c r="G39" i="18"/>
  <c r="G41" i="18" s="1"/>
  <c r="R10" i="24"/>
  <c r="M74" i="24"/>
  <c r="M52" i="24"/>
  <c r="C130" i="12"/>
  <c r="E130" i="12" s="1"/>
  <c r="I174" i="12"/>
  <c r="I177" i="12" s="1"/>
  <c r="K209" i="12"/>
  <c r="J210" i="12"/>
  <c r="D215" i="12"/>
  <c r="Q224" i="12"/>
  <c r="Q225" i="12" s="1"/>
  <c r="G19" i="14"/>
  <c r="G31" i="14" s="1"/>
  <c r="G13" i="14"/>
  <c r="O19" i="14"/>
  <c r="O31" i="14" s="1"/>
  <c r="O13" i="14"/>
  <c r="W13" i="14"/>
  <c r="G21" i="14"/>
  <c r="G33" i="14" s="1"/>
  <c r="G35" i="14"/>
  <c r="O23" i="14"/>
  <c r="O35" i="14" s="1"/>
  <c r="W23" i="14"/>
  <c r="W35" i="14" s="1"/>
  <c r="G24" i="14"/>
  <c r="G36" i="14" s="1"/>
  <c r="W19" i="14"/>
  <c r="O20" i="14"/>
  <c r="O32" i="14" s="1"/>
  <c r="C21" i="14"/>
  <c r="C33" i="14" s="1"/>
  <c r="W21" i="14"/>
  <c r="W33" i="14" s="1"/>
  <c r="W22" i="14"/>
  <c r="W34" i="14" s="1"/>
  <c r="Q23" i="14"/>
  <c r="Q35" i="14" s="1"/>
  <c r="I26" i="14"/>
  <c r="I38" i="14" s="1"/>
  <c r="S27" i="14"/>
  <c r="S39" i="14" s="1"/>
  <c r="K31" i="14"/>
  <c r="K35" i="14"/>
  <c r="C38" i="14"/>
  <c r="F36" i="15"/>
  <c r="E36" i="15"/>
  <c r="F74" i="16"/>
  <c r="F76" i="16" s="1"/>
  <c r="E53" i="14" s="1"/>
  <c r="H78" i="16"/>
  <c r="J167" i="12"/>
  <c r="R187" i="12"/>
  <c r="K184" i="12" s="1"/>
  <c r="H198" i="12" s="1"/>
  <c r="J209" i="12"/>
  <c r="K210" i="12"/>
  <c r="I19" i="14"/>
  <c r="I13" i="14"/>
  <c r="Q19" i="14"/>
  <c r="Q31" i="14" s="1"/>
  <c r="Q13" i="14"/>
  <c r="Y13" i="14"/>
  <c r="Y19" i="14"/>
  <c r="Q20" i="14"/>
  <c r="Q32" i="14" s="1"/>
  <c r="I24" i="14"/>
  <c r="I36" i="14" s="1"/>
  <c r="Q24" i="14"/>
  <c r="Q36" i="14" s="1"/>
  <c r="Y24" i="14"/>
  <c r="Y36" i="14" s="1"/>
  <c r="AA10" i="14"/>
  <c r="AG10" i="14" s="1"/>
  <c r="K13" i="14"/>
  <c r="Y20" i="14"/>
  <c r="Y32" i="14" s="1"/>
  <c r="Y21" i="14"/>
  <c r="Y33" i="14" s="1"/>
  <c r="O22" i="14"/>
  <c r="O34" i="14" s="1"/>
  <c r="Y22" i="14"/>
  <c r="Y34" i="14" s="1"/>
  <c r="K27" i="14"/>
  <c r="K39" i="14" s="1"/>
  <c r="M39" i="14"/>
  <c r="I50" i="14"/>
  <c r="D21" i="15"/>
  <c r="F78" i="16"/>
  <c r="J78" i="16"/>
  <c r="D20" i="17"/>
  <c r="F20" i="17" s="1"/>
  <c r="D142" i="17"/>
  <c r="D251" i="17" s="1"/>
  <c r="O17" i="16" s="1"/>
  <c r="S188" i="12"/>
  <c r="AA3" i="14"/>
  <c r="C20" i="14"/>
  <c r="S20" i="14"/>
  <c r="AA4" i="14"/>
  <c r="C22" i="14"/>
  <c r="K22" i="14"/>
  <c r="S22" i="14"/>
  <c r="S34" i="14" s="1"/>
  <c r="AA6" i="14"/>
  <c r="AG6" i="14" s="1"/>
  <c r="AA7" i="14"/>
  <c r="C36" i="14"/>
  <c r="AA8" i="14"/>
  <c r="AG8" i="14" s="1"/>
  <c r="E26" i="14"/>
  <c r="M26" i="14"/>
  <c r="U26" i="14"/>
  <c r="U38" i="14" s="1"/>
  <c r="M13" i="14"/>
  <c r="K24" i="14"/>
  <c r="K36" i="14" s="1"/>
  <c r="C35" i="14"/>
  <c r="E205" i="17"/>
  <c r="F46" i="15"/>
  <c r="G78" i="16"/>
  <c r="B74" i="16"/>
  <c r="J74" i="16"/>
  <c r="J76" i="16" s="1"/>
  <c r="E57" i="14" s="1"/>
  <c r="G57" i="14" s="1"/>
  <c r="I57" i="14" s="1"/>
  <c r="D29" i="17"/>
  <c r="D18" i="19"/>
  <c r="C89" i="19" s="1"/>
  <c r="C90" i="19" s="1"/>
  <c r="C91" i="19" s="1"/>
  <c r="E21" i="14"/>
  <c r="W21" i="23"/>
  <c r="Q14" i="22"/>
  <c r="E165" i="17"/>
  <c r="D217" i="17"/>
  <c r="E216" i="17"/>
  <c r="E217" i="17" s="1"/>
  <c r="N15" i="22"/>
  <c r="Q70" i="22"/>
  <c r="N71" i="22"/>
  <c r="N75" i="22" s="1"/>
  <c r="N83" i="22"/>
  <c r="N21" i="22"/>
  <c r="N31" i="22"/>
  <c r="N46" i="22"/>
  <c r="C74" i="24"/>
  <c r="N36" i="22"/>
  <c r="Q36" i="22" s="1"/>
  <c r="R36" i="22" s="1"/>
  <c r="N80" i="22"/>
  <c r="H21" i="23"/>
  <c r="H40" i="23" s="1"/>
  <c r="H44" i="23" s="1"/>
  <c r="H66" i="23" s="1"/>
  <c r="V16" i="23"/>
  <c r="Y16" i="23" s="1"/>
  <c r="E85" i="22"/>
  <c r="C76" i="24"/>
  <c r="K76" i="24"/>
  <c r="K77" i="24" s="1"/>
  <c r="F76" i="24"/>
  <c r="F77" i="24"/>
  <c r="C52" i="24"/>
  <c r="K74" i="24"/>
  <c r="G76" i="24"/>
  <c r="G77" i="24" s="1"/>
  <c r="E56" i="22"/>
  <c r="N8" i="24"/>
  <c r="R8" i="24" s="1"/>
  <c r="R23" i="24" s="1"/>
  <c r="R14" i="24"/>
  <c r="R20" i="24"/>
  <c r="D52" i="24"/>
  <c r="R24" i="24"/>
  <c r="L74" i="24"/>
  <c r="J74" i="24"/>
  <c r="I52" i="24"/>
  <c r="N57" i="24"/>
  <c r="N61" i="24" s="1"/>
  <c r="N64" i="24" s="1"/>
  <c r="N68" i="24" s="1"/>
  <c r="N71" i="24" s="1"/>
  <c r="D76" i="24"/>
  <c r="D77" i="24"/>
  <c r="R59" i="24"/>
  <c r="B76" i="24"/>
  <c r="B77" i="24" s="1"/>
  <c r="N51" i="24"/>
  <c r="R56" i="24"/>
  <c r="E76" i="24"/>
  <c r="E77" i="24" s="1"/>
  <c r="M76" i="24"/>
  <c r="O25" i="25"/>
  <c r="O37" i="25" s="1"/>
  <c r="O27" i="25"/>
  <c r="O39" i="25" s="1"/>
  <c r="O23" i="25"/>
  <c r="O35" i="25" s="1"/>
  <c r="O22" i="25"/>
  <c r="O34" i="25" s="1"/>
  <c r="O21" i="25"/>
  <c r="O33" i="25" s="1"/>
  <c r="G31" i="25"/>
  <c r="O19" i="25"/>
  <c r="Y31" i="25"/>
  <c r="F52" i="24"/>
  <c r="P23" i="24"/>
  <c r="P52" i="24" s="1"/>
  <c r="N28" i="24"/>
  <c r="R28" i="24" s="1"/>
  <c r="G74" i="24"/>
  <c r="M39" i="25"/>
  <c r="M40" i="25" s="1"/>
  <c r="Q40" i="25"/>
  <c r="C37" i="25"/>
  <c r="N30" i="24"/>
  <c r="R30" i="24" s="1"/>
  <c r="R43" i="24"/>
  <c r="R51" i="24" s="1"/>
  <c r="H74" i="24"/>
  <c r="R55" i="24"/>
  <c r="R57" i="24" s="1"/>
  <c r="R61" i="24" s="1"/>
  <c r="R64" i="24" s="1"/>
  <c r="R68" i="24" s="1"/>
  <c r="R71" i="24" s="1"/>
  <c r="Y13" i="25"/>
  <c r="W28" i="25"/>
  <c r="Y27" i="25"/>
  <c r="Y28" i="25" s="1"/>
  <c r="B51" i="24"/>
  <c r="B74" i="24" s="1"/>
  <c r="P76" i="24"/>
  <c r="AG3" i="25"/>
  <c r="S20" i="25"/>
  <c r="S32" i="25" s="1"/>
  <c r="S19" i="25"/>
  <c r="S23" i="25"/>
  <c r="S35" i="25" s="1"/>
  <c r="AA35" i="25" s="1"/>
  <c r="AG35" i="25" s="1"/>
  <c r="S22" i="25"/>
  <c r="S34" i="25" s="1"/>
  <c r="S21" i="25"/>
  <c r="S33" i="25" s="1"/>
  <c r="S24" i="25"/>
  <c r="S36" i="25" s="1"/>
  <c r="AA36" i="25" s="1"/>
  <c r="AG36" i="25" s="1"/>
  <c r="S25" i="25"/>
  <c r="S37" i="25" s="1"/>
  <c r="Q28" i="25"/>
  <c r="U40" i="25"/>
  <c r="U42" i="25" s="1"/>
  <c r="U44" i="25" s="1"/>
  <c r="AC19" i="25"/>
  <c r="AC13" i="25"/>
  <c r="E27" i="25"/>
  <c r="E28" i="25" s="1"/>
  <c r="AA11" i="25"/>
  <c r="AG11" i="25" s="1"/>
  <c r="E13" i="25"/>
  <c r="M27" i="25"/>
  <c r="M28" i="25" s="1"/>
  <c r="M13" i="25"/>
  <c r="C33" i="25"/>
  <c r="C28" i="25"/>
  <c r="W31" i="25"/>
  <c r="W40" i="25" s="1"/>
  <c r="W42" i="25" s="1"/>
  <c r="W44" i="25" s="1"/>
  <c r="I20" i="25"/>
  <c r="I21" i="25"/>
  <c r="I33" i="25" s="1"/>
  <c r="AA23" i="25"/>
  <c r="AG23" i="25" s="1"/>
  <c r="I25" i="25"/>
  <c r="I37" i="25" s="1"/>
  <c r="C31" i="25"/>
  <c r="K39" i="25"/>
  <c r="K40" i="25" s="1"/>
  <c r="K42" i="25" s="1"/>
  <c r="K44" i="25" s="1"/>
  <c r="G21" i="25"/>
  <c r="G33" i="25" s="1"/>
  <c r="I22" i="25"/>
  <c r="I34" i="25" s="1"/>
  <c r="AA34" i="25" s="1"/>
  <c r="AG34" i="25" s="1"/>
  <c r="C85" i="19" l="1"/>
  <c r="C86" i="19" s="1"/>
  <c r="Q18" i="22"/>
  <c r="C16" i="23"/>
  <c r="C77" i="19"/>
  <c r="C79" i="19" s="1"/>
  <c r="C74" i="19"/>
  <c r="C75" i="19" s="1"/>
  <c r="C68" i="19"/>
  <c r="C69" i="19" s="1"/>
  <c r="C51" i="23"/>
  <c r="C51" i="19"/>
  <c r="C52" i="19" s="1"/>
  <c r="C53" i="23"/>
  <c r="C43" i="19"/>
  <c r="C64" i="23"/>
  <c r="C98" i="19"/>
  <c r="G66" i="23"/>
  <c r="H68" i="23"/>
  <c r="G67" i="23" s="1"/>
  <c r="D78" i="16"/>
  <c r="D60" i="16"/>
  <c r="Q14" i="19"/>
  <c r="Q21" i="19"/>
  <c r="C22" i="19"/>
  <c r="D22" i="19" s="1"/>
  <c r="C62" i="19" s="1"/>
  <c r="C5" i="19"/>
  <c r="I54" i="14"/>
  <c r="C107" i="12"/>
  <c r="E107" i="12" s="1"/>
  <c r="E69" i="12"/>
  <c r="N74" i="16"/>
  <c r="N76" i="16" s="1"/>
  <c r="V6" i="23"/>
  <c r="E60" i="14"/>
  <c r="M57" i="16"/>
  <c r="M59" i="16" s="1"/>
  <c r="Q66" i="16"/>
  <c r="Q69" i="16" s="1"/>
  <c r="Q71" i="16" s="1"/>
  <c r="Q74" i="16" s="1"/>
  <c r="Q76" i="16" s="1"/>
  <c r="O15" i="22"/>
  <c r="O16" i="22" s="1"/>
  <c r="Q22" i="16"/>
  <c r="Q44" i="22"/>
  <c r="R44" i="22" s="1"/>
  <c r="P71" i="22"/>
  <c r="F205" i="17"/>
  <c r="E211" i="17"/>
  <c r="F211" i="17" s="1"/>
  <c r="F210" i="17"/>
  <c r="Q49" i="16"/>
  <c r="R49" i="16" s="1"/>
  <c r="Q50" i="16"/>
  <c r="AC5" i="14"/>
  <c r="AC21" i="14" s="1"/>
  <c r="F141" i="17"/>
  <c r="O22" i="22"/>
  <c r="F217" i="17"/>
  <c r="F29" i="17"/>
  <c r="J63" i="22"/>
  <c r="J92" i="22" s="1"/>
  <c r="C57" i="16"/>
  <c r="C59" i="16" s="1"/>
  <c r="I63" i="22"/>
  <c r="I92" i="22" s="1"/>
  <c r="I93" i="22" s="1"/>
  <c r="I94" i="22" s="1"/>
  <c r="D63" i="22"/>
  <c r="D92" i="22" s="1"/>
  <c r="D93" i="22" s="1"/>
  <c r="D94" i="22" s="1"/>
  <c r="H63" i="22"/>
  <c r="H92" i="22" s="1"/>
  <c r="E63" i="22"/>
  <c r="E92" i="22" s="1"/>
  <c r="F63" i="22"/>
  <c r="F92" i="22" s="1"/>
  <c r="M63" i="22"/>
  <c r="M92" i="22" s="1"/>
  <c r="G63" i="22"/>
  <c r="G92" i="22" s="1"/>
  <c r="D246" i="17"/>
  <c r="O48" i="16" s="1"/>
  <c r="Q25" i="16"/>
  <c r="O26" i="16"/>
  <c r="Q17" i="16"/>
  <c r="AC7" i="14"/>
  <c r="AC23" i="14" s="1"/>
  <c r="Q52" i="16"/>
  <c r="R52" i="16" s="1"/>
  <c r="Q29" i="22"/>
  <c r="D70" i="15"/>
  <c r="D86" i="15" s="1"/>
  <c r="E21" i="15"/>
  <c r="C63" i="22"/>
  <c r="C92" i="22" s="1"/>
  <c r="O54" i="16"/>
  <c r="O32" i="22"/>
  <c r="AG7" i="14"/>
  <c r="Y15" i="23"/>
  <c r="C15" i="23" s="1"/>
  <c r="D61" i="16"/>
  <c r="AG4" i="14"/>
  <c r="Q15" i="19"/>
  <c r="Q47" i="16"/>
  <c r="N47" i="16"/>
  <c r="H64" i="22"/>
  <c r="H65" i="22" s="1"/>
  <c r="G64" i="22"/>
  <c r="G65" i="22" s="1"/>
  <c r="D11" i="20"/>
  <c r="D16" i="20" s="1"/>
  <c r="D22" i="20" s="1"/>
  <c r="D28" i="20" s="1"/>
  <c r="D35" i="20" s="1"/>
  <c r="L63" i="22"/>
  <c r="L92" i="22" s="1"/>
  <c r="L93" i="22" s="1"/>
  <c r="L57" i="16"/>
  <c r="L59" i="16" s="1"/>
  <c r="L60" i="16" s="1"/>
  <c r="J64" i="22"/>
  <c r="J65" i="22" s="1"/>
  <c r="H93" i="22"/>
  <c r="H94" i="22" s="1"/>
  <c r="I64" i="22"/>
  <c r="I65" i="22" s="1"/>
  <c r="J93" i="22"/>
  <c r="J94" i="22" s="1"/>
  <c r="Q39" i="22"/>
  <c r="Q41" i="22" s="1"/>
  <c r="K57" i="16"/>
  <c r="K59" i="16" s="1"/>
  <c r="K60" i="16" s="1"/>
  <c r="K63" i="22"/>
  <c r="K92" i="22" s="1"/>
  <c r="Q54" i="22"/>
  <c r="Q88" i="22"/>
  <c r="G93" i="22"/>
  <c r="G94" i="22" s="1"/>
  <c r="E93" i="22"/>
  <c r="E94" i="22" s="1"/>
  <c r="O64" i="22"/>
  <c r="O56" i="16" s="1"/>
  <c r="E64" i="22"/>
  <c r="E65" i="22" s="1"/>
  <c r="E47" i="15"/>
  <c r="E31" i="12"/>
  <c r="E143" i="12"/>
  <c r="C31" i="12"/>
  <c r="C33" i="12" s="1"/>
  <c r="M28" i="14"/>
  <c r="K28" i="14"/>
  <c r="E177" i="12"/>
  <c r="C87" i="12"/>
  <c r="E87" i="12" s="1"/>
  <c r="E78" i="12"/>
  <c r="AA26" i="14"/>
  <c r="AG26" i="14" s="1"/>
  <c r="C32" i="14"/>
  <c r="E160" i="12"/>
  <c r="E28" i="14"/>
  <c r="U40" i="14"/>
  <c r="AA23" i="14"/>
  <c r="M38" i="14"/>
  <c r="M40" i="14" s="1"/>
  <c r="S28" i="14"/>
  <c r="AA19" i="14"/>
  <c r="Q80" i="22"/>
  <c r="E57" i="15"/>
  <c r="F57" i="15"/>
  <c r="Q21" i="22"/>
  <c r="R21" i="22" s="1"/>
  <c r="M42" i="25"/>
  <c r="M44" i="25" s="1"/>
  <c r="Q40" i="14"/>
  <c r="I198" i="12"/>
  <c r="K197" i="12"/>
  <c r="K198" i="12" s="1"/>
  <c r="O40" i="14"/>
  <c r="S31" i="25"/>
  <c r="S40" i="25" s="1"/>
  <c r="S28" i="25"/>
  <c r="AA21" i="25"/>
  <c r="AG21" i="25" s="1"/>
  <c r="Y39" i="25"/>
  <c r="AA22" i="25"/>
  <c r="AG22" i="25" s="1"/>
  <c r="E39" i="25"/>
  <c r="O28" i="25"/>
  <c r="O31" i="25"/>
  <c r="O40" i="25" s="1"/>
  <c r="O42" i="25" s="1"/>
  <c r="O44" i="25" s="1"/>
  <c r="K34" i="14"/>
  <c r="K40" i="14" s="1"/>
  <c r="I28" i="14"/>
  <c r="I31" i="14"/>
  <c r="I40" i="14" s="1"/>
  <c r="J172" i="12"/>
  <c r="J171" i="12"/>
  <c r="J168" i="12"/>
  <c r="H216" i="12"/>
  <c r="J175" i="12"/>
  <c r="J173" i="12"/>
  <c r="C84" i="12"/>
  <c r="G39" i="14"/>
  <c r="K188" i="12"/>
  <c r="V153" i="12"/>
  <c r="K150" i="12"/>
  <c r="U28" i="14"/>
  <c r="K186" i="12"/>
  <c r="K133" i="12"/>
  <c r="V136" i="12"/>
  <c r="G80" i="16"/>
  <c r="C104" i="12"/>
  <c r="AA24" i="14"/>
  <c r="AG24" i="14" s="1"/>
  <c r="D178" i="12"/>
  <c r="J170" i="12"/>
  <c r="K83" i="12"/>
  <c r="J83" i="12"/>
  <c r="C192" i="12"/>
  <c r="L80" i="16"/>
  <c r="L81" i="16" s="1"/>
  <c r="E33" i="14"/>
  <c r="AA33" i="14" s="1"/>
  <c r="AG33" i="14" s="1"/>
  <c r="H178" i="12"/>
  <c r="K62" i="12"/>
  <c r="J62" i="12"/>
  <c r="H34" i="12"/>
  <c r="G62" i="11"/>
  <c r="G23" i="11"/>
  <c r="C30" i="9"/>
  <c r="C28" i="9"/>
  <c r="C29" i="9" s="1"/>
  <c r="C31" i="9" s="1"/>
  <c r="I31" i="9"/>
  <c r="I32" i="9" s="1"/>
  <c r="D121" i="11"/>
  <c r="D122" i="11" s="1"/>
  <c r="G91" i="11"/>
  <c r="P94" i="11"/>
  <c r="G57" i="11"/>
  <c r="J101" i="12"/>
  <c r="J99" i="12"/>
  <c r="J98" i="12"/>
  <c r="J97" i="12"/>
  <c r="I70" i="12"/>
  <c r="G141" i="11"/>
  <c r="P144" i="11"/>
  <c r="F25" i="11"/>
  <c r="F5" i="11"/>
  <c r="F191" i="11"/>
  <c r="G191" i="11"/>
  <c r="G129" i="11"/>
  <c r="E86" i="11"/>
  <c r="AI66" i="1"/>
  <c r="AJ62" i="1"/>
  <c r="I86" i="9"/>
  <c r="I87" i="9" s="1"/>
  <c r="C83" i="9"/>
  <c r="C84" i="9" s="1"/>
  <c r="C85" i="9"/>
  <c r="T81" i="1"/>
  <c r="T82" i="1" s="1"/>
  <c r="AA31" i="25"/>
  <c r="C40" i="25"/>
  <c r="C42" i="25" s="1"/>
  <c r="C44" i="25" s="1"/>
  <c r="I32" i="25"/>
  <c r="AA20" i="25"/>
  <c r="AG20" i="25" s="1"/>
  <c r="AA33" i="25"/>
  <c r="AG33" i="25" s="1"/>
  <c r="AG13" i="25"/>
  <c r="Q42" i="25"/>
  <c r="Q44" i="25" s="1"/>
  <c r="B52" i="24"/>
  <c r="G40" i="25"/>
  <c r="M77" i="24"/>
  <c r="M78" i="24" s="1"/>
  <c r="AA27" i="25"/>
  <c r="AG27" i="25" s="1"/>
  <c r="D133" i="17"/>
  <c r="E38" i="14"/>
  <c r="AA22" i="14"/>
  <c r="AG22" i="14" s="1"/>
  <c r="S32" i="14"/>
  <c r="S40" i="14" s="1"/>
  <c r="T186" i="12"/>
  <c r="T187" i="12"/>
  <c r="C86" i="15"/>
  <c r="W28" i="14"/>
  <c r="W31" i="14"/>
  <c r="W40" i="14" s="1"/>
  <c r="D217" i="12"/>
  <c r="D216" i="12"/>
  <c r="K174" i="12"/>
  <c r="J174" i="12"/>
  <c r="C85" i="16"/>
  <c r="C80" i="16"/>
  <c r="D198" i="12"/>
  <c r="D199" i="12" s="1"/>
  <c r="D201" i="12" s="1"/>
  <c r="J169" i="12"/>
  <c r="Q6" i="22"/>
  <c r="O10" i="22"/>
  <c r="C195" i="11"/>
  <c r="K79" i="12"/>
  <c r="K78" i="12"/>
  <c r="F41" i="11"/>
  <c r="E48" i="11"/>
  <c r="K84" i="12"/>
  <c r="L160" i="11"/>
  <c r="L161" i="11"/>
  <c r="G158" i="11" s="1"/>
  <c r="G130" i="11"/>
  <c r="P53" i="24"/>
  <c r="Q52" i="24"/>
  <c r="I90" i="12"/>
  <c r="H55" i="12"/>
  <c r="H56" i="12" s="1"/>
  <c r="W81" i="1"/>
  <c r="W82" i="1" s="1"/>
  <c r="F91" i="11"/>
  <c r="P93" i="11"/>
  <c r="D34" i="11"/>
  <c r="C51" i="9"/>
  <c r="C53" i="9" s="1"/>
  <c r="I51" i="9"/>
  <c r="I53" i="9" s="1"/>
  <c r="D71" i="12"/>
  <c r="I71" i="12" s="1"/>
  <c r="F141" i="11"/>
  <c r="C194" i="11" s="1"/>
  <c r="P143" i="11"/>
  <c r="G25" i="11"/>
  <c r="K213" i="12"/>
  <c r="J213" i="12"/>
  <c r="R49" i="1"/>
  <c r="N58" i="1"/>
  <c r="N79" i="1" s="1"/>
  <c r="F38" i="11"/>
  <c r="P40" i="11"/>
  <c r="AB82" i="1"/>
  <c r="AB81" i="1"/>
  <c r="C34" i="11"/>
  <c r="E34" i="11" s="1"/>
  <c r="AI26" i="1"/>
  <c r="AJ26" i="1" s="1"/>
  <c r="AA19" i="25"/>
  <c r="AA24" i="25"/>
  <c r="AG24" i="25" s="1"/>
  <c r="AA13" i="25"/>
  <c r="I28" i="25"/>
  <c r="AA25" i="25"/>
  <c r="AG25" i="25" s="1"/>
  <c r="P74" i="24"/>
  <c r="G28" i="25"/>
  <c r="N23" i="24"/>
  <c r="N52" i="24" s="1"/>
  <c r="D78" i="24"/>
  <c r="N42" i="24"/>
  <c r="N74" i="24" s="1"/>
  <c r="F78" i="24"/>
  <c r="C77" i="24"/>
  <c r="C78" i="24" s="1"/>
  <c r="Q31" i="22"/>
  <c r="R31" i="22" s="1"/>
  <c r="J80" i="16"/>
  <c r="J81" i="16" s="1"/>
  <c r="C158" i="12"/>
  <c r="AA36" i="14"/>
  <c r="AG36" i="14" s="1"/>
  <c r="C34" i="14"/>
  <c r="AA20" i="14"/>
  <c r="AG20" i="14" s="1"/>
  <c r="Q28" i="14"/>
  <c r="G28" i="14"/>
  <c r="K80" i="16"/>
  <c r="C175" i="12"/>
  <c r="D148" i="17"/>
  <c r="I80" i="16"/>
  <c r="I81" i="16" s="1"/>
  <c r="C141" i="12"/>
  <c r="H179" i="12"/>
  <c r="K170" i="12"/>
  <c r="K171" i="12"/>
  <c r="K168" i="12"/>
  <c r="K172" i="12"/>
  <c r="H161" i="12"/>
  <c r="J156" i="12"/>
  <c r="J152" i="12"/>
  <c r="J151" i="12"/>
  <c r="J157" i="12"/>
  <c r="I110" i="12"/>
  <c r="H217" i="12"/>
  <c r="D179" i="12"/>
  <c r="I179" i="12" s="1"/>
  <c r="H129" i="12"/>
  <c r="H130" i="12" s="1"/>
  <c r="E257" i="17"/>
  <c r="E148" i="17"/>
  <c r="D80" i="16"/>
  <c r="D81" i="16" s="1"/>
  <c r="C46" i="12"/>
  <c r="J154" i="12"/>
  <c r="V99" i="12"/>
  <c r="K96" i="12"/>
  <c r="E129" i="12"/>
  <c r="K80" i="12"/>
  <c r="G127" i="11"/>
  <c r="G132" i="11"/>
  <c r="G126" i="11"/>
  <c r="G59" i="11"/>
  <c r="G56" i="11"/>
  <c r="G55" i="11"/>
  <c r="D68" i="11"/>
  <c r="D69" i="11" s="1"/>
  <c r="D70" i="11" s="1"/>
  <c r="Q74" i="24"/>
  <c r="D91" i="12"/>
  <c r="I91" i="12" s="1"/>
  <c r="K66" i="12"/>
  <c r="G22" i="11"/>
  <c r="F6" i="11"/>
  <c r="F9" i="11"/>
  <c r="F10" i="11"/>
  <c r="I74" i="9"/>
  <c r="I75" i="9" s="1"/>
  <c r="C74" i="9"/>
  <c r="C72" i="9"/>
  <c r="C73" i="9" s="1"/>
  <c r="C152" i="11"/>
  <c r="C153" i="11"/>
  <c r="G114" i="11"/>
  <c r="G111" i="11"/>
  <c r="G110" i="11"/>
  <c r="C120" i="11"/>
  <c r="E120" i="11" s="1"/>
  <c r="G113" i="11"/>
  <c r="G58" i="11"/>
  <c r="C15" i="11"/>
  <c r="C14" i="11"/>
  <c r="I63" i="9"/>
  <c r="I64" i="9" s="1"/>
  <c r="C63" i="9"/>
  <c r="C61" i="9"/>
  <c r="C62" i="9" s="1"/>
  <c r="C64" i="9" s="1"/>
  <c r="C121" i="11"/>
  <c r="E119" i="11"/>
  <c r="G61" i="11"/>
  <c r="F27" i="11"/>
  <c r="F3" i="11"/>
  <c r="C9" i="9"/>
  <c r="D75" i="2"/>
  <c r="G128" i="11"/>
  <c r="C87" i="11"/>
  <c r="E85" i="11"/>
  <c r="G38" i="11"/>
  <c r="P41" i="11"/>
  <c r="F11" i="11"/>
  <c r="C39" i="9"/>
  <c r="C40" i="9" s="1"/>
  <c r="C42" i="9" s="1"/>
  <c r="C41" i="9"/>
  <c r="C33" i="11"/>
  <c r="U81" i="1"/>
  <c r="U82" i="1" s="1"/>
  <c r="R74" i="24"/>
  <c r="S52" i="24"/>
  <c r="T52" i="24" s="1"/>
  <c r="AA37" i="25"/>
  <c r="AG37" i="25" s="1"/>
  <c r="Y40" i="25"/>
  <c r="Y42" i="25" s="1"/>
  <c r="Y44" i="25" s="1"/>
  <c r="E78" i="24"/>
  <c r="R42" i="24"/>
  <c r="R52" i="24" s="1"/>
  <c r="G78" i="24"/>
  <c r="K78" i="24"/>
  <c r="Q67" i="22"/>
  <c r="B76" i="16"/>
  <c r="E49" i="14" s="1"/>
  <c r="AA35" i="14"/>
  <c r="AG35" i="14" s="1"/>
  <c r="Y31" i="14"/>
  <c r="Y40" i="14" s="1"/>
  <c r="Y28" i="14"/>
  <c r="K192" i="12"/>
  <c r="K189" i="12"/>
  <c r="K187" i="12"/>
  <c r="K185" i="12"/>
  <c r="AA21" i="14"/>
  <c r="O28" i="14"/>
  <c r="M80" i="16"/>
  <c r="C213" i="12"/>
  <c r="K191" i="12"/>
  <c r="E80" i="16"/>
  <c r="E81" i="16" s="1"/>
  <c r="C67" i="12"/>
  <c r="J133" i="12"/>
  <c r="V135" i="12"/>
  <c r="K190" i="12"/>
  <c r="J158" i="12"/>
  <c r="I52" i="12"/>
  <c r="D54" i="12"/>
  <c r="I54" i="12" s="1"/>
  <c r="D53" i="12"/>
  <c r="D33" i="12"/>
  <c r="D32" i="12"/>
  <c r="P7" i="22"/>
  <c r="E190" i="17"/>
  <c r="H80" i="16"/>
  <c r="K60" i="12"/>
  <c r="C137" i="11"/>
  <c r="C69" i="11"/>
  <c r="E67" i="11"/>
  <c r="G26" i="11"/>
  <c r="G148" i="11"/>
  <c r="F148" i="11"/>
  <c r="E151" i="11"/>
  <c r="D14" i="11"/>
  <c r="F4" i="11"/>
  <c r="G4" i="11"/>
  <c r="G13" i="11" s="1"/>
  <c r="D87" i="11"/>
  <c r="D88" i="11" s="1"/>
  <c r="G27" i="11"/>
  <c r="AI79" i="1"/>
  <c r="AJ58" i="1"/>
  <c r="AL59" i="1"/>
  <c r="AM59" i="1" s="1"/>
  <c r="AE26" i="1"/>
  <c r="D137" i="11"/>
  <c r="D138" i="11" s="1"/>
  <c r="D139" i="11" s="1"/>
  <c r="G60" i="11"/>
  <c r="F24" i="11"/>
  <c r="E19" i="8"/>
  <c r="F19" i="8" s="1"/>
  <c r="Q22" i="1"/>
  <c r="AE58" i="1"/>
  <c r="X81" i="1"/>
  <c r="AE81" i="1" s="1"/>
  <c r="AI81" i="1" s="1"/>
  <c r="AC81" i="1"/>
  <c r="AC82" i="1"/>
  <c r="AL55" i="1"/>
  <c r="AL57" i="1" s="1"/>
  <c r="C19" i="9"/>
  <c r="C17" i="9"/>
  <c r="C101" i="9" s="1"/>
  <c r="E36" i="8" s="1"/>
  <c r="Q57" i="1" s="1"/>
  <c r="R57" i="1" s="1"/>
  <c r="C38" i="23" l="1"/>
  <c r="C80" i="19"/>
  <c r="C81" i="19" s="1"/>
  <c r="Q27" i="19"/>
  <c r="Q28" i="19" s="1"/>
  <c r="R21" i="19"/>
  <c r="G68" i="23"/>
  <c r="C38" i="19"/>
  <c r="C100" i="19"/>
  <c r="C36" i="23" s="1"/>
  <c r="C101" i="19"/>
  <c r="C102" i="19" s="1"/>
  <c r="C63" i="19"/>
  <c r="C64" i="19" s="1"/>
  <c r="C54" i="23"/>
  <c r="C25" i="19"/>
  <c r="D25" i="19" s="1"/>
  <c r="C30" i="23" s="1"/>
  <c r="D5" i="19"/>
  <c r="C15" i="19"/>
  <c r="C24" i="19"/>
  <c r="D24" i="19" s="1"/>
  <c r="C39" i="19" s="1"/>
  <c r="M78" i="16"/>
  <c r="M61" i="16"/>
  <c r="D64" i="22"/>
  <c r="D65" i="22" s="1"/>
  <c r="K42" i="14"/>
  <c r="K44" i="14" s="1"/>
  <c r="Q15" i="22"/>
  <c r="R15" i="22" s="1"/>
  <c r="Q46" i="22"/>
  <c r="R46" i="22" s="1"/>
  <c r="D257" i="17"/>
  <c r="AG5" i="14"/>
  <c r="P26" i="16"/>
  <c r="AG21" i="14"/>
  <c r="V49" i="16"/>
  <c r="R50" i="16"/>
  <c r="V50" i="16"/>
  <c r="T50" i="16"/>
  <c r="F241" i="17"/>
  <c r="T49" i="16"/>
  <c r="C61" i="16"/>
  <c r="C78" i="16"/>
  <c r="AC3" i="14"/>
  <c r="Q48" i="16"/>
  <c r="O11" i="22"/>
  <c r="AG23" i="14"/>
  <c r="AC9" i="14"/>
  <c r="AC25" i="14" s="1"/>
  <c r="AG25" i="14" s="1"/>
  <c r="Q54" i="16"/>
  <c r="O42" i="22"/>
  <c r="L94" i="22"/>
  <c r="V52" i="16"/>
  <c r="T52" i="16"/>
  <c r="M42" i="14"/>
  <c r="M44" i="14" s="1"/>
  <c r="C32" i="12"/>
  <c r="C34" i="12" s="1"/>
  <c r="E34" i="12" s="1"/>
  <c r="I42" i="14"/>
  <c r="I44" i="14" s="1"/>
  <c r="B63" i="22"/>
  <c r="N92" i="22" s="1"/>
  <c r="L64" i="22"/>
  <c r="L65" i="22" s="1"/>
  <c r="L61" i="16"/>
  <c r="L78" i="16"/>
  <c r="AA32" i="14"/>
  <c r="AG32" i="14" s="1"/>
  <c r="Q26" i="16"/>
  <c r="C20" i="19"/>
  <c r="O65" i="22"/>
  <c r="Y6" i="23"/>
  <c r="C81" i="16"/>
  <c r="C82" i="16" s="1"/>
  <c r="P75" i="22"/>
  <c r="P58" i="16" s="1"/>
  <c r="E70" i="15"/>
  <c r="U42" i="14"/>
  <c r="U44" i="14" s="1"/>
  <c r="S42" i="14"/>
  <c r="S44" i="14" s="1"/>
  <c r="G40" i="14"/>
  <c r="G42" i="14" s="1"/>
  <c r="G44" i="14" s="1"/>
  <c r="Y42" i="14"/>
  <c r="Y44" i="14" s="1"/>
  <c r="AA38" i="14"/>
  <c r="AG38" i="14" s="1"/>
  <c r="AA34" i="14"/>
  <c r="AG34" i="14" s="1"/>
  <c r="W42" i="14"/>
  <c r="W44" i="14" s="1"/>
  <c r="C196" i="11"/>
  <c r="AL81" i="1"/>
  <c r="AM56" i="1"/>
  <c r="AJ81" i="1"/>
  <c r="AJ79" i="1"/>
  <c r="E137" i="11"/>
  <c r="I33" i="12"/>
  <c r="J135" i="12"/>
  <c r="J140" i="12"/>
  <c r="J141" i="12"/>
  <c r="J136" i="12"/>
  <c r="J139" i="12"/>
  <c r="H144" i="12"/>
  <c r="D144" i="12"/>
  <c r="J138" i="12"/>
  <c r="J134" i="12"/>
  <c r="J137" i="12"/>
  <c r="C35" i="11"/>
  <c r="C36" i="11" s="1"/>
  <c r="E33" i="11"/>
  <c r="F13" i="11"/>
  <c r="E121" i="11"/>
  <c r="C122" i="11"/>
  <c r="E15" i="11"/>
  <c r="E175" i="12"/>
  <c r="C174" i="12"/>
  <c r="E158" i="12"/>
  <c r="C160" i="12"/>
  <c r="AG19" i="25"/>
  <c r="AG28" i="25" s="1"/>
  <c r="AA28" i="25"/>
  <c r="F97" i="11"/>
  <c r="F94" i="11"/>
  <c r="F93" i="11"/>
  <c r="F96" i="11"/>
  <c r="F92" i="11"/>
  <c r="F99" i="11"/>
  <c r="C102" i="11"/>
  <c r="F98" i="11"/>
  <c r="F95" i="11"/>
  <c r="D102" i="11"/>
  <c r="F158" i="11"/>
  <c r="L76" i="24"/>
  <c r="I129" i="12"/>
  <c r="I217" i="12"/>
  <c r="AJ66" i="1"/>
  <c r="AI69" i="1"/>
  <c r="H35" i="12"/>
  <c r="H180" i="12"/>
  <c r="H181" i="12" s="1"/>
  <c r="C191" i="12"/>
  <c r="E192" i="12"/>
  <c r="E84" i="12"/>
  <c r="C83" i="12"/>
  <c r="H218" i="12"/>
  <c r="H219" i="12" s="1"/>
  <c r="E68" i="11"/>
  <c r="Q78" i="1"/>
  <c r="R22" i="1"/>
  <c r="X82" i="1"/>
  <c r="AE82" i="1" s="1"/>
  <c r="AI82" i="1" s="1"/>
  <c r="E69" i="11"/>
  <c r="C70" i="11"/>
  <c r="P10" i="22"/>
  <c r="P11" i="22" s="1"/>
  <c r="Q7" i="22"/>
  <c r="Q10" i="22" s="1"/>
  <c r="Q83" i="22"/>
  <c r="I53" i="12"/>
  <c r="D55" i="12"/>
  <c r="D56" i="12" s="1"/>
  <c r="E67" i="12"/>
  <c r="C69" i="12"/>
  <c r="M84" i="22"/>
  <c r="M85" i="22" s="1"/>
  <c r="M56" i="22"/>
  <c r="G42" i="11"/>
  <c r="C50" i="11"/>
  <c r="G44" i="11"/>
  <c r="G40" i="11"/>
  <c r="G43" i="11"/>
  <c r="D50" i="11"/>
  <c r="D202" i="11" s="1"/>
  <c r="G45" i="11"/>
  <c r="G39" i="11"/>
  <c r="G46" i="11"/>
  <c r="E46" i="12"/>
  <c r="C45" i="12"/>
  <c r="E141" i="12"/>
  <c r="C143" i="12"/>
  <c r="G42" i="25"/>
  <c r="G44" i="25" s="1"/>
  <c r="AG31" i="25"/>
  <c r="C86" i="9"/>
  <c r="D35" i="11"/>
  <c r="D36" i="11" s="1"/>
  <c r="G98" i="11"/>
  <c r="G95" i="11"/>
  <c r="G97" i="11"/>
  <c r="G94" i="11"/>
  <c r="G96" i="11"/>
  <c r="G93" i="11"/>
  <c r="G92" i="11"/>
  <c r="D103" i="11"/>
  <c r="G99" i="11"/>
  <c r="C103" i="11"/>
  <c r="E40" i="14"/>
  <c r="E42" i="14" s="1"/>
  <c r="E44" i="14" s="1"/>
  <c r="I178" i="12"/>
  <c r="D180" i="12"/>
  <c r="G81" i="16"/>
  <c r="G82" i="16" s="1"/>
  <c r="F84" i="22"/>
  <c r="F85" i="22" s="1"/>
  <c r="F56" i="22"/>
  <c r="O42" i="14"/>
  <c r="O44" i="14" s="1"/>
  <c r="E213" i="12"/>
  <c r="C212" i="12"/>
  <c r="B80" i="16"/>
  <c r="C154" i="11"/>
  <c r="K98" i="12"/>
  <c r="K97" i="12"/>
  <c r="K101" i="12"/>
  <c r="K104" i="12"/>
  <c r="K102" i="12"/>
  <c r="K103" i="12"/>
  <c r="H111" i="12"/>
  <c r="K100" i="12"/>
  <c r="K99" i="12"/>
  <c r="D111" i="12"/>
  <c r="Q49" i="22"/>
  <c r="I82" i="16"/>
  <c r="K81" i="16"/>
  <c r="K82" i="16" s="1"/>
  <c r="J82" i="16"/>
  <c r="D194" i="11"/>
  <c r="E194" i="11" s="1"/>
  <c r="D152" i="11"/>
  <c r="F147" i="11"/>
  <c r="F144" i="11"/>
  <c r="F146" i="11"/>
  <c r="F143" i="11"/>
  <c r="F142" i="11"/>
  <c r="F149" i="11"/>
  <c r="F145" i="11"/>
  <c r="D92" i="12"/>
  <c r="G41" i="11"/>
  <c r="G144" i="11"/>
  <c r="D195" i="11"/>
  <c r="E195" i="11" s="1"/>
  <c r="G147" i="11"/>
  <c r="G145" i="11"/>
  <c r="D153" i="11"/>
  <c r="E153" i="11" s="1"/>
  <c r="G143" i="11"/>
  <c r="G146" i="11"/>
  <c r="G142" i="11"/>
  <c r="G149" i="11"/>
  <c r="H162" i="12"/>
  <c r="H163" i="12" s="1"/>
  <c r="H164" i="12" s="1"/>
  <c r="K155" i="12"/>
  <c r="K151" i="12"/>
  <c r="K156" i="12"/>
  <c r="K154" i="12"/>
  <c r="K152" i="12"/>
  <c r="K157" i="12"/>
  <c r="D162" i="12"/>
  <c r="K158" i="12"/>
  <c r="K153" i="12"/>
  <c r="E40" i="25"/>
  <c r="E42" i="25" s="1"/>
  <c r="E44" i="25" s="1"/>
  <c r="AA39" i="25"/>
  <c r="AG39" i="25" s="1"/>
  <c r="AA31" i="14"/>
  <c r="C138" i="11"/>
  <c r="AE79" i="1"/>
  <c r="E33" i="12"/>
  <c r="D16" i="11"/>
  <c r="C18" i="9"/>
  <c r="C20" i="9" s="1"/>
  <c r="H81" i="16"/>
  <c r="H82" i="16" s="1"/>
  <c r="D223" i="12"/>
  <c r="I32" i="12"/>
  <c r="D34" i="12"/>
  <c r="E82" i="16"/>
  <c r="M81" i="16"/>
  <c r="M82" i="16" s="1"/>
  <c r="B84" i="22"/>
  <c r="B56" i="22"/>
  <c r="N55" i="22"/>
  <c r="E87" i="11"/>
  <c r="C88" i="11"/>
  <c r="C102" i="9"/>
  <c r="D32" i="8" s="1"/>
  <c r="P55" i="1" s="1"/>
  <c r="R55" i="1" s="1"/>
  <c r="R58" i="1" s="1"/>
  <c r="I7" i="9"/>
  <c r="C35" i="12"/>
  <c r="C16" i="11"/>
  <c r="E14" i="11"/>
  <c r="C75" i="9"/>
  <c r="D82" i="16"/>
  <c r="K84" i="22"/>
  <c r="K85" i="22" s="1"/>
  <c r="K56" i="22"/>
  <c r="F44" i="11"/>
  <c r="F40" i="11"/>
  <c r="F46" i="11"/>
  <c r="F43" i="11"/>
  <c r="F39" i="11"/>
  <c r="F42" i="11"/>
  <c r="F45" i="11"/>
  <c r="D49" i="11"/>
  <c r="D51" i="11" s="1"/>
  <c r="D52" i="11" s="1"/>
  <c r="C49" i="11"/>
  <c r="G166" i="11"/>
  <c r="G159" i="11"/>
  <c r="G165" i="11"/>
  <c r="G160" i="11"/>
  <c r="C176" i="11"/>
  <c r="G162" i="11"/>
  <c r="G161" i="11"/>
  <c r="G164" i="11"/>
  <c r="D176" i="11"/>
  <c r="G163" i="11"/>
  <c r="R6" i="22"/>
  <c r="I216" i="12"/>
  <c r="D218" i="12"/>
  <c r="I40" i="25"/>
  <c r="I42" i="25" s="1"/>
  <c r="I44" i="25" s="1"/>
  <c r="AA32" i="25"/>
  <c r="AG32" i="25" s="1"/>
  <c r="D72" i="12"/>
  <c r="L82" i="16"/>
  <c r="E104" i="12"/>
  <c r="E109" i="12" s="1"/>
  <c r="C106" i="12"/>
  <c r="K135" i="12"/>
  <c r="K134" i="12"/>
  <c r="K140" i="12"/>
  <c r="K139" i="12"/>
  <c r="H145" i="12"/>
  <c r="D145" i="12"/>
  <c r="I145" i="12" s="1"/>
  <c r="K138" i="12"/>
  <c r="K137" i="12"/>
  <c r="K136" i="12"/>
  <c r="K141" i="12"/>
  <c r="S42" i="25"/>
  <c r="S44" i="25" s="1"/>
  <c r="E38" i="8"/>
  <c r="Q42" i="14"/>
  <c r="Q44" i="14" s="1"/>
  <c r="C40" i="19" l="1"/>
  <c r="C41" i="19" s="1"/>
  <c r="C50" i="23"/>
  <c r="C32" i="23"/>
  <c r="E32" i="12"/>
  <c r="F257" i="17"/>
  <c r="P76" i="22"/>
  <c r="C11" i="14"/>
  <c r="N57" i="16"/>
  <c r="T54" i="16"/>
  <c r="V48" i="16"/>
  <c r="R48" i="16"/>
  <c r="T48" i="16"/>
  <c r="AC19" i="14"/>
  <c r="AG19" i="14" s="1"/>
  <c r="AG3" i="14"/>
  <c r="V54" i="16"/>
  <c r="B59" i="16"/>
  <c r="B60" i="16" s="1"/>
  <c r="D20" i="19"/>
  <c r="C44" i="19" s="1"/>
  <c r="C28" i="19"/>
  <c r="C32" i="19" s="1"/>
  <c r="AC11" i="14"/>
  <c r="K61" i="16"/>
  <c r="K78" i="16"/>
  <c r="N63" i="22"/>
  <c r="C64" i="22"/>
  <c r="C65" i="22" s="1"/>
  <c r="M93" i="22"/>
  <c r="M94" i="22" s="1"/>
  <c r="K93" i="22"/>
  <c r="K94" i="22" s="1"/>
  <c r="F93" i="22"/>
  <c r="F94" i="22" s="1"/>
  <c r="B64" i="22"/>
  <c r="M64" i="22"/>
  <c r="M65" i="22" s="1"/>
  <c r="K64" i="22"/>
  <c r="K65" i="22" s="1"/>
  <c r="F64" i="22"/>
  <c r="F65" i="22" s="1"/>
  <c r="C51" i="11"/>
  <c r="E49" i="11"/>
  <c r="C201" i="11"/>
  <c r="G49" i="14"/>
  <c r="I49" i="14" s="1"/>
  <c r="E61" i="14"/>
  <c r="D201" i="11"/>
  <c r="H112" i="12"/>
  <c r="H224" i="12"/>
  <c r="C155" i="11"/>
  <c r="I218" i="12"/>
  <c r="D219" i="12"/>
  <c r="G58" i="14"/>
  <c r="I58" i="14" s="1"/>
  <c r="N56" i="22"/>
  <c r="AG31" i="14"/>
  <c r="I111" i="12"/>
  <c r="D112" i="12"/>
  <c r="N80" i="16"/>
  <c r="C103" i="9"/>
  <c r="D31" i="8" s="1"/>
  <c r="E45" i="12"/>
  <c r="C48" i="12"/>
  <c r="E83" i="12"/>
  <c r="C86" i="12"/>
  <c r="E191" i="12"/>
  <c r="E194" i="12" s="1"/>
  <c r="E195" i="12" s="1"/>
  <c r="C194" i="12"/>
  <c r="C195" i="12" s="1"/>
  <c r="AI73" i="1"/>
  <c r="AJ69" i="1"/>
  <c r="L78" i="24"/>
  <c r="L77" i="24"/>
  <c r="N77" i="24" s="1"/>
  <c r="R77" i="24" s="1"/>
  <c r="N76" i="24"/>
  <c r="R76" i="24" s="1"/>
  <c r="E174" i="12"/>
  <c r="C177" i="12"/>
  <c r="Q11" i="22"/>
  <c r="R10" i="22"/>
  <c r="I34" i="12"/>
  <c r="D35" i="12"/>
  <c r="I35" i="12" s="1"/>
  <c r="I162" i="12"/>
  <c r="D163" i="12"/>
  <c r="I92" i="12"/>
  <c r="D93" i="12"/>
  <c r="D154" i="11"/>
  <c r="D155" i="11" s="1"/>
  <c r="R49" i="22"/>
  <c r="B81" i="16"/>
  <c r="N81" i="16" s="1"/>
  <c r="Q81" i="16" s="1"/>
  <c r="E103" i="11"/>
  <c r="AG40" i="25"/>
  <c r="C70" i="12"/>
  <c r="C71" i="12"/>
  <c r="E71" i="12" s="1"/>
  <c r="F166" i="11"/>
  <c r="F165" i="11"/>
  <c r="F162" i="11"/>
  <c r="F160" i="11"/>
  <c r="F161" i="11"/>
  <c r="F163" i="11"/>
  <c r="F164" i="11"/>
  <c r="F159" i="11"/>
  <c r="C104" i="11"/>
  <c r="E102" i="11"/>
  <c r="D146" i="12"/>
  <c r="D225" i="12" s="1"/>
  <c r="I144" i="12"/>
  <c r="D224" i="12"/>
  <c r="I224" i="12" s="1"/>
  <c r="I72" i="12"/>
  <c r="D73" i="12"/>
  <c r="E106" i="12"/>
  <c r="C109" i="12"/>
  <c r="E176" i="11"/>
  <c r="G175" i="11"/>
  <c r="G176" i="11" s="1"/>
  <c r="C203" i="11"/>
  <c r="E16" i="11"/>
  <c r="C17" i="11"/>
  <c r="N84" i="22"/>
  <c r="B85" i="22"/>
  <c r="B93" i="22" s="1"/>
  <c r="D17" i="11"/>
  <c r="E138" i="11"/>
  <c r="C139" i="11"/>
  <c r="D196" i="11"/>
  <c r="D197" i="11" s="1"/>
  <c r="Q78" i="22"/>
  <c r="E152" i="11"/>
  <c r="E212" i="12"/>
  <c r="C215" i="12"/>
  <c r="G53" i="14"/>
  <c r="I53" i="14" s="1"/>
  <c r="I180" i="12"/>
  <c r="D181" i="12"/>
  <c r="AA40" i="25"/>
  <c r="C145" i="12"/>
  <c r="E145" i="12" s="1"/>
  <c r="C144" i="12"/>
  <c r="E50" i="11"/>
  <c r="G60" i="14"/>
  <c r="I60" i="14" s="1"/>
  <c r="D104" i="11"/>
  <c r="D105" i="11" s="1"/>
  <c r="C162" i="12"/>
  <c r="E162" i="12" s="1"/>
  <c r="C161" i="12"/>
  <c r="C202" i="11"/>
  <c r="H146" i="12"/>
  <c r="H147" i="12" s="1"/>
  <c r="H223" i="12"/>
  <c r="E196" i="11"/>
  <c r="C197" i="11"/>
  <c r="D32" i="19" l="1"/>
  <c r="C45" i="19"/>
  <c r="C46" i="19" s="1"/>
  <c r="C52" i="23"/>
  <c r="C55" i="23" s="1"/>
  <c r="B65" i="22"/>
  <c r="N56" i="16"/>
  <c r="N59" i="16" s="1"/>
  <c r="N61" i="16" s="1"/>
  <c r="B94" i="22"/>
  <c r="C27" i="14"/>
  <c r="C39" i="14" s="1"/>
  <c r="AA11" i="14"/>
  <c r="AA13" i="14" s="1"/>
  <c r="C13" i="14"/>
  <c r="B61" i="16"/>
  <c r="B78" i="16"/>
  <c r="AC27" i="14"/>
  <c r="AC28" i="14" s="1"/>
  <c r="AC42" i="14" s="1"/>
  <c r="AC44" i="14" s="1"/>
  <c r="AC13" i="14"/>
  <c r="C93" i="22"/>
  <c r="C94" i="22" s="1"/>
  <c r="N64" i="22"/>
  <c r="N85" i="22"/>
  <c r="E104" i="11"/>
  <c r="C105" i="11"/>
  <c r="I163" i="12"/>
  <c r="D164" i="12"/>
  <c r="C89" i="12"/>
  <c r="E86" i="12"/>
  <c r="E89" i="12" s="1"/>
  <c r="P25" i="1"/>
  <c r="D38" i="8"/>
  <c r="E154" i="11"/>
  <c r="D226" i="12"/>
  <c r="I61" i="14"/>
  <c r="AI76" i="1"/>
  <c r="AJ73" i="1"/>
  <c r="AJ76" i="1" s="1"/>
  <c r="B82" i="16"/>
  <c r="E35" i="12"/>
  <c r="I223" i="12"/>
  <c r="C204" i="11"/>
  <c r="E201" i="11"/>
  <c r="C208" i="11"/>
  <c r="E202" i="11"/>
  <c r="C205" i="11"/>
  <c r="C146" i="12"/>
  <c r="E144" i="12"/>
  <c r="C216" i="12"/>
  <c r="C217" i="12"/>
  <c r="E217" i="12" s="1"/>
  <c r="R78" i="22"/>
  <c r="E17" i="11"/>
  <c r="I146" i="12"/>
  <c r="D147" i="12"/>
  <c r="C198" i="12"/>
  <c r="E198" i="12" s="1"/>
  <c r="C197" i="12"/>
  <c r="C200" i="12"/>
  <c r="E200" i="12" s="1"/>
  <c r="C52" i="12"/>
  <c r="E48" i="12"/>
  <c r="E52" i="12" s="1"/>
  <c r="N82" i="16"/>
  <c r="Q80" i="16"/>
  <c r="H113" i="12"/>
  <c r="H225" i="12"/>
  <c r="I225" i="12" s="1"/>
  <c r="E161" i="12"/>
  <c r="C163" i="12"/>
  <c r="D203" i="11"/>
  <c r="E203" i="11" s="1"/>
  <c r="C111" i="12"/>
  <c r="E111" i="12" s="1"/>
  <c r="C110" i="12"/>
  <c r="C72" i="12"/>
  <c r="E70" i="12"/>
  <c r="C178" i="12"/>
  <c r="C179" i="12"/>
  <c r="E179" i="12" s="1"/>
  <c r="I112" i="12"/>
  <c r="D113" i="12"/>
  <c r="D204" i="11"/>
  <c r="G61" i="14"/>
  <c r="E51" i="11"/>
  <c r="C52" i="11"/>
  <c r="Q82" i="16" l="1"/>
  <c r="P82" i="21"/>
  <c r="P84" i="21" s="1"/>
  <c r="N65" i="22"/>
  <c r="N78" i="16"/>
  <c r="N60" i="16"/>
  <c r="D271" i="17"/>
  <c r="O73" i="22"/>
  <c r="E270" i="17"/>
  <c r="AA39" i="14"/>
  <c r="C40" i="14"/>
  <c r="AA27" i="14"/>
  <c r="AA28" i="14" s="1"/>
  <c r="C28" i="14"/>
  <c r="N93" i="22"/>
  <c r="N94" i="22" s="1"/>
  <c r="E163" i="12"/>
  <c r="C164" i="12"/>
  <c r="E164" i="12" s="1"/>
  <c r="E146" i="12"/>
  <c r="C147" i="12"/>
  <c r="E147" i="12" s="1"/>
  <c r="D184" i="17"/>
  <c r="D241" i="17" s="1"/>
  <c r="E183" i="17"/>
  <c r="P78" i="1"/>
  <c r="P79" i="1" s="1"/>
  <c r="R25" i="1"/>
  <c r="R26" i="1" s="1"/>
  <c r="C180" i="12"/>
  <c r="E178" i="12"/>
  <c r="C112" i="12"/>
  <c r="E110" i="12"/>
  <c r="E197" i="12"/>
  <c r="C199" i="12"/>
  <c r="E204" i="11"/>
  <c r="I226" i="12"/>
  <c r="E216" i="12"/>
  <c r="C218" i="12"/>
  <c r="C91" i="12"/>
  <c r="E91" i="12" s="1"/>
  <c r="C90" i="12"/>
  <c r="H226" i="12"/>
  <c r="E72" i="12"/>
  <c r="C73" i="12"/>
  <c r="E73" i="12" s="1"/>
  <c r="C53" i="12"/>
  <c r="C54" i="12"/>
  <c r="K38" i="8"/>
  <c r="E39" i="8"/>
  <c r="P57" i="16" l="1"/>
  <c r="P63" i="22"/>
  <c r="E271" i="17"/>
  <c r="F271" i="17" s="1"/>
  <c r="Q57" i="16"/>
  <c r="Q73" i="22"/>
  <c r="R82" i="21" s="1"/>
  <c r="C42" i="14"/>
  <c r="C44" i="14" s="1"/>
  <c r="AG39" i="14"/>
  <c r="AG40" i="14" s="1"/>
  <c r="AA40" i="14"/>
  <c r="AA42" i="14" s="1"/>
  <c r="AA44" i="14" s="1"/>
  <c r="D265" i="17"/>
  <c r="D321" i="17" s="1"/>
  <c r="O71" i="22"/>
  <c r="E218" i="12"/>
  <c r="C219" i="12"/>
  <c r="E219" i="12" s="1"/>
  <c r="E199" i="12"/>
  <c r="E201" i="12" s="1"/>
  <c r="C201" i="12"/>
  <c r="C55" i="12"/>
  <c r="E53" i="12"/>
  <c r="C223" i="12"/>
  <c r="C92" i="12"/>
  <c r="E90" i="12"/>
  <c r="E180" i="12"/>
  <c r="C181" i="12"/>
  <c r="E181" i="12" s="1"/>
  <c r="E263" i="17"/>
  <c r="E184" i="17"/>
  <c r="E241" i="17" s="1"/>
  <c r="E54" i="12"/>
  <c r="C224" i="12"/>
  <c r="E224" i="12" s="1"/>
  <c r="E112" i="12"/>
  <c r="C113" i="12"/>
  <c r="E113" i="12" s="1"/>
  <c r="Q69" i="22"/>
  <c r="P92" i="22" l="1"/>
  <c r="Q92" i="22" s="1"/>
  <c r="Q63" i="22"/>
  <c r="R57" i="16" s="1"/>
  <c r="R84" i="21"/>
  <c r="T82" i="21"/>
  <c r="Q47" i="19" s="1"/>
  <c r="Q38" i="19" s="1"/>
  <c r="P56" i="22"/>
  <c r="E265" i="17"/>
  <c r="E321" i="17" s="1"/>
  <c r="O75" i="22"/>
  <c r="Q71" i="22"/>
  <c r="Q75" i="22" s="1"/>
  <c r="E92" i="12"/>
  <c r="C93" i="12"/>
  <c r="E93" i="12" s="1"/>
  <c r="E223" i="12"/>
  <c r="Q55" i="22"/>
  <c r="E55" i="12"/>
  <c r="C225" i="12"/>
  <c r="E225" i="12" s="1"/>
  <c r="C56" i="12"/>
  <c r="E56" i="12" s="1"/>
  <c r="T84" i="21" l="1"/>
  <c r="T85" i="21" s="1"/>
  <c r="Q76" i="22"/>
  <c r="F265" i="17"/>
  <c r="F321" i="17"/>
  <c r="Q58" i="16"/>
  <c r="T58" i="16" s="1"/>
  <c r="Q56" i="22"/>
  <c r="O59" i="16"/>
  <c r="P64" i="22"/>
  <c r="P56" i="16" s="1"/>
  <c r="E226" i="12"/>
  <c r="C226" i="12"/>
  <c r="Q84" i="22"/>
  <c r="O60" i="16" l="1"/>
  <c r="O85" i="22"/>
  <c r="R58" i="16"/>
  <c r="O61" i="16"/>
  <c r="V58" i="16"/>
  <c r="Q64" i="22"/>
  <c r="O93" i="22" l="1"/>
  <c r="O94" i="22" s="1"/>
  <c r="P65" i="22"/>
  <c r="Q56" i="16"/>
  <c r="Q65" i="22" s="1"/>
  <c r="R64" i="22"/>
  <c r="AE11" i="14"/>
  <c r="P59" i="16"/>
  <c r="P60" i="16" l="1"/>
  <c r="P85" i="22"/>
  <c r="S85" i="22" s="1"/>
  <c r="S86" i="22" s="1"/>
  <c r="P61" i="16"/>
  <c r="P62" i="16" s="1"/>
  <c r="R56" i="16"/>
  <c r="V56" i="16"/>
  <c r="T56" i="16"/>
  <c r="Q59" i="16"/>
  <c r="AE27" i="14"/>
  <c r="AE13" i="14"/>
  <c r="AG11" i="14"/>
  <c r="AG13" i="14" s="1"/>
  <c r="Q60" i="16" l="1"/>
  <c r="V59" i="16"/>
  <c r="Q61" i="16"/>
  <c r="Q85" i="22"/>
  <c r="R85" i="22" s="1"/>
  <c r="P93" i="22"/>
  <c r="P94" i="22" s="1"/>
  <c r="AE28" i="14"/>
  <c r="AE42" i="14" s="1"/>
  <c r="AE44" i="14" s="1"/>
  <c r="AG27" i="14"/>
  <c r="AG28" i="14" s="1"/>
  <c r="AG42" i="14" s="1"/>
  <c r="AG44" i="14" s="1"/>
  <c r="Q78" i="16"/>
  <c r="Q30" i="19"/>
  <c r="Q32" i="19" l="1"/>
  <c r="Q35" i="19" s="1"/>
  <c r="R30" i="19"/>
  <c r="R32" i="19" s="1"/>
  <c r="Q93" i="22"/>
  <c r="R93" i="22" s="1"/>
  <c r="S93" i="22" s="1"/>
  <c r="Q94" i="22" l="1"/>
  <c r="Q49" i="19"/>
  <c r="J21" i="23"/>
  <c r="V18" i="23"/>
  <c r="Y18" i="23" s="1"/>
  <c r="Q45" i="19" l="1"/>
  <c r="Q46" i="19" s="1"/>
  <c r="C6" i="23"/>
  <c r="C21" i="23" s="1"/>
  <c r="C40" i="23" s="1"/>
  <c r="C44" i="23" s="1"/>
  <c r="C66" i="23" s="1"/>
  <c r="C68" i="23" s="1"/>
  <c r="C70" i="23" s="1"/>
  <c r="Y21" i="23"/>
  <c r="V21" i="23"/>
  <c r="C35" i="23"/>
  <c r="C106" i="19"/>
  <c r="C107" i="19" s="1"/>
  <c r="C57" i="19"/>
  <c r="C58" i="19" s="1"/>
  <c r="C59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2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9" authorId="0" shapeId="0" xr:uid="{00000000-0006-0000-1700-00000D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 shapeId="0" xr:uid="{00000000-0006-0000-1700-00000E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 shapeId="0" xr:uid="{00000000-0006-0000-1700-00000F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cobrar de subsidiarias</t>
        </r>
      </text>
    </comment>
    <comment ref="P18" authorId="0" shapeId="0" xr:uid="{00000000-0006-0000-1700-00000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Reconocimiento de plusvalía mercantil</t>
        </r>
      </text>
    </comment>
    <comment ref="Q18" authorId="0" shapeId="0" xr:uid="{00000000-0006-0000-1700-000010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Capacity IRU Cable andino Inc</t>
        </r>
      </text>
    </comment>
    <comment ref="P20" authorId="0" shapeId="0" xr:uid="{00000000-0006-0000-1700-00000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provisión por deterioro y reconocimiento de vpp en Latamfiberhome</t>
        </r>
      </text>
    </comment>
    <comment ref="Q20" authorId="0" shapeId="0" xr:uid="{00000000-0006-0000-1700-00001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cada paquete accionario de subsiriaria</t>
        </r>
      </text>
    </comment>
    <comment ref="P27" authorId="0" shapeId="0" xr:uid="{00000000-0006-0000-1700-00000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28" authorId="0" shapeId="0" xr:uid="{00000000-0006-0000-1700-00000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de subsidiarias</t>
        </r>
      </text>
    </comment>
    <comment ref="P30" authorId="0" shapeId="0" xr:uid="{00000000-0006-0000-1700-000005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 de saldos consolidados</t>
        </r>
      </text>
    </comment>
    <comment ref="Q30" authorId="0" shapeId="0" xr:uid="{00000000-0006-0000-1700-00001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Eliminacion de cuenta Linkotel</t>
        </r>
      </text>
    </comment>
    <comment ref="P37" authorId="0" shapeId="0" xr:uid="{00000000-0006-0000-1700-000006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38" authorId="0" shapeId="0" xr:uid="{00000000-0006-0000-1700-000007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ajustes de saldos consolidados</t>
        </r>
      </text>
    </comment>
    <comment ref="P43" authorId="0" shapeId="0" xr:uid="{00000000-0006-0000-1700-000008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subsidiarias</t>
        </r>
      </text>
    </comment>
    <comment ref="P44" authorId="0" shapeId="0" xr:uid="{00000000-0006-0000-1700-000009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aportes de inversión en subsidiarias</t>
        </r>
      </text>
    </comment>
    <comment ref="P45" authorId="0" shapeId="0" xr:uid="{00000000-0006-0000-1700-00000A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47" authorId="0" shapeId="0" xr:uid="{00000000-0006-0000-1700-00000B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inversión en subsidiarias</t>
        </r>
      </text>
    </comment>
    <comment ref="Q48" authorId="0" shapeId="0" xr:uid="{00000000-0006-0000-1700-00001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50" authorId="0" shapeId="0" xr:uid="{00000000-0006-0000-1700-00000C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en subsidiarias</t>
        </r>
      </text>
    </comment>
    <comment ref="Q50" authorId="0" shapeId="0" xr:uid="{00000000-0006-0000-1700-00001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<sst xmlns="http://schemas.openxmlformats.org/spreadsheetml/2006/main" count="2660" uniqueCount="897">
  <si>
    <t>TELCONET S.A. Y SUBSIDIARIAS</t>
  </si>
  <si>
    <t xml:space="preserve">PLANILLA   DE  AJUSTES - PARA CONSOLIDADO </t>
  </si>
  <si>
    <t xml:space="preserve">AJUSTES </t>
  </si>
  <si>
    <t>Cuentas</t>
  </si>
  <si>
    <t>TELCONET S.A.
Al 31/12/2015</t>
  </si>
  <si>
    <t>Variación</t>
  </si>
  <si>
    <t>TELCONET S.A.
Al 31/12/2015 RESTRUCTURADO</t>
  </si>
  <si>
    <t>CABLE ANDINO INC.
Al 31/12/2015</t>
  </si>
  <si>
    <t>CABLE ANDINO S.A.
Al 31/12/2015</t>
  </si>
  <si>
    <t>TRANSTELCO
Al 31/12/2015</t>
  </si>
  <si>
    <t>NETSPEED
Al 31/12/2015</t>
  </si>
  <si>
    <t>CERINSA
Al 31/12/2015</t>
  </si>
  <si>
    <t>ECONOCOMPU
Al 31/12/2015</t>
  </si>
  <si>
    <t>SMARTCITIES S.A.
Al 31/12/2015</t>
  </si>
  <si>
    <t>INMOB. LEONOR3
Al 31/12/2015</t>
  </si>
  <si>
    <t>TELSOTERRA
Al 31/12/2015</t>
  </si>
  <si>
    <t>Consolidado 
antes de 
Ajustes</t>
  </si>
  <si>
    <t>Notas</t>
  </si>
  <si>
    <t xml:space="preserve">Débitos </t>
  </si>
  <si>
    <t xml:space="preserve">Créditos </t>
  </si>
  <si>
    <t>Saldos
Consoliadados
al 31.12.2015 RESTRUCTURADOS</t>
  </si>
  <si>
    <t>TELCONET S.A.
Al 31/12/2017</t>
  </si>
  <si>
    <t>CABLE ANDINO INC.
Al 31/12/2017</t>
  </si>
  <si>
    <t>CABLE ANDINO CORPORANDINO
Al 31/12/2017</t>
  </si>
  <si>
    <t>TRANSTELCO
Al 31/12/2017</t>
  </si>
  <si>
    <t>NETSPEED
Al 31/12/2017</t>
  </si>
  <si>
    <t>CERINSA
Al 31/12/2017</t>
  </si>
  <si>
    <t>ECONOCOMPU
Al 31/12/2017</t>
  </si>
  <si>
    <t>SMARTCITIES S.A.
Al 31/12/2017</t>
  </si>
  <si>
    <t>INMOB. LEONOR3
Al 31/12/2017</t>
  </si>
  <si>
    <t>TELSOTERRA
Al 31/12/2017</t>
  </si>
  <si>
    <t>Linkotel Al 31/12/2017</t>
  </si>
  <si>
    <t>Telconet Panamá</t>
  </si>
  <si>
    <t>Saldos
Consolidados
al 31.12.2017</t>
  </si>
  <si>
    <t>Saldos
Consolidados
al 31.12.2015 REESTRUCTURADO</t>
  </si>
  <si>
    <t>Efectivo y equivalentes de efectivo</t>
  </si>
  <si>
    <t>Inversiones mantenidas hasta el vencimiento</t>
  </si>
  <si>
    <t>Activos financieros a valor razonable</t>
  </si>
  <si>
    <t>Cuentas por cobrar comerciales</t>
  </si>
  <si>
    <t>c</t>
  </si>
  <si>
    <t>Cuentas por cobrar relacionadas</t>
  </si>
  <si>
    <t>d</t>
  </si>
  <si>
    <t>Otras cuentas por cobrar</t>
  </si>
  <si>
    <t>Impuestos por recuperar</t>
  </si>
  <si>
    <t xml:space="preserve"> </t>
  </si>
  <si>
    <t>Anticipos a proveedores</t>
  </si>
  <si>
    <t>Inventarios</t>
  </si>
  <si>
    <t>Trabajos en proceso</t>
  </si>
  <si>
    <t>Cuentas por cobrar relacionadas L/P</t>
  </si>
  <si>
    <t>Otras cuentas por cobrar L/P</t>
  </si>
  <si>
    <t>Propiedades y equipos</t>
  </si>
  <si>
    <t>b</t>
  </si>
  <si>
    <t>a</t>
  </si>
  <si>
    <t>Propiedades de inversión</t>
  </si>
  <si>
    <t>Activos intangibles</t>
  </si>
  <si>
    <t>Trabajos en proceso L/P</t>
  </si>
  <si>
    <t>Inversiones en derechos fiduciarios</t>
  </si>
  <si>
    <t>Inversiones en subsidiarias y asociadas</t>
  </si>
  <si>
    <t>a / b / e</t>
  </si>
  <si>
    <t>a / b</t>
  </si>
  <si>
    <t>Proyectos</t>
  </si>
  <si>
    <t>Otros activos</t>
  </si>
  <si>
    <t>Plusvalía</t>
  </si>
  <si>
    <t>Total activos</t>
  </si>
  <si>
    <t>Sobregiros bancarios</t>
  </si>
  <si>
    <t>Porción corriente de las obligaciones financieras</t>
  </si>
  <si>
    <t>Porcion corriente de valores emitidos</t>
  </si>
  <si>
    <t>Cuentas por pagar a proveedores</t>
  </si>
  <si>
    <t>Cuentas por pagar relacionadas</t>
  </si>
  <si>
    <t>b / c</t>
  </si>
  <si>
    <t>Impuesto a la renta por pagar</t>
  </si>
  <si>
    <t>Otros impuestos por pagar</t>
  </si>
  <si>
    <t>Otras cuentas por pagar</t>
  </si>
  <si>
    <t xml:space="preserve">b </t>
  </si>
  <si>
    <t>Anticipos de clientes</t>
  </si>
  <si>
    <t>Beneficios sociales</t>
  </si>
  <si>
    <t>Ingresos diferidos</t>
  </si>
  <si>
    <t>Obligaciones financieras</t>
  </si>
  <si>
    <t>Valores emitidos</t>
  </si>
  <si>
    <t>Cuentas por pagar a proveedores L/P</t>
  </si>
  <si>
    <t>Cuentas por pagar relacionadas L/P</t>
  </si>
  <si>
    <t>Otras cuentas por pagar L/P</t>
  </si>
  <si>
    <t>Anticipos de clientes L/P</t>
  </si>
  <si>
    <t>Beneficios sociales L/P</t>
  </si>
  <si>
    <t>Ingresos diferidos L/P</t>
  </si>
  <si>
    <t>Provisiones</t>
  </si>
  <si>
    <t>Total pasivos</t>
  </si>
  <si>
    <t>Capital Social</t>
  </si>
  <si>
    <t>Aporte para futuras capitalizaciones</t>
  </si>
  <si>
    <t>a / b / d</t>
  </si>
  <si>
    <t>Reserva legal</t>
  </si>
  <si>
    <t>Reserva facultativa</t>
  </si>
  <si>
    <t>Reserva de capital</t>
  </si>
  <si>
    <t>Ajuste de Primera Adopcion NIIF</t>
  </si>
  <si>
    <t>Otros resultados integrales</t>
  </si>
  <si>
    <t>Utilidades Acumuladas</t>
  </si>
  <si>
    <t>d /  b</t>
  </si>
  <si>
    <t>a / b / c</t>
  </si>
  <si>
    <t>Resultado integral del año</t>
  </si>
  <si>
    <t>Participación No Controladora (PNC)</t>
  </si>
  <si>
    <t>Total patrimonio</t>
  </si>
  <si>
    <t>Ingresos por ventas</t>
  </si>
  <si>
    <t>Costo de venta</t>
  </si>
  <si>
    <t>Utilidad bruta</t>
  </si>
  <si>
    <t>Gastos de administración y ventas</t>
  </si>
  <si>
    <t>Otros ingresos, neto</t>
  </si>
  <si>
    <t>b / e</t>
  </si>
  <si>
    <t>Utilidad operacional</t>
  </si>
  <si>
    <t>Gastos financieros, neto</t>
  </si>
  <si>
    <t>Utilidad antes de IR</t>
  </si>
  <si>
    <t>Participación a trabajadores</t>
  </si>
  <si>
    <t>Impuesto a las ganancias</t>
  </si>
  <si>
    <t xml:space="preserve">Utilidad  del Ejercicio </t>
  </si>
  <si>
    <t>(Pérdidas) ganancias actuariales</t>
  </si>
  <si>
    <t>(A)</t>
  </si>
  <si>
    <t>Resultado correspondiente a la controladora</t>
  </si>
  <si>
    <t>Pérdida de Asociada Latam</t>
  </si>
  <si>
    <t>Resultado correspondiente a la PNC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</si>
  <si>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</si>
  <si>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</si>
  <si>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</si>
  <si>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</si>
  <si>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</si>
  <si>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</si>
  <si>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</si>
  <si>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Pendiente clasificacion</t>
  </si>
  <si>
    <t>Cuentas por cobrar a compañías relacionadas</t>
  </si>
  <si>
    <t>Total activos corrientes</t>
  </si>
  <si>
    <t>Activos no corrientes mantenidos para la venta</t>
  </si>
  <si>
    <t>Activos no corrientes</t>
  </si>
  <si>
    <t>Redactar reclasificacion a trabajos en proceso por US$38 millones</t>
  </si>
  <si>
    <t xml:space="preserve">Propiedades de inversión </t>
  </si>
  <si>
    <t>Pendiente movimiento de proyecto</t>
  </si>
  <si>
    <t>Total activos no corrientes</t>
  </si>
  <si>
    <t>PASIVOS Y PATRIMONIO</t>
  </si>
  <si>
    <t>PASIVOS</t>
  </si>
  <si>
    <t>Pasivos corrientes</t>
  </si>
  <si>
    <t>Préstamos y obligaciones financieras</t>
  </si>
  <si>
    <t xml:space="preserve">Cuentas por pagar a proveedores </t>
  </si>
  <si>
    <t>Cuentas por pagar a compañías relacionadas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</si>
  <si>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</si>
  <si>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</si>
  <si>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</si>
  <si>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</si>
  <si>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</si>
  <si>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</si>
  <si>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</si>
  <si>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</si>
  <si>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Reservas</t>
  </si>
  <si>
    <t>Resultados acumulados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</si>
  <si>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</si>
  <si>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</si>
  <si>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</si>
  <si>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</si>
  <si>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</si>
  <si>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</si>
  <si>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</si>
  <si>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</si>
  <si>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</si>
  <si>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</si>
  <si>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</si>
  <si>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</si>
  <si>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</si>
  <si>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</si>
  <si>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</si>
  <si>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</si>
  <si>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</si>
  <si>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 xml:space="preserve">Aportes para futuras </t>
  </si>
  <si>
    <t>Reserva de</t>
  </si>
  <si>
    <t>Por aplicación</t>
  </si>
  <si>
    <t>Resultados</t>
  </si>
  <si>
    <t>Participación</t>
  </si>
  <si>
    <t>Capital social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</si>
  <si>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</si>
  <si>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</si>
  <si>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</si>
  <si>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</si>
  <si>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</si>
  <si>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</si>
  <si>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</si>
  <si>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</si>
  <si>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</si>
  <si>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</si>
  <si>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</si>
  <si>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</si>
  <si>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</si>
  <si>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</si>
  <si>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</si>
  <si>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</si>
  <si>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</si>
  <si>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</si>
  <si>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</si>
  <si>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</si>
  <si>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</si>
  <si>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</si>
  <si>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</si>
  <si>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</si>
  <si>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>Saldos al 31 de diciembre del 2016</t>
  </si>
  <si>
    <t>Cuenta</t>
  </si>
  <si>
    <t>Compañía</t>
  </si>
  <si>
    <t>Debe</t>
  </si>
  <si>
    <t>Haber</t>
  </si>
  <si>
    <t xml:space="preserve">Capital Social </t>
  </si>
  <si>
    <t>Subsidiarias</t>
  </si>
  <si>
    <t>Aporte para futura capitalización</t>
  </si>
  <si>
    <t xml:space="preserve">Reserva Legal </t>
  </si>
  <si>
    <t xml:space="preserve">Reserva de capital </t>
  </si>
  <si>
    <t xml:space="preserve">Resultados Acumulados </t>
  </si>
  <si>
    <t>Consolidado</t>
  </si>
  <si>
    <t>Resultados Acumulados (Resultado primera consolidación)</t>
  </si>
  <si>
    <t>Propiedades y equipos (Leonor3)</t>
  </si>
  <si>
    <t xml:space="preserve">    Inversión en Subsidiarias</t>
  </si>
  <si>
    <t>Telconet</t>
  </si>
  <si>
    <t xml:space="preserve">    Participación No Controladora</t>
  </si>
  <si>
    <t>d)    Eliminación de saldos por Cobrar  y  por Pagar</t>
  </si>
  <si>
    <t xml:space="preserve">CUENTA </t>
  </si>
  <si>
    <t>DEBE</t>
  </si>
  <si>
    <t xml:space="preserve">HABER </t>
  </si>
  <si>
    <t>Cuentas por cobrar relacionada</t>
  </si>
  <si>
    <t>CABLE ANDINO INC</t>
  </si>
  <si>
    <t xml:space="preserve">Cuentas por cobrar relacionadas </t>
  </si>
  <si>
    <t>CORPORANDINO</t>
  </si>
  <si>
    <t>TELCONET</t>
  </si>
  <si>
    <t>TELSOTERRA</t>
  </si>
  <si>
    <t>TELCONET PANAMA</t>
  </si>
  <si>
    <t>TRASNSTELCO</t>
  </si>
  <si>
    <t>LINKOTEL</t>
  </si>
  <si>
    <t>Cuentas por pagar relacionada</t>
  </si>
  <si>
    <t>TELCONET S.A.</t>
  </si>
  <si>
    <t>Cuentas por pagar relacionada L/P</t>
  </si>
  <si>
    <t>Cuentas por PAGAR relacionada</t>
  </si>
  <si>
    <t>NETSPEED</t>
  </si>
  <si>
    <t>Cuentas por pagar</t>
  </si>
  <si>
    <t xml:space="preserve"> TELCONET S.A.</t>
  </si>
  <si>
    <t>Cuentas por pagar Proveedores</t>
  </si>
  <si>
    <t>DIFERENCIA EN PANAMA</t>
  </si>
  <si>
    <t>RESUMEN DE ASIENTOS</t>
  </si>
  <si>
    <t>Cuentas por pagar proveedores</t>
  </si>
  <si>
    <t>Cuentas por cobrar relacionada L/P</t>
  </si>
  <si>
    <t>Cuentas por cobrar CLIENTES</t>
  </si>
  <si>
    <t>d)    Eliminación de Ingresos en Telconet por ventas a Subsidiarias</t>
  </si>
  <si>
    <t xml:space="preserve">Ingresos por ventas </t>
  </si>
  <si>
    <t xml:space="preserve">Costos de ventas </t>
  </si>
  <si>
    <t>Cable Andino Inc.</t>
  </si>
  <si>
    <t>Corpoandino S.A.</t>
  </si>
  <si>
    <t>Telsoterra</t>
  </si>
  <si>
    <t xml:space="preserve">Ingreso por ventas </t>
  </si>
  <si>
    <t>Linkotel</t>
  </si>
  <si>
    <t>Gastos administrativos</t>
  </si>
  <si>
    <t>ASIENTOS DE AJUSTES</t>
  </si>
  <si>
    <t>AL 31.12.2015</t>
  </si>
  <si>
    <t>a)   Eliminación en Subsidiarias de aporte aún no efectivizado por parte de Telconet S.A.</t>
  </si>
  <si>
    <t xml:space="preserve">Los movimientos que han tenido la Inversión son los siguientes: </t>
  </si>
  <si>
    <t>CABLE ANDINO S.A.</t>
  </si>
  <si>
    <t>TRANSTELCO</t>
  </si>
  <si>
    <t>CERINSA</t>
  </si>
  <si>
    <t>ECONOCOMPU</t>
  </si>
  <si>
    <t>SMARTCITIES S.A.</t>
  </si>
  <si>
    <t>LEONOR3</t>
  </si>
  <si>
    <t>Total</t>
  </si>
  <si>
    <t xml:space="preserve">Costo de Adquisición </t>
  </si>
  <si>
    <t>Valor de la Inversión al 31.12.2015</t>
  </si>
  <si>
    <t>Total saldo de cuenta inversiones en Telconet S.A. al 31.12.2015</t>
  </si>
  <si>
    <t>Aporte para futura capitalización (Subsidiarias)</t>
  </si>
  <si>
    <t>b)   Eliminación de las inversiones en subsidiarias</t>
  </si>
  <si>
    <t>Resultados del ejercicio (Mindshare - Glue)</t>
  </si>
  <si>
    <t>REVALORIZACION</t>
  </si>
  <si>
    <t>c)    Eliminación de Ingresos en Telconet por ventas a Subsidiarias</t>
  </si>
  <si>
    <t>Ingresos por ventas (Corpandino)</t>
  </si>
  <si>
    <t>Telconet facturó a Corpandino equipos por US$548,473 menos N/C por US$50,542 (Incluye IVA)</t>
  </si>
  <si>
    <t>Costos de ventas (Corpandino)</t>
  </si>
  <si>
    <t>Valor de la venta sin IVA y descontada la N/C</t>
  </si>
  <si>
    <t>Ingreso y Gasto</t>
  </si>
  <si>
    <t>Telconet facturó a Transtelco instalaciones por US$963,539 menos N/C por US$13,173 (Incluye IVA)</t>
  </si>
  <si>
    <t>Ingreso por ventas (Cable Andino INC)</t>
  </si>
  <si>
    <t>provisionado 2014</t>
  </si>
  <si>
    <t>Gastos administrativos (Telconet)</t>
  </si>
  <si>
    <t>Cable Andino INC</t>
  </si>
  <si>
    <t>Corpandino</t>
  </si>
  <si>
    <t xml:space="preserve">Cuentas por pagar relacionada L/P </t>
  </si>
  <si>
    <t>Transtelco</t>
  </si>
  <si>
    <t>Netspeed</t>
  </si>
  <si>
    <t>Econocompu</t>
  </si>
  <si>
    <t>Activo intangible</t>
  </si>
  <si>
    <t>Trabajos en Proceso L/P</t>
  </si>
  <si>
    <t>e)   Ajuste pérdida de asociada (Latam)</t>
  </si>
  <si>
    <t>Controladora</t>
  </si>
  <si>
    <t xml:space="preserve">    Inversiones en asociadas</t>
  </si>
  <si>
    <t xml:space="preserve">CABLE ANDINO INC </t>
  </si>
  <si>
    <t>Total de activos netos de la subsidiaria = patrimonio 31/12/2015</t>
  </si>
  <si>
    <t>Valor razonable de los Activos Netos de Cable Andino INC al 31/12/2015</t>
  </si>
  <si>
    <t>PNC  basado en activos netos</t>
  </si>
  <si>
    <t>VR de la contraprestación</t>
  </si>
  <si>
    <t>Telconet S.A.</t>
  </si>
  <si>
    <t>Monto del PNC  (24,98% de US$36.760.932)</t>
  </si>
  <si>
    <t>´(1)</t>
  </si>
  <si>
    <t>No controlador</t>
  </si>
  <si>
    <t xml:space="preserve">Porción controlada </t>
  </si>
  <si>
    <t>(-) Activos netos identificables adquiridos de Cable Andino INC</t>
  </si>
  <si>
    <t>Descontado el aporte para futura capitalización de Telconet</t>
  </si>
  <si>
    <t>´(2)</t>
  </si>
  <si>
    <t>Resultados Acumulados</t>
  </si>
  <si>
    <t xml:space="preserve">CABLE ANDINO S.A. </t>
  </si>
  <si>
    <t>Valor razonable de los Activos Netos de Cable Andino al 31/12/2015</t>
  </si>
  <si>
    <t>Monto del PNC  (0,0476% de US$21.123)</t>
  </si>
  <si>
    <t>(-) Activos netos identificables adquiridos de Cable Andino</t>
  </si>
  <si>
    <t>´(3)</t>
  </si>
  <si>
    <t>TRANSTELCO S.A.</t>
  </si>
  <si>
    <t>Valor razonable de los Activos Netos de Transtelco al 31/12/2015</t>
  </si>
  <si>
    <t>Monto del PNC  (32% de US$830.061)</t>
  </si>
  <si>
    <t>(-) Activos netos identificables adquiridos de Transtelco</t>
  </si>
  <si>
    <t>NETSPEED S.A.</t>
  </si>
  <si>
    <t>Valor razonable de los Activos Netos de Netspeed al 31/12/2015</t>
  </si>
  <si>
    <t>Monto del PNC  (50% de US$238.219)</t>
  </si>
  <si>
    <t>(-) Activos netos identificables adquiridos de Netspeed</t>
  </si>
  <si>
    <t>CERINSA S.A.</t>
  </si>
  <si>
    <t>Valor razonable de los Activos Netos de Cerinsa al 31/12/2015</t>
  </si>
  <si>
    <t>Monto del PNC  (25% de US$400.661)</t>
  </si>
  <si>
    <t>(-) Activos netos identificables adquiridos de Cerinsa</t>
  </si>
  <si>
    <t>ECONOCOMPU S.A.</t>
  </si>
  <si>
    <t>Valor razonable de los Activos Netos de Econocompu al 31/12/2015</t>
  </si>
  <si>
    <t>Monto del PNC  (7,2% de US$7.195)</t>
  </si>
  <si>
    <t>(-) Activos netos identificables adquiridos de Econocompu</t>
  </si>
  <si>
    <t>Valor razonable de los Activos Netos de Smartcities al 31/12/2015</t>
  </si>
  <si>
    <t>Monto del PNC  (40% de US$10.000)</t>
  </si>
  <si>
    <t>(-) Activos netos identificables adquiridos de Smartcities</t>
  </si>
  <si>
    <t>-</t>
  </si>
  <si>
    <t>INMOBILIARIA LEONORTRES S.A.</t>
  </si>
  <si>
    <t>Incrementada la revalorización de propiedad S/avalúo catastral</t>
  </si>
  <si>
    <t>Valor razonable de los Activos Netos de Inmob. Leonor3 al 31/12/2015</t>
  </si>
  <si>
    <t>Monto del PNC  (0,0050% de US$1.140)</t>
  </si>
  <si>
    <t>(-) Activos netos identificables adquiridos de Inmobiliaria Leonortres</t>
  </si>
  <si>
    <t>TELSOTERRA S.A.</t>
  </si>
  <si>
    <t>Valor razonable de los Activos Netos de Telsoterra al 31/12/2015</t>
  </si>
  <si>
    <t>Monto del PNC  (7,5% de US$800)</t>
  </si>
  <si>
    <t>(-) Activos netos identificables adquiridos de Telsoterra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</si>
  <si>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(1)=</t>
    </r>
  </si>
  <si>
    <t>Participación no controladora al 31.12.2014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</si>
  <si>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(2)=</t>
    </r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</si>
  <si>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(3)=</t>
    </r>
  </si>
  <si>
    <t>2015 (En miles de US$)</t>
  </si>
  <si>
    <t>Audex</t>
  </si>
  <si>
    <t>Total activo corriente</t>
  </si>
  <si>
    <t>Total activo no corriente</t>
  </si>
  <si>
    <t>Total pasivo corriente</t>
  </si>
  <si>
    <t>Total pasivo no corriente</t>
  </si>
  <si>
    <t>Ingresos</t>
  </si>
  <si>
    <t>Costos y gastos</t>
  </si>
  <si>
    <t>Utilidad neta</t>
  </si>
  <si>
    <t>2014 (En miles de US$)</t>
  </si>
  <si>
    <t>Audex
Farmesr</t>
  </si>
  <si>
    <t>Reestructurado</t>
  </si>
  <si>
    <t>% Controlador</t>
  </si>
  <si>
    <t>% No Controlador</t>
  </si>
  <si>
    <t>PATRIMONIO - Cable Andino INC</t>
  </si>
  <si>
    <t>31/12/2017</t>
  </si>
  <si>
    <t>31/12/2016</t>
  </si>
  <si>
    <t>APORTES</t>
  </si>
  <si>
    <t>Resultados del ejercicio</t>
  </si>
  <si>
    <t>Patrimonio total</t>
  </si>
  <si>
    <t>PC</t>
  </si>
  <si>
    <t>PNC</t>
  </si>
  <si>
    <t xml:space="preserve">PATRIMONIO - Cable Andino S.A. </t>
  </si>
  <si>
    <t>AJUSTE - PASIVO</t>
  </si>
  <si>
    <t>(-) Aumento de capital</t>
  </si>
  <si>
    <t>R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</si>
  <si>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</si>
  <si>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</si>
  <si>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</si>
  <si>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</si>
  <si>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</si>
  <si>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</si>
  <si>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 - Econocompu</t>
  </si>
  <si>
    <t>AJUSTE</t>
  </si>
  <si>
    <t>Patrimonio, Total</t>
  </si>
  <si>
    <t>PATRIMONIO - Smartcities</t>
  </si>
  <si>
    <t>PATRIMONIO - Inmobiliaria Leonor3</t>
  </si>
  <si>
    <t>PATRIMONIO - Telsoterra</t>
  </si>
  <si>
    <t>PATRIMONIO - Linkotel</t>
  </si>
  <si>
    <t>Patrimionio Neto</t>
  </si>
  <si>
    <t>Eliminado el aporte de ex accionista</t>
  </si>
  <si>
    <t xml:space="preserve">Monto del PNC </t>
  </si>
  <si>
    <t>(-) Activos netos identificables adquiridos de Linkotel</t>
  </si>
  <si>
    <t>PATRIMONIO - TELCONET PANAMÁ</t>
  </si>
  <si>
    <t>Participación controladora Total</t>
  </si>
  <si>
    <t>Participación no controladora Total</t>
  </si>
  <si>
    <t>Participación Total</t>
  </si>
  <si>
    <t>Diferencia</t>
  </si>
  <si>
    <t>PATRIMONIO - Telconet</t>
  </si>
  <si>
    <t>31/12/2018</t>
  </si>
  <si>
    <t>TELCONET &amp; SUBSIDIARIAS</t>
  </si>
  <si>
    <t>MOVIMIENTO DE LAS CUENTAS DE INVERSIONES EN ACCIONES</t>
  </si>
  <si>
    <t>Al 31 de diciembre del 2020</t>
  </si>
  <si>
    <t xml:space="preserve">     INVERSIONES - ACCIONES</t>
  </si>
  <si>
    <t xml:space="preserve">      INVERSIONES  CABLE ANDINO</t>
  </si>
  <si>
    <t>1-4-1-01-01-001</t>
  </si>
  <si>
    <t xml:space="preserve">      APORTE INVERSION CORPANDINO</t>
  </si>
  <si>
    <t>1-4-1-01-01-014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</si>
  <si>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</si>
  <si>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</si>
  <si>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</si>
  <si>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</si>
  <si>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</si>
  <si>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</si>
  <si>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</si>
  <si>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</si>
  <si>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</si>
  <si>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</si>
  <si>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</si>
  <si>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</si>
  <si>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LEONOR III</t>
  </si>
  <si>
    <t>1-4-1-01-01-013</t>
  </si>
  <si>
    <t xml:space="preserve">      INVERSION ACCIONES TELSOTERRA</t>
  </si>
  <si>
    <t>1-4-1-01-01-016</t>
  </si>
  <si>
    <t xml:space="preserve">      INVERSION TELCONET-PANAMA</t>
  </si>
  <si>
    <t>1-4-1-01-01-018</t>
  </si>
  <si>
    <t xml:space="preserve">      PROV. DETERIORO INVERSION EN ACCIO</t>
  </si>
  <si>
    <t>1-4-1-01-01-020</t>
  </si>
  <si>
    <t>ASOCIADAS Y AFILIADAS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</si>
  <si>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</si>
  <si>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</si>
  <si>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</si>
  <si>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</si>
  <si>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</si>
  <si>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</si>
  <si>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GEEKTECH</t>
  </si>
  <si>
    <t>1-4-1-01-01-012</t>
  </si>
  <si>
    <t xml:space="preserve">      INVERSION CONSORCIO SYSTOR</t>
  </si>
  <si>
    <t>1-4-1-01-01-017</t>
  </si>
  <si>
    <t>|</t>
  </si>
  <si>
    <t>Cable Andino Inc</t>
  </si>
  <si>
    <t>Cable Andino Corpandino</t>
  </si>
  <si>
    <t>Cerinsa</t>
  </si>
  <si>
    <t>Smartcities</t>
  </si>
  <si>
    <t>Inmobiliaria Leonortres</t>
  </si>
  <si>
    <t>Aporte futuras capitalizaciones</t>
  </si>
  <si>
    <t>Reserva de Capital</t>
  </si>
  <si>
    <t>Otros resultados integrales (ORI)</t>
  </si>
  <si>
    <t>Superavit por revaluación</t>
  </si>
  <si>
    <t>Reserva por aplicación inicial NIIF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</si>
  <si>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</si>
  <si>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</si>
  <si>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</si>
  <si>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</si>
  <si>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</si>
  <si>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Calculo de la PNC en los resultados del ejercicio</t>
  </si>
  <si>
    <t>Compania</t>
  </si>
  <si>
    <t>% Participacion</t>
  </si>
  <si>
    <t>Participacion controladora US$</t>
  </si>
  <si>
    <t>PNC         US$</t>
  </si>
  <si>
    <t>Corpoandino</t>
  </si>
  <si>
    <t>Leonor3</t>
  </si>
  <si>
    <t>Telconet Panama</t>
  </si>
  <si>
    <t>TOTAL</t>
  </si>
  <si>
    <t>TELCONET Y SUBSIDIARIAS</t>
  </si>
  <si>
    <t>ELIMINACION DE CUENTAS Y SALDOS CON SUBSIDIARIAS</t>
  </si>
  <si>
    <t>Al 31 de diciembre del 2019</t>
  </si>
  <si>
    <t>COMPANIA</t>
  </si>
  <si>
    <t>DETALLE</t>
  </si>
  <si>
    <t>HABER</t>
  </si>
  <si>
    <t>---A---</t>
  </si>
  <si>
    <t>Cable Andino S.A. Corpandino</t>
  </si>
  <si>
    <t>Cuentas por pagar relacionadas CP</t>
  </si>
  <si>
    <t>Cuentas por pagar relacionadas LP</t>
  </si>
  <si>
    <t>Otras cuentas por cobrar CP</t>
  </si>
  <si>
    <t xml:space="preserve">    á Cuentas por cobrar relacionadas CP</t>
  </si>
  <si>
    <t xml:space="preserve">    á Cuentas por cobrar relacionadas LP</t>
  </si>
  <si>
    <t>R/ Para eliminar saldos entre Telconet y Corpandino</t>
  </si>
  <si>
    <t>---B---</t>
  </si>
  <si>
    <t>Aportes para futura capitalizacion</t>
  </si>
  <si>
    <t xml:space="preserve">     á Cuentas por cobrar comerciales</t>
  </si>
  <si>
    <t xml:space="preserve">     á Cuentas por cobrar relacionadas CP</t>
  </si>
  <si>
    <t xml:space="preserve">     á Otras cuentas por pagar CP</t>
  </si>
  <si>
    <t>R/ Para eliminar saldos entre Telconet y Cable Andino Inc.</t>
  </si>
  <si>
    <t>---C---</t>
  </si>
  <si>
    <t xml:space="preserve">     Cuentas por cobrar relacionadas CP</t>
  </si>
  <si>
    <t>R/ Para eliminar saldos entre Telconet y Netspeed</t>
  </si>
  <si>
    <t>---D---</t>
  </si>
  <si>
    <t>Cuenta por pagar relacionada CP</t>
  </si>
  <si>
    <t>R/ Para eliminar saldos entre Telconet y Telsoterra</t>
  </si>
  <si>
    <t>---E---</t>
  </si>
  <si>
    <t>R/ Para eliminar saldos entre Telconet y Linkotel</t>
  </si>
  <si>
    <t>---F---</t>
  </si>
  <si>
    <t>Otras cuentas por pagar CP</t>
  </si>
  <si>
    <t xml:space="preserve">     Inversiones en subsidiarias</t>
  </si>
  <si>
    <t>R/ Para eliminar inversión y saldos entre Telconet y Telconet Panamá</t>
  </si>
  <si>
    <t>---G---</t>
  </si>
  <si>
    <t>R/ Para eliminar saldos entre Cable Andino Inc y Corpandino</t>
  </si>
  <si>
    <t>ELIMINACION DE SALDOS INTERCOMPANY (VER PESTANIA SALDOS INTERCO. 2019)</t>
  </si>
  <si>
    <t>Cuentas por pagar relacionadas C/P</t>
  </si>
  <si>
    <t>Otras cuentas por pagar L/P (Anticipos de clientes)</t>
  </si>
  <si>
    <t>á Cuentas por cobrar relacionada C/P</t>
  </si>
  <si>
    <t>á Cuentas por cobrar comerciales C/P</t>
  </si>
  <si>
    <t>á Otras cuentas por pagar C/P</t>
  </si>
  <si>
    <t>á Activos intangibles</t>
  </si>
  <si>
    <t>á Inversiones en subsidiarias</t>
  </si>
  <si>
    <t>á Cuentas por pagar relacionadas L/P (Linkotel)</t>
  </si>
  <si>
    <t>SUMAN</t>
  </si>
  <si>
    <t>ok</t>
  </si>
  <si>
    <t>Falta</t>
  </si>
  <si>
    <t>Balance General</t>
  </si>
  <si>
    <t>Telconet S.A.
31/12/2020</t>
  </si>
  <si>
    <t>Cable Andino Inc.
31/12/2020</t>
  </si>
  <si>
    <t>Cable Andino Corpoandino 
31/12/2020</t>
  </si>
  <si>
    <t>Transtelco
31/12/2020</t>
  </si>
  <si>
    <t>Netspeed
31/12/2020</t>
  </si>
  <si>
    <t>Cerinsa
31/12/2020</t>
  </si>
  <si>
    <t>Econocompu
31/12/2020</t>
  </si>
  <si>
    <t>Smartcities
31/12/2020</t>
  </si>
  <si>
    <t>Inmob. Leonor3
31/12/2020</t>
  </si>
  <si>
    <t>Telsoterra
31/12/2020</t>
  </si>
  <si>
    <t>Linkotel 31/12/2020</t>
  </si>
  <si>
    <t>Telconet Panamá 31/12/2020</t>
  </si>
  <si>
    <t>Saldos
Consolidados
al 31.12.2020</t>
  </si>
  <si>
    <t>Cuentas por cobrar comerciales (clientes)</t>
  </si>
  <si>
    <t>Depreciación Acumulada</t>
  </si>
  <si>
    <t>Inversiones en asociadas</t>
  </si>
  <si>
    <t>Activos por Impuestos diferidos</t>
  </si>
  <si>
    <t>Activos por derechos de uso</t>
  </si>
  <si>
    <t>Pasivos de contrato</t>
  </si>
  <si>
    <t>Pasivos por arrendamientos</t>
  </si>
  <si>
    <t>Obligaciones financieras L/P</t>
  </si>
  <si>
    <t>Jubilacion patronal y desahucio</t>
  </si>
  <si>
    <t>Pasivos por arrendamientos L/P</t>
  </si>
  <si>
    <t>Superávit por revaluación</t>
  </si>
  <si>
    <t>Utilidad/Perdida del Ejercicio</t>
  </si>
  <si>
    <t>Participación no controladora</t>
  </si>
  <si>
    <t>Estado de Resultados</t>
  </si>
  <si>
    <t>Detalle</t>
  </si>
  <si>
    <t>---1---</t>
  </si>
  <si>
    <t>Geektech</t>
  </si>
  <si>
    <t xml:space="preserve">     Cuentas por cobrar comerciales</t>
  </si>
  <si>
    <t>R/ Para eliminar inversión y saldos entre Telconet y Corpandino</t>
  </si>
  <si>
    <t>---2---</t>
  </si>
  <si>
    <t>Inmobiliaria Leonortres S.A.</t>
  </si>
  <si>
    <t>Propiedad y equipos</t>
  </si>
  <si>
    <t>R/ Para eliminar inversión entre Telconet y Leonortres</t>
  </si>
  <si>
    <t>---3---</t>
  </si>
  <si>
    <t>Reserva Legal</t>
  </si>
  <si>
    <t>Inversiones en subsidiarias</t>
  </si>
  <si>
    <t xml:space="preserve">     Resultados acumulados</t>
  </si>
  <si>
    <t>R/ Para eliminar inversión entre Telconet y Transtelco</t>
  </si>
  <si>
    <t>---4---</t>
  </si>
  <si>
    <t>R/ Para eliminar inversión entre Telconet y Cerinsa</t>
  </si>
  <si>
    <t>---5---</t>
  </si>
  <si>
    <t>R/ Para eliminar inversión entre Telconet y Cable andino Inc.</t>
  </si>
  <si>
    <t>---6---</t>
  </si>
  <si>
    <t xml:space="preserve">     Activos intangibles</t>
  </si>
  <si>
    <t>R/ Para eliminar transacciones entre Telconet y Cable Andino Inc.</t>
  </si>
  <si>
    <t>---7---</t>
  </si>
  <si>
    <t>R/ Para eliminar inversión y saldos entre Telconet y Netspeed</t>
  </si>
  <si>
    <t>---8---</t>
  </si>
  <si>
    <t>R/ Para eliminar inversión entre Telconet y Econocompu</t>
  </si>
  <si>
    <t>---9---</t>
  </si>
  <si>
    <t>R/ Para eliminar inversión entre Telconet y Smartcities</t>
  </si>
  <si>
    <t>---10---</t>
  </si>
  <si>
    <t xml:space="preserve">     Resultados del ejercicio</t>
  </si>
  <si>
    <t>R/ Para eliminar inversión y saldos entre Telconet y Telsoterra</t>
  </si>
  <si>
    <t>---11---</t>
  </si>
  <si>
    <t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</si>
  <si>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</si>
  <si>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</si>
  <si>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</si>
  <si>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>R/ Para eliminar inversión y saldos entre Telconet y Linkotel</t>
  </si>
  <si>
    <t>---12---</t>
  </si>
  <si>
    <t>Cuentas por pagar comerciales</t>
  </si>
  <si>
    <t xml:space="preserve">     Cuentas por cobrar</t>
  </si>
  <si>
    <t>---13---</t>
  </si>
  <si>
    <t>---14---</t>
  </si>
  <si>
    <t>R/ Para reconocer plusvalía mercantil</t>
  </si>
  <si>
    <t>---15---</t>
  </si>
  <si>
    <t>R/ Para reconocer pérdida por vpp en asociada Latamfiber</t>
  </si>
  <si>
    <t>-1-</t>
  </si>
  <si>
    <t>CONCILIACION DE UTILIDADES RETENIDAS Y PATRIMONIO INICIAL</t>
  </si>
  <si>
    <t>Superavit por revaluacion PPE</t>
  </si>
  <si>
    <t>á Reserva para aplicación de NIIF</t>
  </si>
  <si>
    <t>á Resultados acumulados</t>
  </si>
  <si>
    <t>Cuentas por pagar, relacionadas L/P (Linkotel)</t>
  </si>
  <si>
    <t>-2-</t>
  </si>
  <si>
    <t>ELIMINACION DE SUPERAVIT POR REVALORIZACION PPE, LEONOR 3 Y GASTO DE DEPRECIACION DEL EJERCICIO</t>
  </si>
  <si>
    <t>Superavit por Revaluacion PPE</t>
  </si>
  <si>
    <t>Otros ingresos (egresos)</t>
  </si>
  <si>
    <t>á Propiedades y equipos</t>
  </si>
  <si>
    <t>á Gastos de administracion y ventas</t>
  </si>
  <si>
    <t>Suman</t>
  </si>
  <si>
    <t>-3-</t>
  </si>
  <si>
    <t>REESTABLECIMIENTO DE PARTICIPACION NO CONTROLADA AL INICIO DEL EJERCICIO</t>
  </si>
  <si>
    <t>á Partipacion no controlada</t>
  </si>
  <si>
    <t>-4-</t>
  </si>
  <si>
    <t>RECLASIFICACION DEL APORTE RECIBIDO EN CABLE ANDINO INC.</t>
  </si>
  <si>
    <t>-5-</t>
  </si>
  <si>
    <t>ELIMINACION DE LA BAJA DE ACTIVOS FIJOS EN LINKOTEL</t>
  </si>
  <si>
    <t>Propiedades, Planta y Equipo</t>
  </si>
  <si>
    <t>á Superavit por revalorizacion de PPE</t>
  </si>
  <si>
    <t>-6-</t>
  </si>
  <si>
    <t>RECLASIFICACION DEL RESULTADO DEL EJERCICIO CORRESPONDIENTE A PNC</t>
  </si>
  <si>
    <t>Participacion no controladora</t>
  </si>
  <si>
    <t>-7-</t>
  </si>
  <si>
    <t>RECLASIFICACION DE DEVOLUCION DEL CAPITAL SOCIAL DE TRANSTELCO, PARTICIPACION NO CONTROLADORA</t>
  </si>
  <si>
    <t>á Capital Social</t>
  </si>
  <si>
    <t>-8-</t>
  </si>
  <si>
    <t>-9-</t>
  </si>
  <si>
    <t>AJUSTE POR VPP DE LATAMFIBERHOME (RESULTADO DEL 2019)</t>
  </si>
  <si>
    <t xml:space="preserve">á Otros ingresos </t>
  </si>
  <si>
    <t>-10-</t>
  </si>
  <si>
    <t>RECLASIFICACION CUENTAS POR PAGAR A PIONEER CABLE LTDA. EN CABLE ANDINO INC.</t>
  </si>
  <si>
    <t>Otras cuentas por pagar LP</t>
  </si>
  <si>
    <t>-11-</t>
  </si>
  <si>
    <t>AJUSTE POR LIQUIDACION DEL PATRIMONIO DE TRANSTELCO Y ECONOCOMPU</t>
  </si>
  <si>
    <t>Otros gastos, neto</t>
  </si>
  <si>
    <t>á Participación no Controlada</t>
  </si>
  <si>
    <t>á Reserva Legal</t>
  </si>
  <si>
    <t>á Reserva de Capital</t>
  </si>
  <si>
    <t>á Resultados Acumulados</t>
  </si>
  <si>
    <t>-12-</t>
  </si>
  <si>
    <t>REVERSION DE LA AMORTIZACION DEL INTAGIBLE, CAPACITY IRU EN TELCONET</t>
  </si>
  <si>
    <t>á Costo de Ventas</t>
  </si>
  <si>
    <t>-13-</t>
  </si>
  <si>
    <t>a Cuentas por cobrar relacionadas CP</t>
  </si>
  <si>
    <t>AJUSTES DE CONSOLIDACION DEL 2020</t>
  </si>
  <si>
    <t>Eliminación de transacciones entre Telconet y subsidiarias</t>
  </si>
  <si>
    <t>Al 31 de diciembre dl 2019</t>
  </si>
  <si>
    <t>Ingreso por ventas</t>
  </si>
  <si>
    <t xml:space="preserve"> Costo de ventas</t>
  </si>
  <si>
    <t xml:space="preserve">           Costo de ventas</t>
  </si>
  <si>
    <t>RESUMEN</t>
  </si>
  <si>
    <t>Referencia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</si>
  <si>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</si>
  <si>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t>a notas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</si>
  <si>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Pasivo y patrimonio</t>
    </r>
  </si>
  <si>
    <t>ACTIVO CORRIENTE</t>
  </si>
  <si>
    <t>PASIVO CORRIENTE</t>
  </si>
  <si>
    <t>Efectivo y Equivalentes de efectivo</t>
  </si>
  <si>
    <t>Sobregiro Bancario</t>
  </si>
  <si>
    <t>Activos Financieros a valor razonable</t>
  </si>
  <si>
    <t>Porción corriente de valores emitidos</t>
  </si>
  <si>
    <t>Clientes</t>
  </si>
  <si>
    <t>Proveedores</t>
  </si>
  <si>
    <t>Compañías relacionadas</t>
  </si>
  <si>
    <t xml:space="preserve">   Pasivos por arrendamientos</t>
  </si>
  <si>
    <t>Total del activo corriente</t>
  </si>
  <si>
    <t>Total pasivos corrientes</t>
  </si>
  <si>
    <t>ACTIVO NO CORRIENTE</t>
  </si>
  <si>
    <t>PASIVO NO CORRIENTE</t>
  </si>
  <si>
    <t>Obligaciones Financieras</t>
  </si>
  <si>
    <t>Propiedad y equipos, neto</t>
  </si>
  <si>
    <t>Propiedades de Inversión</t>
  </si>
  <si>
    <t>Activos Intangibles</t>
  </si>
  <si>
    <t xml:space="preserve">Pasivos por arrendamientos </t>
  </si>
  <si>
    <t>Impuesto diferido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</si>
  <si>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</si>
  <si>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</si>
  <si>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</si>
  <si>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</si>
  <si>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Las notas explicativas anexas son parte integrante de los estados financieros</t>
  </si>
  <si>
    <t>INVERSIONES EN ASOCIADAS</t>
  </si>
  <si>
    <t>VPP</t>
  </si>
  <si>
    <t>Adiciones netas</t>
  </si>
  <si>
    <t>Pago de dividendos</t>
  </si>
  <si>
    <t>Aporte de la PNC</t>
  </si>
  <si>
    <t>ORI Pérdida actuarial en jubilación y desahucio</t>
  </si>
  <si>
    <t>ACTIVOS FIJOS</t>
  </si>
  <si>
    <t>Gasto de depreciación</t>
  </si>
  <si>
    <t>Otros ajustes menores</t>
  </si>
  <si>
    <t>Liquidación activos y pasivos de Netspeed</t>
  </si>
  <si>
    <t>ACTIVOS POR DERECHOS DE USO</t>
  </si>
  <si>
    <t>Registro contra pasivos por arrendamiento</t>
  </si>
  <si>
    <t>Pagos netos</t>
  </si>
  <si>
    <t>JUBILACION Y DESAHUCIO</t>
  </si>
  <si>
    <t>Provision del periodo</t>
  </si>
  <si>
    <t>Pérdida actuarial en jubilación y desahucio</t>
  </si>
  <si>
    <t>Otros movimientos netos</t>
  </si>
  <si>
    <t>ACTIVOS INTANGIBLES</t>
  </si>
  <si>
    <t xml:space="preserve">IMPUESTOS POR PAGAR </t>
  </si>
  <si>
    <t>Pago de impuesto a la renta</t>
  </si>
  <si>
    <t>BENEFICIOS SOCIALES POR PAGAR</t>
  </si>
  <si>
    <t>Pago de 15% PT</t>
  </si>
  <si>
    <t>CUENTAS POR COBRAR COMERCIALES</t>
  </si>
  <si>
    <t>OTRAS CUENTAS POR COBRAR</t>
  </si>
  <si>
    <t>IMPUESTO DIFERIDO</t>
  </si>
  <si>
    <t>Cargo a resultados</t>
  </si>
  <si>
    <t>PASIVOS POR ARRENDAMIENTO</t>
  </si>
  <si>
    <t>Pagos por arrendamientos</t>
  </si>
  <si>
    <t>Registro contra derechos de uso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</si>
  <si>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</si>
  <si>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</si>
  <si>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</si>
  <si>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</si>
  <si>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</si>
  <si>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</si>
  <si>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</si>
  <si>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</si>
  <si>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</si>
  <si>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Impuesto a la renta corriente y diferido</t>
  </si>
  <si>
    <t>Otro Resultado Integral</t>
  </si>
  <si>
    <t>Ganancia (Pérdida) actuarial en jubilación      patronal y bonificación por desahucio</t>
  </si>
  <si>
    <t>Resultado integral del año Controladora</t>
  </si>
  <si>
    <t>Resultado integral del año No controlador</t>
  </si>
  <si>
    <t>Número de acciones</t>
  </si>
  <si>
    <t>Utilidad por Acción</t>
  </si>
  <si>
    <t>ESTADO DE CAMBIOS EN EL PATRIMONIO</t>
  </si>
  <si>
    <t>Aportes para futura capitalización</t>
  </si>
  <si>
    <t>Reserva Facultativa</t>
  </si>
  <si>
    <t>Adopcion de NIIF</t>
  </si>
  <si>
    <t>Participacion no controlada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</si>
  <si>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</si>
  <si>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</si>
  <si>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</si>
  <si>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</si>
  <si>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</si>
  <si>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</si>
  <si>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</si>
  <si>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Apropiación reserva legal</t>
  </si>
  <si>
    <t>Aplicación de aporte de accionistas a cuentas por cobrar según Acta de Junta de Accionistas del 29 de diciembre de 2017</t>
  </si>
  <si>
    <t>Saldos al 31 de diciembre del 2017</t>
  </si>
  <si>
    <t>Efecto de implementación de NIIF 9</t>
  </si>
  <si>
    <t>Aumento de capital según Acta de Junta de Accionistas del 4 de septiembre del 2018</t>
  </si>
  <si>
    <t>Devolución de aporte en Cable Andino Inc a accionista minoritario</t>
  </si>
  <si>
    <t>Deterioro de activos de años anteriores mantenidos en Transtelco S.A., Telsoterra S.A. y Cable Andino Inc.</t>
  </si>
  <si>
    <t>Otros ajustes</t>
  </si>
  <si>
    <t>Saldos al 31 de diciembre del 2018</t>
  </si>
  <si>
    <t>Efecto de implementacion de la NIIF 9</t>
  </si>
  <si>
    <t>Aumento de capital según Acta de Junta de Accionistas del 22 de agosto de 2019</t>
  </si>
  <si>
    <t>Aporte realizado por los Accionistas</t>
  </si>
  <si>
    <t>Baja de capital según Resolución SCVS-INC-DNASD-2019-00004038</t>
  </si>
  <si>
    <t>Según ratificación en Acta de Junta de Accionistas del 16 de marzo del 2020:</t>
  </si>
  <si>
    <t>- Pago de dividendos</t>
  </si>
  <si>
    <t>- Apropiación reserva legal</t>
  </si>
  <si>
    <t>Liquidación de activos y pasivos de Netspeed</t>
  </si>
  <si>
    <t>Saldos al 31 de diciembre del 2019</t>
  </si>
  <si>
    <t xml:space="preserve">MOVIMIENTOS DEL PATRIMONIO </t>
  </si>
  <si>
    <t>CAPITAL SOCIAL</t>
  </si>
  <si>
    <t>Saldo al 31/12/2018</t>
  </si>
  <si>
    <t>Baja de capital y cesión de acciones</t>
  </si>
  <si>
    <t>Ajustes por liquidación de la empresa</t>
  </si>
  <si>
    <t>Aumento de capital según Acta de Junta de Accionistas</t>
  </si>
  <si>
    <t>Saldo al 31/12/2019</t>
  </si>
  <si>
    <t>APORTES PARA FUTURA CAPITALIZACION</t>
  </si>
  <si>
    <t>Aportes de los Accionistas (Baja de capital en Telconet)</t>
  </si>
  <si>
    <t>RESERVA LEGAL</t>
  </si>
  <si>
    <t>Apropiacion a reserva legal</t>
  </si>
  <si>
    <t>RESERVA FACULTATIVA</t>
  </si>
  <si>
    <t>RESERVA DE CAPITAL</t>
  </si>
  <si>
    <t>OTROS RESULTADOS INTEGRALES</t>
  </si>
  <si>
    <t xml:space="preserve">Ganancia (pérdida) actuarial </t>
  </si>
  <si>
    <t>SUPERAVIT POR REVALUACION</t>
  </si>
  <si>
    <t>Baja de activos fijos</t>
  </si>
  <si>
    <t>AJUSTE DE PRIMERA ADOPCION NIIF</t>
  </si>
  <si>
    <t>RESULTADOS ACUMULADOS</t>
  </si>
  <si>
    <t>Efecto de implementacion NIIF 9</t>
  </si>
  <si>
    <t>Transferencia a reserva legal</t>
  </si>
  <si>
    <t>Utilidad (perdida) del ejercicio</t>
  </si>
  <si>
    <t>PARTICIPACION NO CONTROLADA</t>
  </si>
  <si>
    <t>Cesión de acciones</t>
  </si>
  <si>
    <t>Utilidad (perdida) y resultado integral del ejercicio</t>
  </si>
  <si>
    <t>PATRIMONIO TOTAL</t>
  </si>
  <si>
    <t>Aporte recibido de Accionistas</t>
  </si>
  <si>
    <t>Baja de activos fijos y otros ajustes</t>
  </si>
  <si>
    <t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</si>
  <si>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/>
        <sz val="8"/>
        <color rgb="FF000000"/>
        <rFont val="Arial"/>
        <family val="2"/>
        <charset val="1"/>
      </rPr>
      <t>a notas</t>
    </r>
  </si>
  <si>
    <t>Cable Andino Inc.
31/12/2019</t>
  </si>
  <si>
    <t>Inmob. Leonor3
31/12/2019</t>
  </si>
  <si>
    <t>Telconet Panamá 31/12/2019</t>
  </si>
  <si>
    <t>Saldos
Consolidados
al 31/12/19</t>
  </si>
  <si>
    <t>Flujos de efectivo provenientes de actividades de operación: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</si>
  <si>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</si>
  <si>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</si>
  <si>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</si>
  <si>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</si>
  <si>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</si>
  <si>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</si>
  <si>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Depreciación de activos por derechos de uso</t>
  </si>
  <si>
    <t>Baja de propiedades de inversión</t>
  </si>
  <si>
    <t>Amortización de activos intangibles</t>
  </si>
  <si>
    <t>Valor de participación patrimonial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</si>
  <si>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</si>
  <si>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</si>
  <si>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</si>
  <si>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</si>
  <si>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</si>
  <si>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</si>
  <si>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</si>
  <si>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</si>
  <si>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</si>
  <si>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</si>
  <si>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</si>
  <si>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</si>
  <si>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</si>
  <si>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</si>
  <si>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</si>
  <si>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Adiciones de propiedades y equipos, neto</t>
  </si>
  <si>
    <t>Adiciones de activos intangibles, neto</t>
  </si>
  <si>
    <t>Flujo neto de efectivo usado en las actividades de inversión</t>
  </si>
  <si>
    <t>Flujos de efectivo usado en actividades de financiación:</t>
  </si>
  <si>
    <t xml:space="preserve">   Pagos de capital de pasivo por arrendamientos</t>
  </si>
  <si>
    <t>Aportes realizados por la Participación no Conroladora</t>
  </si>
  <si>
    <t>Pagos de dividendos</t>
  </si>
  <si>
    <t>Obligaciones financieras, neto</t>
  </si>
  <si>
    <t>Emision de Obligaciones, neto</t>
  </si>
  <si>
    <t>Flujo neto de efectivo usado en las actividades de financiación</t>
  </si>
  <si>
    <t>Aumento neto (disminución) en efectivo y equivalentes de efectivo</t>
  </si>
  <si>
    <t>Efectivo y equivalentes de efectivo al inicio del año</t>
  </si>
  <si>
    <t>Efectivo y equivalentes de efectivo al final del año</t>
  </si>
  <si>
    <t xml:space="preserve">                        Las notas explicativas anexas son parte integrante de los estados financieros</t>
  </si>
  <si>
    <t>Telconet S.A.
31/12/2017</t>
  </si>
  <si>
    <t>Cable Andino Inc.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</si>
  <si>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</si>
  <si>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</si>
  <si>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</si>
  <si>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</si>
  <si>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</si>
  <si>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Smartcities
31/12/2017</t>
  </si>
  <si>
    <t>Inmob. Leonor3
31/12/2017</t>
  </si>
  <si>
    <t>Telsoterra
31/12/2017</t>
  </si>
  <si>
    <t>Linkotel 31/12/2017</t>
  </si>
  <si>
    <t>Telconet Panamá 31/12/2017</t>
  </si>
  <si>
    <t>Superavit por revaaluación</t>
  </si>
  <si>
    <t>Total pasivo y patrimonio</t>
  </si>
  <si>
    <t>RECLASIFICACION CUENTA POR COBRAR A C.B.P. EN CORPOANDINO Y QUE NO ES RELACIONADA</t>
  </si>
  <si>
    <t>REVERSION DEL AJUSTE DE CABLE SUBMARINO EN CORPANDINO</t>
  </si>
  <si>
    <t>á Otros activos</t>
  </si>
  <si>
    <t>á Resultados acumulados (inicio del ejercicio)</t>
  </si>
  <si>
    <t>Cuentas por pagar a relacionadas Lp</t>
  </si>
  <si>
    <t>Reserva para aplicación de NIIF</t>
  </si>
  <si>
    <t>á Otras cuentas por cobrar CP</t>
  </si>
  <si>
    <r>
      <t xml:space="preserve">Cuentas por pagar </t>
    </r>
    <r>
      <rPr>
        <b/>
        <sz val="9"/>
        <color rgb="FF000000"/>
        <rFont val="Arial"/>
        <family val="2"/>
      </rPr>
      <t>Proveedores</t>
    </r>
    <r>
      <rPr>
        <sz val="9"/>
        <color rgb="FF000000"/>
        <rFont val="Arial"/>
        <family val="2"/>
        <charset val="1"/>
      </rPr>
      <t xml:space="preserve"> CP</t>
    </r>
  </si>
  <si>
    <t xml:space="preserve">     á Cuentas por cobrar relacionadas LP</t>
  </si>
  <si>
    <t xml:space="preserve">     á Cuentas por cobrar terceros CP</t>
  </si>
  <si>
    <t>---H---</t>
  </si>
  <si>
    <t>á Cuentas por cobrar relacionadas CP</t>
  </si>
  <si>
    <t>Saldo al 31/12/2020</t>
  </si>
  <si>
    <t>Inmobiliaria Leonor3</t>
  </si>
  <si>
    <t xml:space="preserve">Corpoandino </t>
  </si>
  <si>
    <t>Regularizacion activo cable submarino</t>
  </si>
  <si>
    <t>Utilidad (perdida) y resultado integral del anio</t>
  </si>
  <si>
    <t>DIFERENCIAS TOTALES</t>
  </si>
  <si>
    <t>á  Cuentas por cobrar relacionadas CP</t>
  </si>
  <si>
    <t>Resultados acumulados (inicio del ejercicio)</t>
  </si>
  <si>
    <t>Otros activos corrientes</t>
  </si>
  <si>
    <t>Obligaciones acumuladas</t>
  </si>
  <si>
    <t>Otros pasivos corrientes</t>
  </si>
  <si>
    <t>Emisión de obligaciones L/P</t>
  </si>
  <si>
    <t>Otros pasivos a largo plazo</t>
  </si>
  <si>
    <t>Acciones en tesoreria</t>
  </si>
  <si>
    <t>Saldos al 31 de diciembre del 2020</t>
  </si>
  <si>
    <t>Saldo de Linkotel y Leonor3 pendiente eliminar</t>
  </si>
  <si>
    <t>á Participacion no controladora</t>
  </si>
  <si>
    <t>OK</t>
  </si>
  <si>
    <t>ELIMINACION DE APROPIACION A RESERVA LEGAL Y AJUSTE EN ACTIVOS FIJOS DE LINKOTEL</t>
  </si>
  <si>
    <t>Superávit por revalorización</t>
  </si>
  <si>
    <t>Depreciación acumulada</t>
  </si>
  <si>
    <t>REVERSION DE LA AMORTIZACION DEL INTAGIBLE, CAPACITY IRU EN TELCONET anio 2019</t>
  </si>
  <si>
    <t>Utilidades Acumuladas, anios anteriores</t>
  </si>
  <si>
    <t>Ajustes actuariales anio 2019</t>
  </si>
  <si>
    <t>Ajuste por comisiones</t>
  </si>
  <si>
    <t>Ajuste delsaldo de inventarios 2019</t>
  </si>
  <si>
    <t>Ajustes por comisiones</t>
  </si>
  <si>
    <t>Ajustes del saldo de inventarios en Telsoterra, 2019</t>
  </si>
  <si>
    <t>Otros ajustes: Cable Andino Inc., Corpoandino y Linkotel</t>
  </si>
  <si>
    <t>CONCILIACION DE UTILIDADES RETENIDAS Y PATRIMONIO INICIAL, Y ELIMINACIÓN DE INVERSIONES EN SUBSIDIARIAS</t>
  </si>
  <si>
    <t>ELIIMINACIÓN DEL INCREMENTO DE INVERSIÓN DE TELCONET EN CABLE ANDINO INC.</t>
  </si>
  <si>
    <t>ELIMINACION DE SALDOS INTERCOMPANY (VER PESTANIA SALDOS INTERCO.)</t>
  </si>
  <si>
    <t>á Cuentas por cobrar relacionada L/P</t>
  </si>
  <si>
    <t>Cuemtas por pagar, proveedores CP</t>
  </si>
  <si>
    <t>Resultado 2020         US$</t>
  </si>
  <si>
    <t>RECLASIFICACION DEL RESULTADO DEL EJERCICIO 2020 CORRESPONDIENTE A PNC</t>
  </si>
  <si>
    <t>á Resultados acumulados (resultado del ejercicio)</t>
  </si>
  <si>
    <t>AJUSTE POR VPP DE LATAMFIBERHOME (RESULTADO DEL 2020)</t>
  </si>
  <si>
    <t xml:space="preserve">   Otros activos corrientes</t>
  </si>
  <si>
    <t>VARIACION DE PATRIMONIO</t>
  </si>
  <si>
    <t>Más Provision de impuesto a la renta</t>
  </si>
  <si>
    <t>Amortizacion del periodo</t>
  </si>
  <si>
    <t>PROPIEDADES DE INVERSION</t>
  </si>
  <si>
    <t>Amortizacion</t>
  </si>
  <si>
    <t>Variacion</t>
  </si>
  <si>
    <t>Provision de impuesto a la renta</t>
  </si>
  <si>
    <t>Provision 15% PT</t>
  </si>
  <si>
    <t>Provision para incobrables</t>
  </si>
  <si>
    <t>Variacion en cuentas por cobrar comerciales</t>
  </si>
  <si>
    <t xml:space="preserve">Variacion en otras cuentas por cobrar </t>
  </si>
  <si>
    <t>Jubilación patronal y bonificación por desahucio</t>
  </si>
  <si>
    <t>Ajuste del saldo de inventarios 2019</t>
  </si>
  <si>
    <t>INGRESOS DIFERIDOS</t>
  </si>
  <si>
    <t>Otros ajustes netos</t>
  </si>
  <si>
    <t>Pagos</t>
  </si>
  <si>
    <t xml:space="preserve">   Ingreso (egreso) por retiro y venta de aportes</t>
  </si>
  <si>
    <t>IDENTIFICAR LOS ACTIVOS ENTREGADOS</t>
  </si>
  <si>
    <t>Sobregiro bancario</t>
  </si>
  <si>
    <t>(Aumento) disminución de activos por derechos de uso</t>
  </si>
  <si>
    <t>Aumento en propiedades de inversion</t>
  </si>
  <si>
    <t>Aumento de inversiones en asociadas</t>
  </si>
  <si>
    <t>Activos por impuestos corrientes</t>
  </si>
  <si>
    <t>Pasivos por impuestos corrientes</t>
  </si>
  <si>
    <t xml:space="preserve">     á Cuentas por cobrar comerciales CP</t>
  </si>
  <si>
    <t>Cuentas por pagar Proveedores CP</t>
  </si>
  <si>
    <t>Cuentas por pagar relacionadas LP (Linkotel)</t>
  </si>
  <si>
    <t>TELSOTERERA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</si>
</sst>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1">
    <numFmt numFmtId="164" formatCode="_(* #,##0.00_);_(* \(#,##0.00\);_(* \-??_);_(@_)"/>
    <numFmt numFmtId="165" formatCode="_ * #,##0.00_ ;_ * \-#,##0.00_ ;_ * \-??_ ;_ @_ "/>
    <numFmt numFmtId="166" formatCode="* \(#,##0\);* #,##0_);\-??_);@"/>
    <numFmt numFmtId="167" formatCode="* #,##0_);* \(#,##0\);\-??_);@"/>
    <numFmt numFmtId="168" formatCode="_-[$€-2]* #,##0.00_-;\-[$€-2]* #,##0.00_-;_-[$€-2]* \-??_-"/>
    <numFmt numFmtId="169" formatCode="_ [$€]\ * #,##0.00_ ;_ [$€]\ * \-#,##0.00_ ;_ [$€]\ * \-??_ ;_ @_ "/>
    <numFmt numFmtId="170" formatCode="_ [$€-2]\ * #,##0.00_ ;_ [$€-2]\ * \-#,##0.00_ ;_ [$€-2]\ * \-??_ "/>
    <numFmt numFmtId="171" formatCode="dd/mm/yyyy"/>
    <numFmt numFmtId="172" formatCode="_-* #,##0.00_-;\-* #,##0.00_-;_-* \-??_-;_-@_-"/>
    <numFmt numFmtId="173" formatCode="&quot;$ &quot;#,##0;[Red]&quot;$ -&quot;#,##0"/>
    <numFmt numFmtId="174" formatCode="_ * #,##0.0_ ;_ * \(#,##0.0\);_ * \-??_ ;_ @_ "/>
    <numFmt numFmtId="175" formatCode="_ [$€]* #,##0.00_ ;_ [$€]* \-#,##0.00_ ;_ [$€]* \-??_ ;_ @_ "/>
    <numFmt numFmtId="176" formatCode="dd/mm/yyyy;@"/>
    <numFmt numFmtId="177" formatCode="_ * #,##0_ ;_ * \-#,##0_ ;_ * \-??_ ;_ @_ "/>
    <numFmt numFmtId="178" formatCode="_-* #,##0.0_-;\-* #,##0.0_-;_-* \-??_-;_-@_-"/>
    <numFmt numFmtId="179" formatCode="_-* #,##0&quot; €&quot;_-;\-* #,##0&quot; €&quot;_-;_-* &quot;- €&quot;_-;_-@_-"/>
    <numFmt numFmtId="180" formatCode="_ * #,##0_ ;_ * \(#,##0\);_ * \-??_ ;_ @_ "/>
    <numFmt numFmtId="181" formatCode="#,##0;[Red]\(#,##0\)"/>
    <numFmt numFmtId="182" formatCode="\$#,##0;&quot;-$&quot;#,##0"/>
    <numFmt numFmtId="183" formatCode="_-* #,##0.00\ _€_-;\-* #,##0.00\ _€_-;_-* \-??\ _€_-;_-@_-"/>
    <numFmt numFmtId="184" formatCode="&quot;$ &quot;#,##0_);&quot;($ &quot;#,##0\)"/>
    <numFmt numFmtId="185" formatCode="\$#,##0.00;[Red]&quot;-$&quot;#,##0.00"/>
    <numFmt numFmtId="186" formatCode="\$#,##0.00_);[Red]&quot;($&quot;#,##0.00\)"/>
    <numFmt numFmtId="187" formatCode="_ * #,##0_ ;_ * \(#,##0\);_ * \-?_ ;_ @_ "/>
    <numFmt numFmtId="188" formatCode="&quot;$ &quot;#,##0.00;[Red]&quot;$ -&quot;#,##0.00"/>
    <numFmt numFmtId="189" formatCode="_ * #,##0_ ;_ * \-#,##0_ ;_ * \-_ ;_ @_ "/>
    <numFmt numFmtId="190" formatCode="_ &quot;$ &quot;* #,##0.00_ ;_ &quot;$ &quot;* \-#,##0.00_ ;_ &quot;$ &quot;* \-??_ ;_ @_ "/>
    <numFmt numFmtId="191" formatCode="_(&quot;$ &quot;* #,##0.00_);_(&quot;$ &quot;* \(#,##0.00\);_(&quot;$ &quot;* \-??_);_(@_)"/>
    <numFmt numFmtId="192" formatCode="#,##0\ ;&quot;- &quot;#,##0\ "/>
    <numFmt numFmtId="193" formatCode="0\ %"/>
    <numFmt numFmtId="194" formatCode="_(* #,##0_);_(* \(#,##0\);_(* \-_);_(@_)"/>
    <numFmt numFmtId="195" formatCode="_(* #,##0_);_(* \(#,##0\);_(* \-??_);_(@_)"/>
    <numFmt numFmtId="196" formatCode="_-* #,##0_-;\-* #,##0_-;_-* \-??_-;_-@_-"/>
    <numFmt numFmtId="197" formatCode="_ * #,##0_ ;_ * \(#,##0\)_ ;_ * \-_ ;_ @_ "/>
    <numFmt numFmtId="198" formatCode="#,##0_);\(#,##0\)"/>
    <numFmt numFmtId="199" formatCode="dd\-mmm\-yy"/>
    <numFmt numFmtId="200" formatCode="_(&quot;$ &quot;* #,##0_);_(&quot;$ &quot;* \(#,##0\);_(&quot;$ &quot;* \-??_);_(@_)"/>
    <numFmt numFmtId="201" formatCode="0.0000%"/>
    <numFmt numFmtId="202" formatCode="_(* #,##0.0000_);_(* \(#,##0.0000\);_(* \-????_);_(@_)"/>
    <numFmt numFmtId="203" formatCode="0.000000%"/>
    <numFmt numFmtId="204" formatCode="0.000000000000000%"/>
    <numFmt numFmtId="205" formatCode="_ * #,##0_ ;\(* #,##0\);_ * \-??_ ;_ @_ "/>
    <numFmt numFmtId="206" formatCode="_-* #,##0\ _€_-;\-* #,##0\ _€_-;_-* \-??\ _€_-;_-@_-"/>
    <numFmt numFmtId="207" formatCode="0.00\ %"/>
    <numFmt numFmtId="208" formatCode="#,##0;[Red]#,##0"/>
    <numFmt numFmtId="209" formatCode="#,##0.00;[Red]#,##0.00"/>
    <numFmt numFmtId="210" formatCode="_ * #,##0_ ;\(* #,##0\);_ * \-_ ;_ @_ "/>
    <numFmt numFmtId="211" formatCode="#,##0\ ;\(#,##0\)"/>
    <numFmt numFmtId="212" formatCode="_(* #,##0_);_(* \(#,##0\);_(* &quot;-&quot;??_);_(@_)"/>
    <numFmt numFmtId="213" formatCode="_ * #,##0_ ;\(* #,##0\);_ * &quot;-&quot;_ ;_ @_ "/>
    <numFmt numFmtId="214" formatCode="_(* #,##0.0000_);_(* \(#,##0.0000\);_(* \-??_);_(@_)"/>
  </numFmts>
  <fonts count="89"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u/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/>
      <sz val="8"/>
      <name val="Georgia"/>
      <family val="1"/>
      <charset val="1"/>
    </font>
    <font>
      <u/>
      <sz val="8"/>
      <name val="Georgia"/>
      <family val="1"/>
      <charset val="1"/>
    </font>
    <font>
      <b/>
      <sz val="11"/>
      <color rgb="FF000000"/>
      <name val="Arial"/>
      <family val="2"/>
      <charset val="1"/>
    </font>
    <font>
      <b/>
      <u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8.8000000000000007"/>
      <color rgb="FFFF000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/>
      <sz val="10"/>
      <color rgb="FF00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/>
      <sz val="7.5"/>
      <color rgb="FF1F497D"/>
      <name val="Arial"/>
      <family val="2"/>
      <charset val="1"/>
    </font>
    <font>
      <b/>
      <sz val="7.5"/>
      <color rgb="FFFF0000"/>
      <name val="Arial"/>
      <family val="2"/>
      <charset val="1"/>
    </font>
    <font>
      <b/>
      <sz val="7.5"/>
      <name val="Arial"/>
      <family val="2"/>
      <charset val="1"/>
    </font>
    <font>
      <u/>
      <sz val="7.5"/>
      <color rgb="FF1F497D"/>
      <name val="Arial"/>
      <family val="2"/>
      <charset val="1"/>
    </font>
    <font>
      <b/>
      <sz val="7.5"/>
      <color rgb="FF4F6228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/>
      <u/>
      <sz val="9"/>
      <name val="Arial"/>
      <family val="2"/>
      <charset val="1"/>
    </font>
    <font>
      <b/>
      <sz val="9"/>
      <color rgb="FFFFFFFF"/>
      <name val="Arial"/>
      <family val="2"/>
      <charset val="1"/>
    </font>
    <font>
      <sz val="7"/>
      <name val="Arial"/>
      <family val="2"/>
      <charset val="1"/>
    </font>
    <font>
      <b/>
      <sz val="7"/>
      <name val="Arial"/>
      <family val="2"/>
      <charset val="1"/>
    </font>
    <font>
      <sz val="8"/>
      <name val="Arial"/>
      <family val="2"/>
      <charset val="1"/>
    </font>
    <font>
      <b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000000"/>
      <name val="Arial"/>
      <family val="2"/>
      <charset val="1"/>
    </font>
    <font>
      <u/>
      <sz val="9"/>
      <color rgb="FFFF0000"/>
      <name val="Arial"/>
      <family val="2"/>
      <charset val="1"/>
    </font>
    <font>
      <sz val="9"/>
      <color rgb="FFC9211E"/>
      <name val="Arial"/>
      <family val="2"/>
      <charset val="1"/>
    </font>
    <font>
      <b/>
      <u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/>
      <sz val="9.5"/>
      <name val="Arial"/>
      <family val="2"/>
      <charset val="1"/>
    </font>
    <font>
      <b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/>
      <sz val="9.5"/>
      <color rgb="FF000000"/>
      <name val="Calibri"/>
      <family val="2"/>
      <charset val="1"/>
    </font>
    <font>
      <b/>
      <u/>
      <sz val="9.5"/>
      <name val="Arial"/>
      <family val="2"/>
      <charset val="1"/>
    </font>
    <font>
      <sz val="11"/>
      <color rgb="FF000000"/>
      <name val="Calibri"/>
      <family val="2"/>
      <charset val="1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8"/>
      <name val="Arial"/>
      <family val="2"/>
      <charset val="1"/>
    </font>
    <font>
      <sz val="9"/>
      <color theme="1"/>
      <name val="Arial"/>
      <family val="2"/>
    </font>
    <font>
      <sz val="7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92D050"/>
        <bgColor rgb="FFFFFFCC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586">
    <xf numFmtId="0" fontId="0" fillId="0" borderId="0"/>
    <xf numFmtId="164" fontId="80" fillId="0" borderId="0" applyBorder="0" applyProtection="0"/>
    <xf numFmtId="191" fontId="80" fillId="0" borderId="0" applyBorder="0" applyProtection="0"/>
    <xf numFmtId="193" fontId="80" fillId="0" borderId="0" applyBorder="0" applyProtection="0"/>
    <xf numFmtId="0" fontId="1" fillId="0" borderId="0" applyBorder="0" applyProtection="0"/>
    <xf numFmtId="0" fontId="2" fillId="0" borderId="0" applyBorder="0" applyProtection="0">
      <alignment horizontal="left"/>
    </xf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6" fontId="3" fillId="0" borderId="0" applyBorder="0" applyProtection="0"/>
    <xf numFmtId="166" fontId="3" fillId="0" borderId="1" applyProtection="0"/>
    <xf numFmtId="166" fontId="3" fillId="0" borderId="2" applyProtection="0"/>
    <xf numFmtId="166" fontId="3" fillId="0" borderId="0" applyBorder="0" applyProtection="0"/>
    <xf numFmtId="167" fontId="3" fillId="0" borderId="0" applyBorder="0" applyProtection="0"/>
    <xf numFmtId="167" fontId="3" fillId="0" borderId="1" applyProtection="0"/>
    <xf numFmtId="167" fontId="3" fillId="0" borderId="2" applyProtection="0"/>
    <xf numFmtId="167" fontId="3" fillId="0" borderId="0" applyBorder="0" applyProtection="0"/>
    <xf numFmtId="0" fontId="4" fillId="0" borderId="0">
      <alignment vertical="top"/>
    </xf>
    <xf numFmtId="168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8" fontId="80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171" fontId="80" fillId="0" borderId="0" applyBorder="0" applyProtection="0"/>
    <xf numFmtId="172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4" fontId="80" fillId="0" borderId="0" applyBorder="0" applyProtection="0"/>
    <xf numFmtId="17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6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76" fontId="80" fillId="0" borderId="0" applyBorder="0" applyProtection="0"/>
    <xf numFmtId="172" fontId="80" fillId="0" borderId="0" applyBorder="0" applyProtection="0"/>
    <xf numFmtId="177" fontId="80" fillId="0" borderId="0" applyBorder="0" applyProtection="0"/>
    <xf numFmtId="172" fontId="80" fillId="0" borderId="0" applyBorder="0" applyProtection="0"/>
    <xf numFmtId="171" fontId="80" fillId="0" borderId="0" applyBorder="0" applyProtection="0"/>
    <xf numFmtId="171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65" fontId="80" fillId="0" borderId="0" applyBorder="0" applyProtection="0"/>
    <xf numFmtId="168" fontId="80" fillId="0" borderId="0" applyBorder="0" applyProtection="0"/>
    <xf numFmtId="172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9" fontId="80" fillId="0" borderId="0" applyBorder="0" applyProtection="0"/>
    <xf numFmtId="180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4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82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72" fontId="80" fillId="0" borderId="0" applyBorder="0" applyProtection="0"/>
    <xf numFmtId="183" fontId="80" fillId="0" borderId="0" applyBorder="0" applyProtection="0"/>
    <xf numFmtId="172" fontId="80" fillId="0" borderId="0" applyBorder="0" applyProtection="0"/>
    <xf numFmtId="172" fontId="80" fillId="0" borderId="0" applyBorder="0" applyProtection="0"/>
    <xf numFmtId="184" fontId="80" fillId="0" borderId="0" applyBorder="0" applyProtection="0"/>
    <xf numFmtId="172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5" fontId="80" fillId="0" borderId="0" applyBorder="0" applyProtection="0"/>
    <xf numFmtId="186" fontId="80" fillId="0" borderId="0" applyBorder="0" applyProtection="0"/>
    <xf numFmtId="185" fontId="80" fillId="0" borderId="0" applyBorder="0" applyProtection="0"/>
    <xf numFmtId="164" fontId="80" fillId="0" borderId="0" applyBorder="0" applyProtection="0"/>
    <xf numFmtId="187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8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90" fontId="80" fillId="0" borderId="0" applyBorder="0" applyProtection="0"/>
    <xf numFmtId="191" fontId="80" fillId="0" borderId="0" applyBorder="0" applyProtection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0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80" fillId="0" borderId="0"/>
    <xf numFmtId="0" fontId="8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7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0" fontId="4" fillId="0" borderId="0" applyBorder="0"/>
    <xf numFmtId="0" fontId="11" fillId="0" borderId="0" applyBorder="0"/>
    <xf numFmtId="0" fontId="11" fillId="0" borderId="0" applyBorder="0"/>
    <xf numFmtId="0" fontId="12" fillId="0" borderId="0" applyBorder="0"/>
  </cellStyleXfs>
  <cellXfs count="1079">
    <xf numFmtId="0" fontId="0" fillId="0" borderId="0" xfId="0"/>
    <xf numFmtId="193" fontId="13" fillId="0" borderId="0" xfId="3" applyFont="1" applyBorder="1" applyAlignment="1" applyProtection="1">
      <alignment horizontal="left" vertical="center"/>
    </xf>
    <xf numFmtId="193" fontId="2" fillId="0" borderId="0" xfId="3" applyFont="1" applyBorder="1" applyAlignment="1" applyProtection="1">
      <alignment horizontal="right" vertical="center"/>
    </xf>
    <xf numFmtId="194" fontId="2" fillId="0" borderId="0" xfId="3" applyNumberFormat="1" applyFont="1" applyBorder="1" applyAlignment="1" applyProtection="1">
      <alignment horizontal="right" vertical="center"/>
    </xf>
    <xf numFmtId="194" fontId="0" fillId="0" borderId="0" xfId="0" applyNumberFormat="1"/>
    <xf numFmtId="0" fontId="13" fillId="0" borderId="0" xfId="325" applyFont="1" applyAlignment="1">
      <alignment vertical="center"/>
    </xf>
    <xf numFmtId="195" fontId="0" fillId="0" borderId="0" xfId="1" applyNumberFormat="1" applyFont="1" applyBorder="1" applyAlignment="1" applyProtection="1"/>
    <xf numFmtId="0" fontId="2" fillId="0" borderId="0" xfId="275" applyFont="1" applyBorder="1" applyAlignment="1">
      <alignment vertical="center"/>
    </xf>
    <xf numFmtId="195" fontId="0" fillId="0" borderId="0" xfId="0" applyNumberFormat="1"/>
    <xf numFmtId="0" fontId="14" fillId="0" borderId="4" xfId="263" applyFont="1" applyBorder="1" applyAlignment="1">
      <alignment horizontal="center" vertical="center" wrapText="1"/>
    </xf>
    <xf numFmtId="196" fontId="13" fillId="0" borderId="4" xfId="191" applyNumberFormat="1" applyFont="1" applyBorder="1" applyAlignment="1" applyProtection="1">
      <alignment horizontal="center" vertical="center" wrapText="1"/>
    </xf>
    <xf numFmtId="0" fontId="2" fillId="2" borderId="3" xfId="263" applyFont="1" applyFill="1" applyBorder="1" applyAlignment="1">
      <alignment horizontal="left" vertical="center" wrapText="1"/>
    </xf>
    <xf numFmtId="194" fontId="2" fillId="2" borderId="3" xfId="191" applyNumberFormat="1" applyFont="1" applyFill="1" applyBorder="1" applyAlignment="1" applyProtection="1">
      <alignment vertical="center"/>
    </xf>
    <xf numFmtId="194" fontId="2" fillId="2" borderId="3" xfId="263" applyNumberFormat="1" applyFont="1" applyFill="1" applyBorder="1" applyAlignment="1">
      <alignment horizontal="left" vertical="center" wrapText="1"/>
    </xf>
    <xf numFmtId="194" fontId="4" fillId="2" borderId="3" xfId="193" applyNumberFormat="1" applyFont="1" applyFill="1" applyBorder="1" applyAlignment="1" applyProtection="1"/>
    <xf numFmtId="194" fontId="15" fillId="2" borderId="3" xfId="191" applyNumberFormat="1" applyFont="1" applyFill="1" applyBorder="1" applyAlignment="1" applyProtection="1">
      <alignment horizontal="center" vertical="center"/>
    </xf>
    <xf numFmtId="0" fontId="0" fillId="2" borderId="0" xfId="0" applyFill="1"/>
    <xf numFmtId="194" fontId="2" fillId="3" borderId="3" xfId="191" applyNumberFormat="1" applyFont="1" applyFill="1" applyBorder="1" applyAlignment="1" applyProtection="1">
      <alignment vertical="center"/>
    </xf>
    <xf numFmtId="194" fontId="0" fillId="2" borderId="0" xfId="0" applyNumberFormat="1" applyFill="1"/>
    <xf numFmtId="0" fontId="2" fillId="4" borderId="3" xfId="263" applyFont="1" applyFill="1" applyBorder="1" applyAlignment="1">
      <alignment horizontal="left" vertical="center" wrapText="1"/>
    </xf>
    <xf numFmtId="194" fontId="2" fillId="4" borderId="3" xfId="191" applyNumberFormat="1" applyFont="1" applyFill="1" applyBorder="1" applyAlignment="1" applyProtection="1">
      <alignment vertical="center"/>
    </xf>
    <xf numFmtId="194" fontId="2" fillId="4" borderId="3" xfId="263" applyNumberFormat="1" applyFont="1" applyFill="1" applyBorder="1" applyAlignment="1">
      <alignment horizontal="left" vertical="center" wrapText="1"/>
    </xf>
    <xf numFmtId="194" fontId="4" fillId="4" borderId="3" xfId="193" applyNumberFormat="1" applyFont="1" applyFill="1" applyBorder="1" applyAlignment="1" applyProtection="1"/>
    <xf numFmtId="194" fontId="15" fillId="4" borderId="3" xfId="191" applyNumberFormat="1" applyFont="1" applyFill="1" applyBorder="1" applyAlignment="1" applyProtection="1">
      <alignment horizontal="center" vertical="center"/>
    </xf>
    <xf numFmtId="0" fontId="0" fillId="4" borderId="0" xfId="0" applyFill="1"/>
    <xf numFmtId="0" fontId="2" fillId="0" borderId="3" xfId="263" applyFont="1" applyBorder="1" applyAlignment="1">
      <alignment horizontal="left" vertical="center" wrapText="1"/>
    </xf>
    <xf numFmtId="194" fontId="2" fillId="0" borderId="3" xfId="191" applyNumberFormat="1" applyFont="1" applyBorder="1" applyAlignment="1" applyProtection="1">
      <alignment vertical="center"/>
    </xf>
    <xf numFmtId="194" fontId="2" fillId="0" borderId="3" xfId="263" applyNumberFormat="1" applyFont="1" applyBorder="1" applyAlignment="1">
      <alignment horizontal="left" vertical="center" wrapText="1"/>
    </xf>
    <xf numFmtId="194" fontId="4" fillId="0" borderId="3" xfId="193" applyNumberFormat="1" applyFont="1" applyBorder="1" applyAlignment="1" applyProtection="1"/>
    <xf numFmtId="194" fontId="15" fillId="0" borderId="3" xfId="191" applyNumberFormat="1" applyFont="1" applyBorder="1" applyAlignment="1" applyProtection="1">
      <alignment horizontal="center" vertical="center"/>
    </xf>
    <xf numFmtId="194" fontId="16" fillId="0" borderId="3" xfId="191" applyNumberFormat="1" applyFont="1" applyBorder="1" applyAlignment="1" applyProtection="1">
      <alignment vertical="center"/>
    </xf>
    <xf numFmtId="194" fontId="2" fillId="0" borderId="4" xfId="191" applyNumberFormat="1" applyFont="1" applyBorder="1" applyAlignment="1" applyProtection="1">
      <alignment vertical="center"/>
    </xf>
    <xf numFmtId="194" fontId="2" fillId="0" borderId="5" xfId="191" applyNumberFormat="1" applyFont="1" applyBorder="1" applyAlignment="1" applyProtection="1">
      <alignment vertical="center"/>
    </xf>
    <xf numFmtId="194" fontId="4" fillId="0" borderId="5" xfId="193" applyNumberFormat="1" applyFont="1" applyBorder="1" applyAlignment="1" applyProtection="1"/>
    <xf numFmtId="0" fontId="13" fillId="0" borderId="3" xfId="263" applyFont="1" applyBorder="1" applyAlignment="1">
      <alignment horizontal="left" vertical="center" wrapText="1"/>
    </xf>
    <xf numFmtId="194" fontId="13" fillId="0" borderId="3" xfId="191" applyNumberFormat="1" applyFont="1" applyBorder="1" applyAlignment="1" applyProtection="1">
      <alignment vertical="center"/>
    </xf>
    <xf numFmtId="194" fontId="2" fillId="5" borderId="3" xfId="191" applyNumberFormat="1" applyFont="1" applyFill="1" applyBorder="1" applyAlignment="1" applyProtection="1">
      <alignment vertical="center"/>
    </xf>
    <xf numFmtId="194" fontId="2" fillId="2" borderId="4" xfId="191" applyNumberFormat="1" applyFont="1" applyFill="1" applyBorder="1" applyAlignment="1" applyProtection="1">
      <alignment vertical="center"/>
    </xf>
    <xf numFmtId="194" fontId="13" fillId="0" borderId="6" xfId="191" applyNumberFormat="1" applyFont="1" applyBorder="1" applyAlignment="1" applyProtection="1">
      <alignment vertical="center"/>
    </xf>
    <xf numFmtId="0" fontId="13" fillId="0" borderId="6" xfId="263" applyFont="1" applyBorder="1" applyAlignment="1">
      <alignment horizontal="left" vertical="center" wrapText="1"/>
    </xf>
    <xf numFmtId="195" fontId="2" fillId="0" borderId="3" xfId="1" applyNumberFormat="1" applyFont="1" applyBorder="1" applyAlignment="1" applyProtection="1">
      <alignment wrapText="1"/>
    </xf>
    <xf numFmtId="164" fontId="0" fillId="0" borderId="0" xfId="1" applyFont="1" applyBorder="1" applyAlignment="1" applyProtection="1"/>
    <xf numFmtId="195" fontId="2" fillId="0" borderId="4" xfId="1" applyNumberFormat="1" applyFont="1" applyBorder="1" applyAlignment="1" applyProtection="1">
      <alignment wrapText="1"/>
    </xf>
    <xf numFmtId="194" fontId="2" fillId="3" borderId="4" xfId="191" applyNumberFormat="1" applyFont="1" applyFill="1" applyBorder="1" applyAlignment="1" applyProtection="1">
      <alignment vertical="center"/>
    </xf>
    <xf numFmtId="164" fontId="2" fillId="0" borderId="3" xfId="191" applyNumberFormat="1" applyFont="1" applyBorder="1" applyAlignment="1" applyProtection="1">
      <alignment vertical="center"/>
    </xf>
    <xf numFmtId="165" fontId="0" fillId="0" borderId="0" xfId="0" applyNumberFormat="1"/>
    <xf numFmtId="194" fontId="13" fillId="0" borderId="6" xfId="3" applyNumberFormat="1" applyFont="1" applyBorder="1" applyAlignment="1" applyProtection="1">
      <alignment horizontal="right" vertical="center" wrapText="1"/>
    </xf>
    <xf numFmtId="193" fontId="15" fillId="0" borderId="3" xfId="3" applyFont="1" applyBorder="1" applyAlignment="1" applyProtection="1">
      <alignment horizontal="center" vertical="center" wrapText="1"/>
    </xf>
    <xf numFmtId="194" fontId="2" fillId="0" borderId="3" xfId="3" applyNumberFormat="1" applyFont="1" applyBorder="1" applyAlignment="1" applyProtection="1">
      <alignment horizontal="right" vertical="center"/>
    </xf>
    <xf numFmtId="194" fontId="15" fillId="0" borderId="3" xfId="3" applyNumberFormat="1" applyFont="1" applyBorder="1" applyAlignment="1" applyProtection="1">
      <alignment horizontal="center" vertical="center"/>
    </xf>
    <xf numFmtId="194" fontId="2" fillId="0" borderId="5" xfId="3" applyNumberFormat="1" applyFont="1" applyBorder="1" applyAlignment="1" applyProtection="1">
      <alignment horizontal="right" vertical="center"/>
    </xf>
    <xf numFmtId="194" fontId="13" fillId="0" borderId="6" xfId="3" applyNumberFormat="1" applyFont="1" applyBorder="1" applyAlignment="1" applyProtection="1">
      <alignment horizontal="right" vertical="center"/>
    </xf>
    <xf numFmtId="0" fontId="2" fillId="0" borderId="6" xfId="263" applyFont="1" applyBorder="1" applyAlignment="1">
      <alignment horizontal="left" vertical="center" wrapText="1"/>
    </xf>
    <xf numFmtId="0" fontId="17" fillId="0" borderId="3" xfId="263" applyFont="1" applyBorder="1" applyAlignment="1">
      <alignment horizontal="left" vertical="center" wrapText="1"/>
    </xf>
    <xf numFmtId="0" fontId="2" fillId="0" borderId="3" xfId="263" applyFont="1" applyBorder="1" applyAlignment="1">
      <alignment horizontal="left" vertical="center"/>
    </xf>
    <xf numFmtId="0" fontId="2" fillId="0" borderId="6" xfId="263" applyFont="1" applyBorder="1" applyAlignment="1">
      <alignment horizontal="left" vertical="center"/>
    </xf>
    <xf numFmtId="0" fontId="18" fillId="0" borderId="3" xfId="263" applyFont="1" applyBorder="1" applyAlignment="1">
      <alignment horizontal="left" vertical="center" wrapText="1"/>
    </xf>
    <xf numFmtId="194" fontId="18" fillId="0" borderId="3" xfId="191" applyNumberFormat="1" applyFont="1" applyBorder="1" applyAlignment="1" applyProtection="1">
      <alignment vertical="center"/>
    </xf>
    <xf numFmtId="0" fontId="19" fillId="0" borderId="3" xfId="263" applyFont="1" applyBorder="1" applyAlignment="1">
      <alignment horizontal="left" vertical="center" wrapText="1"/>
    </xf>
    <xf numFmtId="194" fontId="19" fillId="0" borderId="3" xfId="191" applyNumberFormat="1" applyFont="1" applyBorder="1" applyAlignment="1" applyProtection="1">
      <alignment vertical="center"/>
    </xf>
    <xf numFmtId="0" fontId="18" fillId="0" borderId="0" xfId="263" applyFont="1" applyBorder="1" applyAlignment="1">
      <alignment horizontal="left" vertical="center" wrapText="1"/>
    </xf>
    <xf numFmtId="194" fontId="18" fillId="0" borderId="0" xfId="191" applyNumberFormat="1" applyFont="1" applyBorder="1" applyAlignment="1" applyProtection="1">
      <alignment vertical="center"/>
    </xf>
    <xf numFmtId="194" fontId="15" fillId="0" borderId="0" xfId="191" applyNumberFormat="1" applyFont="1" applyBorder="1" applyAlignment="1" applyProtection="1">
      <alignment horizontal="center" vertical="center"/>
    </xf>
    <xf numFmtId="195" fontId="18" fillId="0" borderId="0" xfId="1" applyNumberFormat="1" applyFont="1" applyBorder="1" applyAlignment="1" applyProtection="1">
      <alignment vertical="center"/>
    </xf>
    <xf numFmtId="0" fontId="20" fillId="0" borderId="0" xfId="263" applyFont="1" applyAlignment="1">
      <alignment horizontal="left" vertical="center"/>
    </xf>
    <xf numFmtId="193" fontId="21" fillId="0" borderId="0" xfId="3" applyFont="1" applyBorder="1" applyAlignment="1" applyProtection="1">
      <alignment horizontal="right" vertical="center"/>
    </xf>
    <xf numFmtId="0" fontId="22" fillId="0" borderId="0" xfId="0" applyFont="1"/>
    <xf numFmtId="194" fontId="21" fillId="0" borderId="0" xfId="3" applyNumberFormat="1" applyFont="1" applyBorder="1" applyAlignment="1" applyProtection="1">
      <alignment horizontal="right" vertical="center"/>
    </xf>
    <xf numFmtId="194" fontId="22" fillId="0" borderId="0" xfId="0" applyNumberFormat="1" applyFont="1"/>
    <xf numFmtId="0" fontId="23" fillId="0" borderId="0" xfId="263" applyFont="1" applyBorder="1" applyAlignment="1">
      <alignment horizontal="left" vertical="center"/>
    </xf>
    <xf numFmtId="194" fontId="23" fillId="0" borderId="0" xfId="3" applyNumberFormat="1" applyFont="1" applyBorder="1" applyAlignment="1" applyProtection="1">
      <alignment horizontal="right" vertical="center"/>
    </xf>
    <xf numFmtId="194" fontId="24" fillId="0" borderId="0" xfId="3" applyNumberFormat="1" applyFont="1" applyBorder="1" applyAlignment="1" applyProtection="1">
      <alignment horizontal="left" vertical="center"/>
    </xf>
    <xf numFmtId="164" fontId="24" fillId="0" borderId="0" xfId="3" applyNumberFormat="1" applyFont="1" applyBorder="1" applyAlignment="1" applyProtection="1">
      <alignment horizontal="left" vertical="center"/>
    </xf>
    <xf numFmtId="0" fontId="25" fillId="0" borderId="0" xfId="0" applyFont="1"/>
    <xf numFmtId="164" fontId="0" fillId="0" borderId="0" xfId="0" applyNumberFormat="1"/>
    <xf numFmtId="194" fontId="24" fillId="0" borderId="0" xfId="3" applyNumberFormat="1" applyFont="1" applyBorder="1" applyAlignment="1" applyProtection="1">
      <alignment horizontal="right" vertical="center"/>
    </xf>
    <xf numFmtId="194" fontId="0" fillId="0" borderId="7" xfId="0" applyNumberFormat="1" applyFont="1" applyBorder="1"/>
    <xf numFmtId="0" fontId="27" fillId="0" borderId="0" xfId="0" applyFont="1"/>
    <xf numFmtId="0" fontId="28" fillId="6" borderId="0" xfId="0" applyFont="1" applyFill="1" applyBorder="1" applyAlignment="1">
      <alignment horizontal="center"/>
    </xf>
    <xf numFmtId="195" fontId="28" fillId="6" borderId="0" xfId="11" applyNumberFormat="1" applyFont="1" applyFill="1" applyBorder="1" applyAlignment="1" applyProtection="1">
      <alignment horizontal="center"/>
    </xf>
    <xf numFmtId="0" fontId="28" fillId="6" borderId="0" xfId="0" applyFont="1" applyFill="1" applyBorder="1"/>
    <xf numFmtId="195" fontId="28" fillId="6" borderId="7" xfId="11" applyNumberFormat="1" applyFont="1" applyFill="1" applyBorder="1" applyAlignment="1" applyProtection="1"/>
    <xf numFmtId="0" fontId="29" fillId="0" borderId="0" xfId="328" applyFont="1" applyAlignment="1">
      <alignment horizontal="center"/>
    </xf>
    <xf numFmtId="0" fontId="28" fillId="6" borderId="7" xfId="0" applyFont="1" applyFill="1" applyBorder="1" applyAlignment="1">
      <alignment horizontal="center"/>
    </xf>
    <xf numFmtId="195" fontId="27" fillId="6" borderId="7" xfId="11" applyNumberFormat="1" applyFont="1" applyFill="1" applyBorder="1" applyAlignment="1" applyProtection="1">
      <alignment horizontal="center" wrapText="1"/>
    </xf>
    <xf numFmtId="0" fontId="28" fillId="0" borderId="0" xfId="328" applyFont="1"/>
    <xf numFmtId="3" fontId="27" fillId="0" borderId="0" xfId="0" applyNumberFormat="1" applyFont="1"/>
    <xf numFmtId="3" fontId="28" fillId="0" borderId="0" xfId="328" applyNumberFormat="1" applyFont="1"/>
    <xf numFmtId="0" fontId="29" fillId="0" borderId="0" xfId="328" applyFont="1"/>
    <xf numFmtId="0" fontId="28" fillId="0" borderId="0" xfId="328" applyFont="1" applyAlignment="1">
      <alignment horizontal="left" indent="1"/>
    </xf>
    <xf numFmtId="3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indent="1"/>
    </xf>
    <xf numFmtId="195" fontId="27" fillId="0" borderId="0" xfId="1" applyNumberFormat="1" applyFont="1" applyBorder="1" applyAlignment="1" applyProtection="1"/>
    <xf numFmtId="195" fontId="27" fillId="0" borderId="8" xfId="1" applyNumberFormat="1" applyFont="1" applyBorder="1" applyAlignment="1" applyProtection="1"/>
    <xf numFmtId="3" fontId="27" fillId="0" borderId="0" xfId="0" applyNumberFormat="1" applyFont="1" applyBorder="1"/>
    <xf numFmtId="3" fontId="27" fillId="0" borderId="8" xfId="0" applyNumberFormat="1" applyFont="1" applyBorder="1"/>
    <xf numFmtId="164" fontId="27" fillId="0" borderId="7" xfId="1" applyFont="1" applyBorder="1" applyAlignment="1" applyProtection="1"/>
    <xf numFmtId="0" fontId="29" fillId="0" borderId="0" xfId="328" applyFont="1" applyBorder="1"/>
    <xf numFmtId="3" fontId="28" fillId="0" borderId="0" xfId="328" applyNumberFormat="1" applyFont="1" applyBorder="1"/>
    <xf numFmtId="164" fontId="27" fillId="0" borderId="0" xfId="1" applyFont="1" applyBorder="1" applyAlignment="1" applyProtection="1"/>
    <xf numFmtId="195" fontId="28" fillId="0" borderId="0" xfId="1" applyNumberFormat="1" applyFont="1" applyBorder="1" applyAlignment="1" applyProtection="1"/>
    <xf numFmtId="195" fontId="27" fillId="0" borderId="7" xfId="1" applyNumberFormat="1" applyFont="1" applyBorder="1" applyAlignment="1" applyProtection="1"/>
    <xf numFmtId="3" fontId="27" fillId="0" borderId="7" xfId="0" applyNumberFormat="1" applyFont="1" applyBorder="1"/>
    <xf numFmtId="3" fontId="27" fillId="0" borderId="1" xfId="0" applyNumberFormat="1" applyFont="1" applyBorder="1"/>
    <xf numFmtId="3" fontId="27" fillId="0" borderId="2" xfId="0" applyNumberFormat="1" applyFont="1" applyBorder="1"/>
    <xf numFmtId="0" fontId="28" fillId="0" borderId="0" xfId="0" applyFont="1" applyAlignment="1">
      <alignment horizontal="center"/>
    </xf>
    <xf numFmtId="0" fontId="28" fillId="0" borderId="0" xfId="0" applyFont="1"/>
    <xf numFmtId="0" fontId="27" fillId="0" borderId="7" xfId="0" applyFont="1" applyBorder="1" applyAlignment="1"/>
    <xf numFmtId="197" fontId="29" fillId="0" borderId="0" xfId="328" applyNumberFormat="1" applyFont="1" applyAlignment="1">
      <alignment horizontal="center"/>
    </xf>
    <xf numFmtId="0" fontId="28" fillId="0" borderId="7" xfId="0" applyFont="1" applyBorder="1" applyAlignment="1">
      <alignment horizontal="center"/>
    </xf>
    <xf numFmtId="195" fontId="27" fillId="0" borderId="7" xfId="11" applyNumberFormat="1" applyFont="1" applyBorder="1" applyAlignment="1" applyProtection="1">
      <alignment horizontal="center" wrapText="1"/>
    </xf>
    <xf numFmtId="0" fontId="28" fillId="0" borderId="0" xfId="0" applyFont="1" applyBorder="1"/>
    <xf numFmtId="197" fontId="28" fillId="0" borderId="0" xfId="328" applyNumberFormat="1" applyFont="1"/>
    <xf numFmtId="197" fontId="29" fillId="0" borderId="0" xfId="328" applyNumberFormat="1" applyFont="1"/>
    <xf numFmtId="197" fontId="28" fillId="0" borderId="0" xfId="328" applyNumberFormat="1" applyFont="1" applyAlignment="1">
      <alignment horizontal="left" indent="1"/>
    </xf>
    <xf numFmtId="3" fontId="27" fillId="0" borderId="0" xfId="0" applyNumberFormat="1" applyFont="1" applyAlignment="1">
      <alignment horizontal="center"/>
    </xf>
    <xf numFmtId="164" fontId="27" fillId="0" borderId="0" xfId="0" applyNumberFormat="1" applyFont="1"/>
    <xf numFmtId="195" fontId="27" fillId="0" borderId="0" xfId="0" applyNumberFormat="1" applyFont="1"/>
    <xf numFmtId="197" fontId="28" fillId="6" borderId="0" xfId="328" applyNumberFormat="1" applyFont="1" applyFill="1" applyAlignment="1">
      <alignment horizontal="left" indent="1"/>
    </xf>
    <xf numFmtId="3" fontId="27" fillId="6" borderId="0" xfId="0" applyNumberFormat="1" applyFont="1" applyFill="1"/>
    <xf numFmtId="3" fontId="28" fillId="6" borderId="0" xfId="328" applyNumberFormat="1" applyFont="1" applyFill="1"/>
    <xf numFmtId="195" fontId="27" fillId="6" borderId="7" xfId="1" applyNumberFormat="1" applyFont="1" applyFill="1" applyBorder="1" applyAlignment="1" applyProtection="1"/>
    <xf numFmtId="195" fontId="27" fillId="6" borderId="0" xfId="1" applyNumberFormat="1" applyFont="1" applyFill="1" applyBorder="1" applyAlignment="1" applyProtection="1"/>
    <xf numFmtId="0" fontId="27" fillId="6" borderId="0" xfId="0" applyFont="1" applyFill="1"/>
    <xf numFmtId="197" fontId="29" fillId="6" borderId="0" xfId="328" applyNumberFormat="1" applyFont="1" applyFill="1"/>
    <xf numFmtId="195" fontId="27" fillId="6" borderId="9" xfId="1" applyNumberFormat="1" applyFont="1" applyFill="1" applyBorder="1" applyAlignment="1" applyProtection="1"/>
    <xf numFmtId="0" fontId="27" fillId="6" borderId="0" xfId="0" applyFont="1" applyFill="1" applyAlignment="1">
      <alignment vertical="center"/>
    </xf>
    <xf numFmtId="0" fontId="27" fillId="6" borderId="7" xfId="0" applyFont="1" applyFill="1" applyBorder="1" applyAlignment="1">
      <alignment horizontal="center" vertical="center"/>
    </xf>
    <xf numFmtId="0" fontId="29" fillId="6" borderId="0" xfId="544" applyFont="1" applyFill="1" applyAlignment="1">
      <alignment horizontal="center"/>
    </xf>
    <xf numFmtId="0" fontId="30" fillId="6" borderId="0" xfId="332" applyFont="1" applyFill="1" applyBorder="1" applyAlignment="1">
      <alignment horizontal="center" vertical="center"/>
    </xf>
    <xf numFmtId="0" fontId="27" fillId="6" borderId="0" xfId="332" applyFont="1" applyFill="1" applyAlignment="1">
      <alignment vertical="center"/>
    </xf>
    <xf numFmtId="0" fontId="28" fillId="6" borderId="7" xfId="332" applyFont="1" applyFill="1" applyBorder="1" applyAlignment="1">
      <alignment horizontal="center" vertical="center"/>
    </xf>
    <xf numFmtId="0" fontId="27" fillId="6" borderId="0" xfId="0" applyFont="1" applyFill="1" applyAlignment="1">
      <alignment vertical="top"/>
    </xf>
    <xf numFmtId="0" fontId="29" fillId="6" borderId="0" xfId="544" applyFont="1" applyFill="1" applyBorder="1" applyAlignment="1">
      <alignment horizontal="center"/>
    </xf>
    <xf numFmtId="0" fontId="28" fillId="6" borderId="0" xfId="544" applyFont="1" applyFill="1"/>
    <xf numFmtId="0" fontId="28" fillId="6" borderId="0" xfId="544" applyFont="1" applyFill="1" applyAlignment="1">
      <alignment horizontal="center"/>
    </xf>
    <xf numFmtId="177" fontId="28" fillId="6" borderId="0" xfId="1" applyNumberFormat="1" applyFont="1" applyFill="1" applyBorder="1" applyAlignment="1" applyProtection="1"/>
    <xf numFmtId="177" fontId="27" fillId="6" borderId="0" xfId="1" applyNumberFormat="1" applyFont="1" applyFill="1" applyBorder="1" applyAlignment="1" applyProtection="1"/>
    <xf numFmtId="177" fontId="28" fillId="6" borderId="0" xfId="1" applyNumberFormat="1" applyFont="1" applyFill="1" applyBorder="1" applyAlignment="1" applyProtection="1">
      <alignment vertical="top"/>
    </xf>
    <xf numFmtId="177" fontId="27" fillId="6" borderId="0" xfId="0" applyNumberFormat="1" applyFont="1" applyFill="1" applyAlignment="1">
      <alignment vertical="top"/>
    </xf>
    <xf numFmtId="0" fontId="28" fillId="0" borderId="0" xfId="544" applyFont="1"/>
    <xf numFmtId="0" fontId="28" fillId="0" borderId="0" xfId="544" applyFont="1" applyAlignment="1">
      <alignment horizontal="center"/>
    </xf>
    <xf numFmtId="0" fontId="27" fillId="0" borderId="0" xfId="544" applyFont="1"/>
    <xf numFmtId="198" fontId="28" fillId="0" borderId="7" xfId="1" applyNumberFormat="1" applyFont="1" applyBorder="1" applyAlignment="1" applyProtection="1">
      <alignment vertical="top"/>
    </xf>
    <xf numFmtId="177" fontId="27" fillId="0" borderId="0" xfId="1" applyNumberFormat="1" applyFont="1" applyBorder="1" applyAlignment="1" applyProtection="1"/>
    <xf numFmtId="177" fontId="28" fillId="0" borderId="0" xfId="1" applyNumberFormat="1" applyFont="1" applyBorder="1" applyAlignment="1" applyProtection="1">
      <alignment vertical="top"/>
    </xf>
    <xf numFmtId="0" fontId="27" fillId="0" borderId="0" xfId="0" applyFont="1" applyAlignment="1">
      <alignment vertical="top"/>
    </xf>
    <xf numFmtId="0" fontId="27" fillId="6" borderId="0" xfId="544" applyFont="1" applyFill="1"/>
    <xf numFmtId="198" fontId="28" fillId="6" borderId="7" xfId="1" applyNumberFormat="1" applyFont="1" applyFill="1" applyBorder="1" applyAlignment="1" applyProtection="1"/>
    <xf numFmtId="198" fontId="28" fillId="0" borderId="0" xfId="1" applyNumberFormat="1" applyFont="1" applyBorder="1" applyAlignment="1" applyProtection="1">
      <alignment vertical="top"/>
    </xf>
    <xf numFmtId="198" fontId="27" fillId="0" borderId="0" xfId="0" applyNumberFormat="1" applyFont="1" applyAlignment="1">
      <alignment vertical="top"/>
    </xf>
    <xf numFmtId="198" fontId="28" fillId="6" borderId="7" xfId="1" applyNumberFormat="1" applyFont="1" applyFill="1" applyBorder="1" applyAlignment="1" applyProtection="1">
      <alignment vertical="top"/>
    </xf>
    <xf numFmtId="198" fontId="28" fillId="6" borderId="0" xfId="1" applyNumberFormat="1" applyFont="1" applyFill="1" applyBorder="1" applyAlignment="1" applyProtection="1"/>
    <xf numFmtId="177" fontId="27" fillId="6" borderId="1" xfId="1" applyNumberFormat="1" applyFont="1" applyFill="1" applyBorder="1" applyAlignment="1" applyProtection="1"/>
    <xf numFmtId="164" fontId="28" fillId="6" borderId="0" xfId="1" applyFont="1" applyFill="1" applyBorder="1" applyAlignment="1" applyProtection="1">
      <alignment vertical="top"/>
    </xf>
    <xf numFmtId="164" fontId="27" fillId="6" borderId="0" xfId="1" applyFont="1" applyFill="1" applyBorder="1" applyAlignment="1" applyProtection="1">
      <alignment vertical="top"/>
    </xf>
    <xf numFmtId="0" fontId="29" fillId="6" borderId="0" xfId="544" applyFont="1" applyFill="1"/>
    <xf numFmtId="198" fontId="28" fillId="6" borderId="9" xfId="1" applyNumberFormat="1" applyFont="1" applyFill="1" applyBorder="1" applyAlignment="1" applyProtection="1"/>
    <xf numFmtId="177" fontId="29" fillId="6" borderId="0" xfId="1" applyNumberFormat="1" applyFont="1" applyFill="1" applyBorder="1" applyAlignment="1" applyProtection="1"/>
    <xf numFmtId="195" fontId="27" fillId="6" borderId="0" xfId="0" applyNumberFormat="1" applyFont="1" applyFill="1"/>
    <xf numFmtId="195" fontId="27" fillId="6" borderId="2" xfId="1" applyNumberFormat="1" applyFont="1" applyFill="1" applyBorder="1" applyAlignment="1" applyProtection="1"/>
    <xf numFmtId="0" fontId="28" fillId="6" borderId="0" xfId="331" applyFont="1" applyFill="1" applyAlignment="1">
      <alignment horizontal="center"/>
    </xf>
    <xf numFmtId="0" fontId="28" fillId="6" borderId="0" xfId="331" applyFont="1" applyFill="1" applyAlignment="1"/>
    <xf numFmtId="0" fontId="28" fillId="6" borderId="7" xfId="331" applyFont="1" applyFill="1" applyBorder="1" applyAlignment="1">
      <alignment horizontal="center"/>
    </xf>
    <xf numFmtId="0" fontId="28" fillId="6" borderId="0" xfId="331" applyFont="1" applyFill="1" applyBorder="1" applyAlignment="1">
      <alignment horizontal="center"/>
    </xf>
    <xf numFmtId="0" fontId="28" fillId="0" borderId="0" xfId="514" applyFont="1" applyAlignment="1"/>
    <xf numFmtId="0" fontId="27" fillId="6" borderId="0" xfId="331" applyFont="1" applyFill="1" applyAlignment="1"/>
    <xf numFmtId="195" fontId="28" fillId="6" borderId="7" xfId="11" applyNumberFormat="1" applyFont="1" applyFill="1" applyBorder="1" applyAlignment="1" applyProtection="1">
      <alignment horizontal="center"/>
    </xf>
    <xf numFmtId="0" fontId="27" fillId="6" borderId="7" xfId="514" applyFont="1" applyFill="1" applyBorder="1" applyAlignment="1">
      <alignment horizontal="center"/>
    </xf>
    <xf numFmtId="199" fontId="27" fillId="6" borderId="0" xfId="331" applyNumberFormat="1" applyFont="1" applyFill="1" applyAlignment="1"/>
    <xf numFmtId="195" fontId="28" fillId="6" borderId="0" xfId="1" applyNumberFormat="1" applyFont="1" applyFill="1" applyBorder="1" applyAlignment="1" applyProtection="1">
      <alignment horizontal="right"/>
    </xf>
    <xf numFmtId="0" fontId="27" fillId="6" borderId="0" xfId="331" applyFont="1" applyFill="1" applyBorder="1" applyAlignment="1"/>
    <xf numFmtId="0" fontId="27" fillId="6" borderId="0" xfId="331" applyFont="1" applyFill="1" applyAlignment="1">
      <alignment wrapText="1"/>
    </xf>
    <xf numFmtId="195" fontId="28" fillId="0" borderId="0" xfId="1" applyNumberFormat="1" applyFont="1" applyBorder="1" applyAlignment="1" applyProtection="1">
      <alignment horizontal="right"/>
    </xf>
    <xf numFmtId="195" fontId="27" fillId="0" borderId="0" xfId="1" applyNumberFormat="1" applyFont="1" applyBorder="1" applyAlignment="1" applyProtection="1">
      <alignment horizontal="right"/>
    </xf>
    <xf numFmtId="0" fontId="28" fillId="0" borderId="0" xfId="0" applyFont="1" applyAlignment="1">
      <alignment wrapText="1"/>
    </xf>
    <xf numFmtId="195" fontId="27" fillId="6" borderId="0" xfId="1" applyNumberFormat="1" applyFont="1" applyFill="1" applyBorder="1" applyAlignment="1" applyProtection="1">
      <alignment horizontal="right"/>
    </xf>
    <xf numFmtId="0" fontId="28" fillId="6" borderId="0" xfId="331" applyFont="1" applyFill="1" applyAlignment="1">
      <alignment wrapText="1"/>
    </xf>
    <xf numFmtId="195" fontId="28" fillId="0" borderId="7" xfId="1" applyNumberFormat="1" applyFont="1" applyBorder="1" applyAlignment="1" applyProtection="1">
      <alignment horizontal="right"/>
    </xf>
    <xf numFmtId="195" fontId="28" fillId="6" borderId="7" xfId="1" applyNumberFormat="1" applyFont="1" applyFill="1" applyBorder="1" applyAlignment="1" applyProtection="1">
      <alignment horizontal="right"/>
    </xf>
    <xf numFmtId="195" fontId="28" fillId="0" borderId="9" xfId="1" applyNumberFormat="1" applyFont="1" applyBorder="1" applyAlignment="1" applyProtection="1">
      <alignment horizontal="right"/>
    </xf>
    <xf numFmtId="0" fontId="28" fillId="0" borderId="0" xfId="331" applyFont="1" applyAlignment="1">
      <alignment wrapText="1"/>
    </xf>
    <xf numFmtId="0" fontId="27" fillId="0" borderId="0" xfId="331" applyFont="1" applyAlignment="1"/>
    <xf numFmtId="0" fontId="31" fillId="0" borderId="3" xfId="0" applyFont="1" applyBorder="1" applyAlignment="1">
      <alignment horizontal="center"/>
    </xf>
    <xf numFmtId="195" fontId="32" fillId="0" borderId="3" xfId="1" applyNumberFormat="1" applyFont="1" applyBorder="1" applyAlignment="1" applyProtection="1">
      <alignment horizontal="center" vertical="center"/>
    </xf>
    <xf numFmtId="195" fontId="31" fillId="0" borderId="3" xfId="1" applyNumberFormat="1" applyFont="1" applyBorder="1" applyAlignment="1" applyProtection="1">
      <alignment horizontal="center"/>
    </xf>
    <xf numFmtId="0" fontId="33" fillId="0" borderId="4" xfId="0" applyFont="1" applyBorder="1" applyAlignment="1">
      <alignment horizontal="left"/>
    </xf>
    <xf numFmtId="195" fontId="33" fillId="0" borderId="10" xfId="1" applyNumberFormat="1" applyFont="1" applyBorder="1" applyAlignment="1" applyProtection="1">
      <alignment vertical="center"/>
    </xf>
    <xf numFmtId="195" fontId="33" fillId="2" borderId="4" xfId="1" applyNumberFormat="1" applyFont="1" applyFill="1" applyBorder="1" applyAlignment="1" applyProtection="1">
      <alignment horizontal="center"/>
    </xf>
    <xf numFmtId="195" fontId="33" fillId="0" borderId="4" xfId="1" applyNumberFormat="1" applyFont="1" applyBorder="1" applyAlignment="1" applyProtection="1">
      <alignment horizontal="center"/>
    </xf>
    <xf numFmtId="0" fontId="33" fillId="0" borderId="10" xfId="0" applyFont="1" applyBorder="1" applyAlignment="1">
      <alignment horizontal="left"/>
    </xf>
    <xf numFmtId="195" fontId="33" fillId="2" borderId="10" xfId="1" applyNumberFormat="1" applyFont="1" applyFill="1" applyBorder="1" applyAlignment="1" applyProtection="1">
      <alignment horizontal="center"/>
    </xf>
    <xf numFmtId="195" fontId="33" fillId="0" borderId="10" xfId="1" applyNumberFormat="1" applyFont="1" applyBorder="1" applyAlignment="1" applyProtection="1">
      <alignment horizontal="center"/>
    </xf>
    <xf numFmtId="0" fontId="33" fillId="0" borderId="10" xfId="0" applyFont="1" applyBorder="1" applyAlignment="1"/>
    <xf numFmtId="0" fontId="33" fillId="0" borderId="10" xfId="0" applyFont="1" applyBorder="1" applyAlignment="1">
      <alignment horizontal="left" indent="15"/>
    </xf>
    <xf numFmtId="0" fontId="33" fillId="0" borderId="6" xfId="0" applyFont="1" applyBorder="1" applyAlignment="1">
      <alignment horizontal="left"/>
    </xf>
    <xf numFmtId="195" fontId="33" fillId="0" borderId="6" xfId="1" applyNumberFormat="1" applyFont="1" applyBorder="1" applyAlignment="1" applyProtection="1">
      <alignment vertical="center"/>
    </xf>
    <xf numFmtId="195" fontId="33" fillId="0" borderId="6" xfId="1" applyNumberFormat="1" applyFont="1" applyBorder="1" applyAlignment="1" applyProtection="1">
      <alignment horizontal="center"/>
    </xf>
    <xf numFmtId="195" fontId="33" fillId="2" borderId="6" xfId="1" applyNumberFormat="1" applyFont="1" applyFill="1" applyBorder="1" applyAlignment="1" applyProtection="1">
      <alignment horizontal="center"/>
    </xf>
    <xf numFmtId="0" fontId="33" fillId="0" borderId="0" xfId="0" applyFont="1" applyAlignment="1">
      <alignment vertical="center"/>
    </xf>
    <xf numFmtId="195" fontId="33" fillId="0" borderId="0" xfId="1" applyNumberFormat="1" applyFont="1" applyBorder="1" applyAlignment="1" applyProtection="1">
      <alignment vertical="center"/>
    </xf>
    <xf numFmtId="195" fontId="31" fillId="0" borderId="0" xfId="1" applyNumberFormat="1" applyFont="1" applyBorder="1" applyAlignment="1" applyProtection="1">
      <alignment vertical="center"/>
    </xf>
    <xf numFmtId="0" fontId="31" fillId="0" borderId="0" xfId="0" applyFont="1" applyAlignment="1">
      <alignment vertical="center"/>
    </xf>
    <xf numFmtId="0" fontId="31" fillId="0" borderId="3" xfId="0" applyFont="1" applyBorder="1" applyAlignment="1">
      <alignment horizontal="center" vertical="center"/>
    </xf>
    <xf numFmtId="195" fontId="31" fillId="0" borderId="11" xfId="1" applyNumberFormat="1" applyFont="1" applyBorder="1" applyAlignment="1" applyProtection="1">
      <alignment horizontal="center" vertical="center"/>
    </xf>
    <xf numFmtId="0" fontId="33" fillId="0" borderId="10" xfId="0" applyFont="1" applyBorder="1" applyAlignment="1">
      <alignment vertical="center"/>
    </xf>
    <xf numFmtId="195" fontId="33" fillId="0" borderId="4" xfId="1" applyNumberFormat="1" applyFont="1" applyBorder="1" applyAlignment="1" applyProtection="1">
      <alignment vertical="center"/>
    </xf>
    <xf numFmtId="195" fontId="33" fillId="0" borderId="12" xfId="1" applyNumberFormat="1" applyFont="1" applyBorder="1" applyAlignment="1" applyProtection="1">
      <alignment vertical="center"/>
    </xf>
    <xf numFmtId="0" fontId="0" fillId="0" borderId="10" xfId="0" applyBorder="1"/>
    <xf numFmtId="195" fontId="33" fillId="0" borderId="13" xfId="1" applyNumberFormat="1" applyFont="1" applyBorder="1" applyAlignment="1" applyProtection="1">
      <alignment vertical="center"/>
    </xf>
    <xf numFmtId="195" fontId="33" fillId="0" borderId="14" xfId="1" applyNumberFormat="1" applyFont="1" applyBorder="1" applyAlignment="1" applyProtection="1">
      <alignment vertical="center"/>
    </xf>
    <xf numFmtId="195" fontId="33" fillId="2" borderId="10" xfId="1" applyNumberFormat="1" applyFont="1" applyFill="1" applyBorder="1" applyAlignment="1" applyProtection="1">
      <alignment vertical="center"/>
    </xf>
    <xf numFmtId="195" fontId="33" fillId="2" borderId="0" xfId="1" applyNumberFormat="1" applyFont="1" applyFill="1" applyBorder="1" applyAlignment="1" applyProtection="1">
      <alignment vertical="center"/>
    </xf>
    <xf numFmtId="0" fontId="33" fillId="0" borderId="6" xfId="0" applyFont="1" applyBorder="1" applyAlignment="1">
      <alignment vertical="center"/>
    </xf>
    <xf numFmtId="195" fontId="33" fillId="2" borderId="7" xfId="1" applyNumberFormat="1" applyFont="1" applyFill="1" applyBorder="1" applyAlignment="1" applyProtection="1">
      <alignment vertical="center"/>
    </xf>
    <xf numFmtId="195" fontId="0" fillId="2" borderId="0" xfId="0" applyNumberFormat="1" applyFill="1"/>
    <xf numFmtId="195" fontId="25" fillId="0" borderId="0" xfId="0" applyNumberFormat="1" applyFont="1"/>
    <xf numFmtId="0" fontId="31" fillId="0" borderId="15" xfId="0" applyFont="1" applyBorder="1" applyAlignment="1">
      <alignment horizontal="center" vertical="center"/>
    </xf>
    <xf numFmtId="195" fontId="31" fillId="0" borderId="3" xfId="1" applyNumberFormat="1" applyFont="1" applyBorder="1" applyAlignment="1" applyProtection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0" xfId="0" applyFont="1" applyBorder="1" applyAlignment="1">
      <alignment horizontal="left" vertical="center" indent="15"/>
    </xf>
    <xf numFmtId="0" fontId="33" fillId="0" borderId="14" xfId="0" applyFont="1" applyBorder="1" applyAlignment="1">
      <alignment horizontal="left" vertical="center" indent="15"/>
    </xf>
    <xf numFmtId="0" fontId="0" fillId="0" borderId="14" xfId="0" applyBorder="1"/>
    <xf numFmtId="0" fontId="33" fillId="0" borderId="14" xfId="0" applyFont="1" applyBorder="1" applyAlignment="1">
      <alignment vertical="center"/>
    </xf>
    <xf numFmtId="0" fontId="33" fillId="0" borderId="6" xfId="0" applyFont="1" applyBorder="1" applyAlignment="1">
      <alignment horizontal="left" vertical="center" indent="15"/>
    </xf>
    <xf numFmtId="195" fontId="33" fillId="0" borderId="7" xfId="1" applyNumberFormat="1" applyFont="1" applyBorder="1" applyAlignment="1" applyProtection="1">
      <alignment vertical="center"/>
    </xf>
    <xf numFmtId="0" fontId="0" fillId="0" borderId="0" xfId="0" applyFont="1" applyAlignment="1">
      <alignment horizontal="left" indent="15"/>
    </xf>
    <xf numFmtId="195" fontId="32" fillId="0" borderId="0" xfId="1" applyNumberFormat="1" applyFont="1" applyBorder="1" applyAlignment="1" applyProtection="1">
      <alignment horizontal="center" vertical="center"/>
    </xf>
    <xf numFmtId="195" fontId="33" fillId="0" borderId="9" xfId="1" applyNumberFormat="1" applyFont="1" applyBorder="1" applyAlignment="1" applyProtection="1">
      <alignment vertical="center"/>
    </xf>
    <xf numFmtId="195" fontId="33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196" fontId="31" fillId="0" borderId="3" xfId="192" applyNumberFormat="1" applyFont="1" applyBorder="1" applyAlignment="1" applyProtection="1">
      <alignment horizontal="center"/>
    </xf>
    <xf numFmtId="164" fontId="31" fillId="0" borderId="3" xfId="192" applyFont="1" applyBorder="1" applyAlignment="1" applyProtection="1">
      <alignment horizontal="center"/>
    </xf>
    <xf numFmtId="0" fontId="31" fillId="0" borderId="0" xfId="0" applyFont="1" applyAlignment="1">
      <alignment horizontal="center" vertical="center"/>
    </xf>
    <xf numFmtId="196" fontId="33" fillId="2" borderId="4" xfId="192" applyNumberFormat="1" applyFont="1" applyFill="1" applyBorder="1" applyAlignment="1" applyProtection="1">
      <alignment horizontal="center"/>
    </xf>
    <xf numFmtId="164" fontId="33" fillId="0" borderId="4" xfId="192" applyFont="1" applyBorder="1" applyAlignment="1" applyProtection="1">
      <alignment horizontal="center"/>
    </xf>
    <xf numFmtId="196" fontId="33" fillId="0" borderId="6" xfId="192" applyNumberFormat="1" applyFont="1" applyBorder="1" applyAlignment="1" applyProtection="1">
      <alignment horizontal="center"/>
    </xf>
    <xf numFmtId="200" fontId="31" fillId="0" borderId="0" xfId="2" applyNumberFormat="1" applyFont="1" applyBorder="1" applyAlignment="1" applyProtection="1">
      <alignment vertical="center"/>
    </xf>
    <xf numFmtId="196" fontId="31" fillId="0" borderId="0" xfId="0" applyNumberFormat="1" applyFont="1" applyAlignment="1">
      <alignment vertical="center"/>
    </xf>
    <xf numFmtId="196" fontId="33" fillId="0" borderId="0" xfId="0" applyNumberFormat="1" applyFont="1" applyAlignment="1">
      <alignment vertical="center"/>
    </xf>
    <xf numFmtId="195" fontId="31" fillId="0" borderId="0" xfId="1" applyNumberFormat="1" applyFont="1" applyBorder="1" applyAlignment="1" applyProtection="1">
      <alignment horizontal="center"/>
    </xf>
    <xf numFmtId="195" fontId="31" fillId="0" borderId="0" xfId="1" applyNumberFormat="1" applyFont="1" applyBorder="1" applyAlignment="1" applyProtection="1">
      <alignment horizontal="center" vertical="center"/>
    </xf>
    <xf numFmtId="195" fontId="33" fillId="0" borderId="0" xfId="1" applyNumberFormat="1" applyFont="1" applyBorder="1" applyAlignment="1" applyProtection="1">
      <alignment horizontal="left"/>
    </xf>
    <xf numFmtId="195" fontId="33" fillId="0" borderId="0" xfId="1" applyNumberFormat="1" applyFont="1" applyBorder="1" applyAlignment="1" applyProtection="1">
      <alignment horizontal="center"/>
    </xf>
    <xf numFmtId="0" fontId="33" fillId="7" borderId="10" xfId="0" applyFont="1" applyFill="1" applyBorder="1" applyAlignment="1">
      <alignment horizontal="left"/>
    </xf>
    <xf numFmtId="195" fontId="33" fillId="7" borderId="10" xfId="1" applyNumberFormat="1" applyFont="1" applyFill="1" applyBorder="1" applyAlignment="1" applyProtection="1">
      <alignment vertical="center"/>
    </xf>
    <xf numFmtId="195" fontId="33" fillId="7" borderId="10" xfId="1" applyNumberFormat="1" applyFont="1" applyFill="1" applyBorder="1" applyAlignment="1" applyProtection="1">
      <alignment horizontal="center"/>
    </xf>
    <xf numFmtId="0" fontId="33" fillId="7" borderId="10" xfId="0" applyFont="1" applyFill="1" applyBorder="1" applyAlignment="1">
      <alignment horizontal="left" indent="15"/>
    </xf>
    <xf numFmtId="164" fontId="33" fillId="0" borderId="0" xfId="0" applyNumberFormat="1" applyFont="1" applyAlignment="1">
      <alignment vertical="center"/>
    </xf>
    <xf numFmtId="0" fontId="33" fillId="0" borderId="4" xfId="0" applyFont="1" applyBorder="1" applyAlignment="1">
      <alignment vertical="center"/>
    </xf>
    <xf numFmtId="195" fontId="33" fillId="0" borderId="1" xfId="1" applyNumberFormat="1" applyFont="1" applyBorder="1" applyAlignment="1" applyProtection="1">
      <alignment vertical="center"/>
    </xf>
    <xf numFmtId="195" fontId="33" fillId="0" borderId="16" xfId="1" applyNumberFormat="1" applyFont="1" applyBorder="1" applyAlignment="1" applyProtection="1">
      <alignment vertical="center"/>
    </xf>
    <xf numFmtId="0" fontId="33" fillId="0" borderId="1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195" fontId="33" fillId="0" borderId="17" xfId="1" applyNumberFormat="1" applyFont="1" applyBorder="1" applyAlignment="1" applyProtection="1">
      <alignment vertical="center"/>
    </xf>
    <xf numFmtId="0" fontId="33" fillId="0" borderId="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0" xfId="528" applyFont="1" applyAlignment="1">
      <alignment wrapText="1"/>
    </xf>
    <xf numFmtId="0" fontId="33" fillId="0" borderId="0" xfId="528" applyFont="1" applyAlignment="1"/>
    <xf numFmtId="195" fontId="33" fillId="0" borderId="0" xfId="192" applyNumberFormat="1" applyFont="1" applyBorder="1" applyAlignment="1" applyProtection="1">
      <alignment wrapText="1"/>
    </xf>
    <xf numFmtId="0" fontId="33" fillId="0" borderId="0" xfId="528" applyFont="1"/>
    <xf numFmtId="0" fontId="32" fillId="0" borderId="19" xfId="528" applyFont="1" applyBorder="1" applyAlignment="1"/>
    <xf numFmtId="195" fontId="33" fillId="0" borderId="20" xfId="192" applyNumberFormat="1" applyFont="1" applyBorder="1" applyAlignment="1" applyProtection="1">
      <alignment wrapText="1"/>
    </xf>
    <xf numFmtId="0" fontId="31" fillId="0" borderId="21" xfId="528" applyFont="1" applyBorder="1" applyAlignment="1">
      <alignment horizontal="right"/>
    </xf>
    <xf numFmtId="195" fontId="19" fillId="0" borderId="22" xfId="192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/>
    <xf numFmtId="0" fontId="33" fillId="0" borderId="21" xfId="528" applyFont="1" applyBorder="1" applyAlignment="1"/>
    <xf numFmtId="195" fontId="33" fillId="0" borderId="22" xfId="192" applyNumberFormat="1" applyFont="1" applyBorder="1" applyAlignment="1" applyProtection="1">
      <alignment wrapText="1"/>
    </xf>
    <xf numFmtId="195" fontId="33" fillId="0" borderId="0" xfId="528" applyNumberFormat="1" applyFont="1"/>
    <xf numFmtId="0" fontId="18" fillId="0" borderId="21" xfId="528" applyFont="1" applyBorder="1" applyAlignment="1">
      <alignment horizontal="right" vertical="center"/>
    </xf>
    <xf numFmtId="195" fontId="18" fillId="0" borderId="23" xfId="192" applyNumberFormat="1" applyFont="1" applyBorder="1" applyAlignment="1" applyProtection="1">
      <alignment horizontal="center" vertical="center" wrapText="1"/>
    </xf>
    <xf numFmtId="164" fontId="33" fillId="0" borderId="0" xfId="1" applyFont="1" applyBorder="1" applyAlignment="1" applyProtection="1"/>
    <xf numFmtId="0" fontId="19" fillId="0" borderId="24" xfId="528" applyFont="1" applyBorder="1" applyAlignment="1">
      <alignment horizontal="left"/>
    </xf>
    <xf numFmtId="194" fontId="19" fillId="0" borderId="23" xfId="192" applyNumberFormat="1" applyFont="1" applyBorder="1" applyAlignment="1" applyProtection="1">
      <alignment horizontal="center" vertical="center" wrapText="1"/>
    </xf>
    <xf numFmtId="0" fontId="15" fillId="0" borderId="0" xfId="528" applyFont="1" applyAlignment="1">
      <alignment horizontal="right" wrapText="1"/>
    </xf>
    <xf numFmtId="164" fontId="33" fillId="0" borderId="0" xfId="1" applyFont="1" applyBorder="1" applyAlignment="1" applyProtection="1">
      <alignment wrapText="1"/>
    </xf>
    <xf numFmtId="201" fontId="31" fillId="0" borderId="0" xfId="3" applyNumberFormat="1" applyFont="1" applyBorder="1" applyAlignment="1" applyProtection="1">
      <alignment horizontal="left" wrapText="1"/>
    </xf>
    <xf numFmtId="164" fontId="33" fillId="0" borderId="0" xfId="528" applyNumberFormat="1" applyFont="1"/>
    <xf numFmtId="194" fontId="19" fillId="0" borderId="25" xfId="192" applyNumberFormat="1" applyFont="1" applyBorder="1" applyAlignment="1" applyProtection="1">
      <alignment horizontal="center" vertical="center" wrapText="1"/>
    </xf>
    <xf numFmtId="0" fontId="15" fillId="0" borderId="0" xfId="0" applyFont="1" applyAlignment="1">
      <alignment vertical="center"/>
    </xf>
    <xf numFmtId="164" fontId="33" fillId="0" borderId="7" xfId="1" applyFont="1" applyBorder="1" applyAlignment="1" applyProtection="1">
      <alignment wrapText="1"/>
    </xf>
    <xf numFmtId="194" fontId="33" fillId="0" borderId="0" xfId="528" applyNumberFormat="1" applyFont="1"/>
    <xf numFmtId="194" fontId="18" fillId="0" borderId="26" xfId="192" applyNumberFormat="1" applyFont="1" applyBorder="1" applyAlignment="1" applyProtection="1">
      <alignment horizontal="center" vertical="center" wrapText="1"/>
    </xf>
    <xf numFmtId="201" fontId="33" fillId="0" borderId="0" xfId="528" applyNumberFormat="1" applyFont="1" applyAlignment="1">
      <alignment wrapText="1"/>
    </xf>
    <xf numFmtId="0" fontId="18" fillId="0" borderId="24" xfId="528" applyFont="1" applyBorder="1" applyAlignment="1">
      <alignment horizontal="left"/>
    </xf>
    <xf numFmtId="194" fontId="18" fillId="0" borderId="23" xfId="192" applyNumberFormat="1" applyFont="1" applyBorder="1" applyAlignment="1" applyProtection="1">
      <alignment horizontal="center" vertical="center" wrapText="1"/>
    </xf>
    <xf numFmtId="0" fontId="33" fillId="0" borderId="27" xfId="528" applyFont="1" applyBorder="1" applyAlignment="1"/>
    <xf numFmtId="195" fontId="33" fillId="0" borderId="28" xfId="192" applyNumberFormat="1" applyFont="1" applyBorder="1" applyAlignment="1" applyProtection="1">
      <alignment wrapText="1"/>
    </xf>
    <xf numFmtId="201" fontId="33" fillId="0" borderId="0" xfId="528" applyNumberFormat="1" applyFont="1"/>
    <xf numFmtId="194" fontId="33" fillId="0" borderId="0" xfId="528" applyNumberFormat="1" applyFont="1" applyAlignment="1">
      <alignment wrapText="1"/>
    </xf>
    <xf numFmtId="202" fontId="33" fillId="0" borderId="0" xfId="528" applyNumberFormat="1" applyFont="1" applyAlignment="1">
      <alignment wrapText="1"/>
    </xf>
    <xf numFmtId="202" fontId="33" fillId="0" borderId="0" xfId="528" applyNumberFormat="1" applyFont="1"/>
    <xf numFmtId="0" fontId="33" fillId="0" borderId="0" xfId="528" applyFont="1" applyBorder="1" applyAlignment="1"/>
    <xf numFmtId="0" fontId="34" fillId="0" borderId="0" xfId="528" applyFont="1" applyAlignment="1">
      <alignment horizontal="right"/>
    </xf>
    <xf numFmtId="195" fontId="31" fillId="0" borderId="0" xfId="192" applyNumberFormat="1" applyFont="1" applyBorder="1" applyAlignment="1" applyProtection="1">
      <alignment wrapText="1"/>
    </xf>
    <xf numFmtId="0" fontId="31" fillId="0" borderId="0" xfId="528" applyFont="1" applyAlignment="1">
      <alignment wrapText="1"/>
    </xf>
    <xf numFmtId="0" fontId="4" fillId="0" borderId="0" xfId="0" applyFont="1"/>
    <xf numFmtId="0" fontId="36" fillId="0" borderId="3" xfId="0" applyFont="1" applyBorder="1" applyAlignment="1">
      <alignment horizontal="center"/>
    </xf>
    <xf numFmtId="0" fontId="4" fillId="0" borderId="4" xfId="0" applyFont="1" applyBorder="1"/>
    <xf numFmtId="164" fontId="4" fillId="0" borderId="10" xfId="1" applyFont="1" applyBorder="1" applyAlignment="1" applyProtection="1"/>
    <xf numFmtId="0" fontId="4" fillId="0" borderId="10" xfId="0" applyFont="1" applyBorder="1"/>
    <xf numFmtId="0" fontId="4" fillId="0" borderId="6" xfId="0" applyFont="1" applyBorder="1"/>
    <xf numFmtId="164" fontId="4" fillId="0" borderId="6" xfId="1" applyFont="1" applyBorder="1" applyAlignment="1" applyProtection="1"/>
    <xf numFmtId="0" fontId="36" fillId="0" borderId="6" xfId="0" applyFont="1" applyBorder="1" applyAlignment="1">
      <alignment horizontal="center" wrapText="1"/>
    </xf>
    <xf numFmtId="0" fontId="36" fillId="0" borderId="6" xfId="0" applyFont="1" applyBorder="1" applyAlignment="1">
      <alignment horizontal="center"/>
    </xf>
    <xf numFmtId="0" fontId="33" fillId="0" borderId="0" xfId="0" applyFont="1"/>
    <xf numFmtId="195" fontId="31" fillId="0" borderId="0" xfId="1" applyNumberFormat="1" applyFont="1" applyBorder="1" applyAlignment="1" applyProtection="1"/>
    <xf numFmtId="0" fontId="31" fillId="0" borderId="0" xfId="0" applyFont="1"/>
    <xf numFmtId="49" fontId="32" fillId="0" borderId="0" xfId="1" applyNumberFormat="1" applyFont="1" applyBorder="1" applyAlignment="1" applyProtection="1">
      <alignment horizontal="center"/>
    </xf>
    <xf numFmtId="201" fontId="32" fillId="4" borderId="0" xfId="1" applyNumberFormat="1" applyFont="1" applyFill="1" applyBorder="1" applyAlignment="1" applyProtection="1">
      <alignment horizontal="center"/>
    </xf>
    <xf numFmtId="201" fontId="32" fillId="0" borderId="0" xfId="1" applyNumberFormat="1" applyFont="1" applyBorder="1" applyAlignment="1" applyProtection="1">
      <alignment horizontal="center"/>
    </xf>
    <xf numFmtId="202" fontId="33" fillId="0" borderId="0" xfId="0" applyNumberFormat="1" applyFont="1"/>
    <xf numFmtId="0" fontId="32" fillId="0" borderId="0" xfId="0" applyFont="1" applyAlignment="1">
      <alignment horizontal="center"/>
    </xf>
    <xf numFmtId="195" fontId="19" fillId="0" borderId="0" xfId="1" applyNumberFormat="1" applyFont="1" applyBorder="1" applyAlignment="1" applyProtection="1"/>
    <xf numFmtId="203" fontId="31" fillId="0" borderId="0" xfId="3" applyNumberFormat="1" applyFont="1" applyBorder="1" applyAlignment="1" applyProtection="1">
      <alignment horizontal="left"/>
    </xf>
    <xf numFmtId="195" fontId="33" fillId="0" borderId="7" xfId="1" applyNumberFormat="1" applyFont="1" applyBorder="1" applyAlignment="1" applyProtection="1"/>
    <xf numFmtId="195" fontId="33" fillId="0" borderId="7" xfId="1" applyNumberFormat="1" applyFont="1" applyBorder="1" applyAlignment="1" applyProtection="1">
      <alignment wrapText="1"/>
    </xf>
    <xf numFmtId="0" fontId="31" fillId="0" borderId="0" xfId="0" applyFont="1" applyAlignment="1">
      <alignment horizontal="right"/>
    </xf>
    <xf numFmtId="204" fontId="33" fillId="0" borderId="0" xfId="0" applyNumberFormat="1" applyFont="1"/>
    <xf numFmtId="195" fontId="33" fillId="0" borderId="0" xfId="0" applyNumberFormat="1" applyFont="1"/>
    <xf numFmtId="195" fontId="32" fillId="0" borderId="0" xfId="1" applyNumberFormat="1" applyFont="1" applyBorder="1" applyAlignment="1" applyProtection="1"/>
    <xf numFmtId="195" fontId="31" fillId="0" borderId="7" xfId="1" applyNumberFormat="1" applyFont="1" applyBorder="1" applyAlignment="1" applyProtection="1"/>
    <xf numFmtId="164" fontId="31" fillId="0" borderId="0" xfId="1" applyFont="1" applyBorder="1" applyAlignment="1" applyProtection="1"/>
    <xf numFmtId="195" fontId="33" fillId="0" borderId="0" xfId="1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>
      <alignment horizontal="right"/>
    </xf>
    <xf numFmtId="195" fontId="33" fillId="2" borderId="0" xfId="1" applyNumberFormat="1" applyFont="1" applyFill="1" applyBorder="1" applyAlignment="1" applyProtection="1"/>
    <xf numFmtId="195" fontId="31" fillId="2" borderId="0" xfId="1" applyNumberFormat="1" applyFont="1" applyFill="1" applyBorder="1" applyAlignment="1" applyProtection="1"/>
    <xf numFmtId="194" fontId="37" fillId="0" borderId="3" xfId="191" applyNumberFormat="1" applyFont="1" applyBorder="1" applyAlignment="1" applyProtection="1">
      <alignment vertical="center"/>
    </xf>
    <xf numFmtId="195" fontId="37" fillId="4" borderId="3" xfId="1" applyNumberFormat="1" applyFont="1" applyFill="1" applyBorder="1" applyAlignment="1" applyProtection="1">
      <alignment vertical="center"/>
    </xf>
    <xf numFmtId="195" fontId="31" fillId="0" borderId="0" xfId="0" applyNumberFormat="1" applyFont="1"/>
    <xf numFmtId="195" fontId="33" fillId="2" borderId="7" xfId="1" applyNumberFormat="1" applyFont="1" applyFill="1" applyBorder="1" applyAlignment="1" applyProtection="1"/>
    <xf numFmtId="0" fontId="4" fillId="6" borderId="0" xfId="0" applyFont="1" applyFill="1"/>
    <xf numFmtId="0" fontId="38" fillId="6" borderId="0" xfId="0" applyFont="1" applyFill="1"/>
    <xf numFmtId="0" fontId="38" fillId="6" borderId="29" xfId="0" applyFont="1" applyFill="1" applyBorder="1"/>
    <xf numFmtId="0" fontId="38" fillId="6" borderId="4" xfId="0" applyFont="1" applyFill="1" applyBorder="1"/>
    <xf numFmtId="0" fontId="4" fillId="6" borderId="4" xfId="0" applyFont="1" applyFill="1" applyBorder="1"/>
    <xf numFmtId="0" fontId="38" fillId="6" borderId="4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/>
    </xf>
    <xf numFmtId="0" fontId="0" fillId="0" borderId="31" xfId="0" applyFont="1" applyBorder="1"/>
    <xf numFmtId="49" fontId="4" fillId="6" borderId="4" xfId="0" applyNumberFormat="1" applyFont="1" applyFill="1" applyBorder="1"/>
    <xf numFmtId="195" fontId="4" fillId="6" borderId="4" xfId="1" applyNumberFormat="1" applyFont="1" applyFill="1" applyBorder="1" applyAlignment="1" applyProtection="1"/>
    <xf numFmtId="3" fontId="4" fillId="6" borderId="4" xfId="0" applyNumberFormat="1" applyFont="1" applyFill="1" applyBorder="1"/>
    <xf numFmtId="0" fontId="4" fillId="6" borderId="10" xfId="0" applyFont="1" applyFill="1" applyBorder="1"/>
    <xf numFmtId="49" fontId="4" fillId="6" borderId="10" xfId="0" applyNumberFormat="1" applyFont="1" applyFill="1" applyBorder="1"/>
    <xf numFmtId="195" fontId="4" fillId="6" borderId="10" xfId="1" applyNumberFormat="1" applyFont="1" applyFill="1" applyBorder="1" applyAlignment="1" applyProtection="1"/>
    <xf numFmtId="3" fontId="4" fillId="6" borderId="10" xfId="0" applyNumberFormat="1" applyFont="1" applyFill="1" applyBorder="1"/>
    <xf numFmtId="0" fontId="4" fillId="0" borderId="31" xfId="0" applyFont="1" applyBorder="1"/>
    <xf numFmtId="3" fontId="38" fillId="6" borderId="3" xfId="0" applyNumberFormat="1" applyFont="1" applyFill="1" applyBorder="1"/>
    <xf numFmtId="3" fontId="4" fillId="6" borderId="29" xfId="0" applyNumberFormat="1" applyFont="1" applyFill="1" applyBorder="1"/>
    <xf numFmtId="0" fontId="38" fillId="6" borderId="10" xfId="0" applyFont="1" applyFill="1" applyBorder="1"/>
    <xf numFmtId="3" fontId="4" fillId="6" borderId="3" xfId="0" applyNumberFormat="1" applyFont="1" applyFill="1" applyBorder="1"/>
    <xf numFmtId="0" fontId="4" fillId="6" borderId="32" xfId="0" applyFont="1" applyFill="1" applyBorder="1"/>
    <xf numFmtId="0" fontId="4" fillId="6" borderId="6" xfId="0" applyFont="1" applyFill="1" applyBorder="1"/>
    <xf numFmtId="3" fontId="4" fillId="6" borderId="6" xfId="0" applyNumberFormat="1" applyFont="1" applyFill="1" applyBorder="1"/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center" wrapText="1"/>
    </xf>
    <xf numFmtId="0" fontId="39" fillId="0" borderId="0" xfId="0" applyFont="1" applyAlignment="1">
      <alignment horizontal="left"/>
    </xf>
    <xf numFmtId="205" fontId="40" fillId="0" borderId="0" xfId="9" applyNumberFormat="1" applyFont="1" applyBorder="1" applyAlignment="1" applyProtection="1"/>
    <xf numFmtId="195" fontId="39" fillId="0" borderId="0" xfId="1" applyNumberFormat="1" applyFont="1" applyBorder="1" applyAlignment="1" applyProtection="1"/>
    <xf numFmtId="195" fontId="42" fillId="0" borderId="0" xfId="1" applyNumberFormat="1" applyFont="1" applyBorder="1" applyAlignment="1" applyProtection="1"/>
    <xf numFmtId="195" fontId="40" fillId="0" borderId="0" xfId="1" applyNumberFormat="1" applyFont="1" applyBorder="1" applyAlignment="1" applyProtection="1"/>
    <xf numFmtId="206" fontId="39" fillId="0" borderId="0" xfId="0" applyNumberFormat="1" applyFont="1"/>
    <xf numFmtId="195" fontId="39" fillId="0" borderId="0" xfId="1" applyNumberFormat="1" applyFont="1" applyBorder="1" applyAlignment="1" applyProtection="1">
      <alignment horizontal="left" vertical="center"/>
    </xf>
    <xf numFmtId="195" fontId="39" fillId="0" borderId="2" xfId="1" applyNumberFormat="1" applyFont="1" applyBorder="1" applyAlignment="1" applyProtection="1"/>
    <xf numFmtId="195" fontId="40" fillId="0" borderId="2" xfId="1" applyNumberFormat="1" applyFont="1" applyBorder="1" applyAlignment="1" applyProtection="1"/>
    <xf numFmtId="0" fontId="42" fillId="0" borderId="0" xfId="0" applyFont="1"/>
    <xf numFmtId="195" fontId="39" fillId="0" borderId="0" xfId="0" applyNumberFormat="1" applyFont="1"/>
    <xf numFmtId="207" fontId="43" fillId="0" borderId="0" xfId="3" applyNumberFormat="1" applyFont="1" applyBorder="1" applyAlignment="1" applyProtection="1"/>
    <xf numFmtId="207" fontId="43" fillId="4" borderId="0" xfId="3" applyNumberFormat="1" applyFont="1" applyFill="1" applyBorder="1" applyAlignment="1" applyProtection="1"/>
    <xf numFmtId="201" fontId="43" fillId="4" borderId="0" xfId="3" applyNumberFormat="1" applyFont="1" applyFill="1" applyBorder="1" applyAlignment="1" applyProtection="1"/>
    <xf numFmtId="207" fontId="44" fillId="0" borderId="0" xfId="3" applyNumberFormat="1" applyFont="1" applyBorder="1" applyAlignment="1" applyProtection="1"/>
    <xf numFmtId="195" fontId="43" fillId="0" borderId="0" xfId="3" applyNumberFormat="1" applyFont="1" applyBorder="1" applyAlignment="1" applyProtection="1"/>
    <xf numFmtId="207" fontId="45" fillId="0" borderId="0" xfId="3" applyNumberFormat="1" applyFont="1" applyBorder="1" applyAlignment="1" applyProtection="1"/>
    <xf numFmtId="195" fontId="40" fillId="0" borderId="0" xfId="0" applyNumberFormat="1" applyFont="1"/>
    <xf numFmtId="0" fontId="46" fillId="0" borderId="0" xfId="0" applyFont="1"/>
    <xf numFmtId="164" fontId="39" fillId="0" borderId="0" xfId="1" applyFont="1" applyBorder="1" applyAlignment="1" applyProtection="1"/>
    <xf numFmtId="195" fontId="39" fillId="0" borderId="7" xfId="1" applyNumberFormat="1" applyFont="1" applyBorder="1" applyAlignment="1" applyProtection="1"/>
    <xf numFmtId="195" fontId="39" fillId="0" borderId="7" xfId="0" applyNumberFormat="1" applyFont="1" applyBorder="1"/>
    <xf numFmtId="164" fontId="39" fillId="0" borderId="7" xfId="1" applyFont="1" applyBorder="1" applyAlignment="1" applyProtection="1"/>
    <xf numFmtId="195" fontId="40" fillId="0" borderId="7" xfId="1" applyNumberFormat="1" applyFont="1" applyBorder="1" applyAlignment="1" applyProtection="1"/>
    <xf numFmtId="0" fontId="47" fillId="0" borderId="0" xfId="0" applyFont="1"/>
    <xf numFmtId="195" fontId="47" fillId="0" borderId="0" xfId="0" applyNumberFormat="1" applyFont="1"/>
    <xf numFmtId="0" fontId="44" fillId="0" borderId="0" xfId="0" applyFont="1"/>
    <xf numFmtId="0" fontId="48" fillId="0" borderId="0" xfId="0" applyFont="1"/>
    <xf numFmtId="0" fontId="33" fillId="0" borderId="15" xfId="0" applyFont="1" applyBorder="1" applyAlignment="1">
      <alignment horizontal="center"/>
    </xf>
    <xf numFmtId="0" fontId="33" fillId="0" borderId="11" xfId="0" applyFont="1" applyBorder="1"/>
    <xf numFmtId="0" fontId="4" fillId="0" borderId="15" xfId="0" applyFont="1" applyBorder="1" applyAlignment="1">
      <alignment horizontal="center" wrapText="1"/>
    </xf>
    <xf numFmtId="0" fontId="33" fillId="0" borderId="15" xfId="0" applyFont="1" applyBorder="1"/>
    <xf numFmtId="0" fontId="33" fillId="0" borderId="8" xfId="0" applyFont="1" applyBorder="1" applyAlignment="1">
      <alignment horizontal="center" wrapText="1"/>
    </xf>
    <xf numFmtId="0" fontId="33" fillId="0" borderId="11" xfId="0" applyFont="1" applyBorder="1" applyAlignment="1">
      <alignment horizontal="center" wrapText="1"/>
    </xf>
    <xf numFmtId="0" fontId="33" fillId="0" borderId="16" xfId="0" applyFont="1" applyBorder="1"/>
    <xf numFmtId="0" fontId="33" fillId="0" borderId="12" xfId="0" applyFont="1" applyBorder="1"/>
    <xf numFmtId="207" fontId="33" fillId="0" borderId="14" xfId="3" applyNumberFormat="1" applyFont="1" applyBorder="1" applyAlignment="1" applyProtection="1"/>
    <xf numFmtId="0" fontId="33" fillId="0" borderId="14" xfId="0" applyFont="1" applyBorder="1"/>
    <xf numFmtId="195" fontId="33" fillId="0" borderId="13" xfId="0" applyNumberFormat="1" applyFont="1" applyBorder="1"/>
    <xf numFmtId="0" fontId="33" fillId="0" borderId="13" xfId="0" applyFont="1" applyBorder="1"/>
    <xf numFmtId="201" fontId="33" fillId="0" borderId="14" xfId="3" applyNumberFormat="1" applyFont="1" applyBorder="1" applyAlignment="1" applyProtection="1"/>
    <xf numFmtId="195" fontId="33" fillId="0" borderId="8" xfId="0" applyNumberFormat="1" applyFont="1" applyBorder="1"/>
    <xf numFmtId="195" fontId="33" fillId="0" borderId="11" xfId="0" applyNumberFormat="1" applyFont="1" applyBorder="1"/>
    <xf numFmtId="195" fontId="49" fillId="0" borderId="0" xfId="0" applyNumberFormat="1" applyFont="1"/>
    <xf numFmtId="0" fontId="50" fillId="6" borderId="0" xfId="0" applyFont="1" applyFill="1"/>
    <xf numFmtId="0" fontId="0" fillId="6" borderId="0" xfId="0" applyFill="1"/>
    <xf numFmtId="0" fontId="25" fillId="6" borderId="0" xfId="0" applyFont="1" applyFill="1"/>
    <xf numFmtId="0" fontId="51" fillId="6" borderId="0" xfId="0" applyFont="1" applyFill="1"/>
    <xf numFmtId="0" fontId="49" fillId="6" borderId="0" xfId="0" applyFont="1" applyFill="1"/>
    <xf numFmtId="0" fontId="12" fillId="6" borderId="0" xfId="0" applyFont="1" applyFill="1"/>
    <xf numFmtId="195" fontId="12" fillId="6" borderId="0" xfId="1" applyNumberFormat="1" applyFont="1" applyFill="1" applyBorder="1" applyAlignment="1" applyProtection="1"/>
    <xf numFmtId="0" fontId="12" fillId="6" borderId="3" xfId="0" applyFont="1" applyFill="1" applyBorder="1" applyAlignment="1">
      <alignment horizontal="center"/>
    </xf>
    <xf numFmtId="195" fontId="12" fillId="6" borderId="3" xfId="1" applyNumberFormat="1" applyFont="1" applyFill="1" applyBorder="1" applyAlignment="1" applyProtection="1">
      <alignment horizontal="center"/>
    </xf>
    <xf numFmtId="0" fontId="12" fillId="6" borderId="10" xfId="0" applyFont="1" applyFill="1" applyBorder="1"/>
    <xf numFmtId="0" fontId="52" fillId="6" borderId="10" xfId="0" applyFont="1" applyFill="1" applyBorder="1" applyAlignment="1">
      <alignment horizontal="center"/>
    </xf>
    <xf numFmtId="195" fontId="12" fillId="6" borderId="10" xfId="1" applyNumberFormat="1" applyFont="1" applyFill="1" applyBorder="1" applyAlignment="1" applyProtection="1"/>
    <xf numFmtId="0" fontId="12" fillId="6" borderId="0" xfId="0" applyFont="1" applyFill="1" applyBorder="1"/>
    <xf numFmtId="0" fontId="49" fillId="6" borderId="10" xfId="0" applyFont="1" applyFill="1" applyBorder="1"/>
    <xf numFmtId="195" fontId="53" fillId="6" borderId="10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/>
    <xf numFmtId="0" fontId="49" fillId="6" borderId="6" xfId="0" applyFont="1" applyFill="1" applyBorder="1"/>
    <xf numFmtId="0" fontId="12" fillId="6" borderId="6" xfId="0" applyFont="1" applyFill="1" applyBorder="1"/>
    <xf numFmtId="195" fontId="12" fillId="6" borderId="0" xfId="0" applyNumberFormat="1" applyFont="1" applyFill="1"/>
    <xf numFmtId="0" fontId="49" fillId="6" borderId="4" xfId="0" applyFont="1" applyFill="1" applyBorder="1"/>
    <xf numFmtId="0" fontId="12" fillId="6" borderId="4" xfId="0" applyFont="1" applyFill="1" applyBorder="1"/>
    <xf numFmtId="195" fontId="12" fillId="6" borderId="4" xfId="1" applyNumberFormat="1" applyFont="1" applyFill="1" applyBorder="1" applyAlignment="1" applyProtection="1"/>
    <xf numFmtId="0" fontId="49" fillId="0" borderId="10" xfId="0" applyFont="1" applyBorder="1"/>
    <xf numFmtId="0" fontId="12" fillId="0" borderId="0" xfId="0" applyFont="1"/>
    <xf numFmtId="0" fontId="12" fillId="6" borderId="6" xfId="0" applyFont="1" applyFill="1" applyBorder="1" applyAlignment="1">
      <alignment wrapText="1"/>
    </xf>
    <xf numFmtId="195" fontId="12" fillId="6" borderId="6" xfId="0" applyNumberFormat="1" applyFont="1" applyFill="1" applyBorder="1"/>
    <xf numFmtId="208" fontId="12" fillId="6" borderId="0" xfId="0" applyNumberFormat="1" applyFont="1" applyFill="1"/>
    <xf numFmtId="195" fontId="12" fillId="6" borderId="3" xfId="1" applyNumberFormat="1" applyFont="1" applyFill="1" applyBorder="1" applyAlignment="1" applyProtection="1"/>
    <xf numFmtId="195" fontId="12" fillId="2" borderId="10" xfId="1" applyNumberFormat="1" applyFont="1" applyFill="1" applyBorder="1" applyAlignment="1" applyProtection="1"/>
    <xf numFmtId="0" fontId="33" fillId="6" borderId="0" xfId="0" applyFont="1" applyFill="1" applyAlignment="1">
      <alignment vertical="center"/>
    </xf>
    <xf numFmtId="195" fontId="12" fillId="6" borderId="0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vertical="center"/>
    </xf>
    <xf numFmtId="195" fontId="0" fillId="6" borderId="0" xfId="0" applyNumberFormat="1" applyFill="1"/>
    <xf numFmtId="195" fontId="33" fillId="6" borderId="0" xfId="1" applyNumberFormat="1" applyFont="1" applyFill="1" applyBorder="1" applyAlignment="1" applyProtection="1">
      <alignment vertical="center"/>
    </xf>
    <xf numFmtId="195" fontId="49" fillId="6" borderId="0" xfId="1" applyNumberFormat="1" applyFont="1" applyFill="1" applyBorder="1" applyAlignment="1" applyProtection="1">
      <alignment vertical="center"/>
    </xf>
    <xf numFmtId="195" fontId="31" fillId="6" borderId="0" xfId="1" applyNumberFormat="1" applyFont="1" applyFill="1" applyBorder="1" applyAlignment="1" applyProtection="1">
      <alignment vertical="center"/>
    </xf>
    <xf numFmtId="0" fontId="12" fillId="6" borderId="16" xfId="0" applyFont="1" applyFill="1" applyBorder="1" applyAlignment="1">
      <alignment horizontal="left" wrapText="1"/>
    </xf>
    <xf numFmtId="0" fontId="0" fillId="6" borderId="4" xfId="0" applyFill="1" applyBorder="1"/>
    <xf numFmtId="0" fontId="12" fillId="6" borderId="14" xfId="0" applyFont="1" applyFill="1" applyBorder="1"/>
    <xf numFmtId="195" fontId="12" fillId="6" borderId="10" xfId="0" applyNumberFormat="1" applyFont="1" applyFill="1" applyBorder="1"/>
    <xf numFmtId="195" fontId="0" fillId="6" borderId="10" xfId="0" applyNumberFormat="1" applyFill="1" applyBorder="1"/>
    <xf numFmtId="0" fontId="0" fillId="6" borderId="10" xfId="0" applyFill="1" applyBorder="1"/>
    <xf numFmtId="195" fontId="0" fillId="6" borderId="6" xfId="0" applyNumberFormat="1" applyFill="1" applyBorder="1"/>
    <xf numFmtId="0" fontId="12" fillId="6" borderId="15" xfId="0" applyFont="1" applyFill="1" applyBorder="1"/>
    <xf numFmtId="195" fontId="12" fillId="6" borderId="3" xfId="0" applyNumberFormat="1" applyFont="1" applyFill="1" applyBorder="1"/>
    <xf numFmtId="195" fontId="0" fillId="6" borderId="0" xfId="0" applyNumberFormat="1" applyFill="1" applyBorder="1"/>
    <xf numFmtId="195" fontId="25" fillId="6" borderId="8" xfId="0" applyNumberFormat="1" applyFont="1" applyFill="1" applyBorder="1"/>
    <xf numFmtId="0" fontId="0" fillId="6" borderId="0" xfId="0" applyFill="1" applyBorder="1"/>
    <xf numFmtId="195" fontId="54" fillId="6" borderId="0" xfId="0" applyNumberFormat="1" applyFont="1" applyFill="1" applyBorder="1"/>
    <xf numFmtId="195" fontId="49" fillId="6" borderId="0" xfId="1" applyNumberFormat="1" applyFont="1" applyFill="1" applyBorder="1" applyAlignment="1" applyProtection="1"/>
    <xf numFmtId="193" fontId="55" fillId="6" borderId="0" xfId="3" applyFont="1" applyFill="1" applyBorder="1" applyAlignment="1" applyProtection="1">
      <alignment horizontal="left" vertical="center"/>
    </xf>
    <xf numFmtId="194" fontId="12" fillId="6" borderId="0" xfId="0" applyNumberFormat="1" applyFont="1" applyFill="1"/>
    <xf numFmtId="0" fontId="14" fillId="6" borderId="0" xfId="325" applyFont="1" applyFill="1" applyAlignment="1">
      <alignment vertical="center"/>
    </xf>
    <xf numFmtId="0" fontId="14" fillId="6" borderId="0" xfId="275" applyFont="1" applyFill="1" applyBorder="1" applyAlignment="1">
      <alignment vertical="center"/>
    </xf>
    <xf numFmtId="0" fontId="12" fillId="6" borderId="0" xfId="0" applyFont="1" applyFill="1" applyAlignment="1">
      <alignment horizontal="center"/>
    </xf>
    <xf numFmtId="194" fontId="12" fillId="6" borderId="0" xfId="0" applyNumberFormat="1" applyFont="1" applyFill="1" applyAlignment="1">
      <alignment horizontal="center"/>
    </xf>
    <xf numFmtId="0" fontId="53" fillId="6" borderId="4" xfId="263" applyFont="1" applyFill="1" applyBorder="1" applyAlignment="1">
      <alignment horizontal="center" vertical="center" wrapText="1"/>
    </xf>
    <xf numFmtId="196" fontId="53" fillId="6" borderId="4" xfId="191" applyNumberFormat="1" applyFont="1" applyFill="1" applyBorder="1" applyAlignment="1" applyProtection="1">
      <alignment horizontal="center" vertical="center" wrapText="1"/>
    </xf>
    <xf numFmtId="0" fontId="53" fillId="6" borderId="0" xfId="0" applyFont="1" applyFill="1"/>
    <xf numFmtId="195" fontId="53" fillId="6" borderId="3" xfId="1" applyNumberFormat="1" applyFont="1" applyFill="1" applyBorder="1" applyAlignment="1" applyProtection="1">
      <alignment horizontal="left" vertical="center" wrapText="1"/>
    </xf>
    <xf numFmtId="195" fontId="53" fillId="6" borderId="3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horizontal="right"/>
    </xf>
    <xf numFmtId="195" fontId="12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left" vertical="center" wrapText="1"/>
    </xf>
    <xf numFmtId="195" fontId="53" fillId="6" borderId="4" xfId="1" applyNumberFormat="1" applyFont="1" applyFill="1" applyBorder="1" applyAlignment="1" applyProtection="1">
      <alignment horizontal="right" vertical="center"/>
    </xf>
    <xf numFmtId="195" fontId="12" fillId="6" borderId="4" xfId="1" applyNumberFormat="1" applyFont="1" applyFill="1" applyBorder="1" applyAlignment="1" applyProtection="1">
      <alignment horizontal="right"/>
    </xf>
    <xf numFmtId="195" fontId="14" fillId="6" borderId="33" xfId="1" applyNumberFormat="1" applyFont="1" applyFill="1" applyBorder="1" applyAlignment="1" applyProtection="1">
      <alignment horizontal="left" vertical="center" wrapText="1"/>
    </xf>
    <xf numFmtId="195" fontId="14" fillId="6" borderId="34" xfId="1" applyNumberFormat="1" applyFont="1" applyFill="1" applyBorder="1" applyAlignment="1" applyProtection="1">
      <alignment horizontal="right" vertical="center"/>
    </xf>
    <xf numFmtId="195" fontId="14" fillId="6" borderId="35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left" vertical="center" wrapText="1"/>
    </xf>
    <xf numFmtId="195" fontId="53" fillId="6" borderId="6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>
      <alignment horizontal="right"/>
    </xf>
    <xf numFmtId="195" fontId="53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right" wrapText="1"/>
    </xf>
    <xf numFmtId="195" fontId="53" fillId="6" borderId="3" xfId="1" applyNumberFormat="1" applyFont="1" applyFill="1" applyBorder="1" applyAlignment="1" applyProtection="1">
      <alignment horizontal="right" wrapText="1"/>
    </xf>
    <xf numFmtId="4" fontId="53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right" wrapText="1"/>
    </xf>
    <xf numFmtId="0" fontId="14" fillId="6" borderId="0" xfId="263" applyFont="1" applyFill="1" applyBorder="1" applyAlignment="1">
      <alignment horizontal="left" vertical="center" wrapText="1"/>
    </xf>
    <xf numFmtId="194" fontId="12" fillId="6" borderId="0" xfId="0" applyNumberFormat="1" applyFont="1" applyFill="1" applyBorder="1"/>
    <xf numFmtId="208" fontId="59" fillId="6" borderId="0" xfId="3" applyNumberFormat="1" applyFont="1" applyFill="1" applyBorder="1" applyAlignment="1" applyProtection="1">
      <alignment horizontal="right" vertical="center" wrapText="1"/>
    </xf>
    <xf numFmtId="208" fontId="53" fillId="6" borderId="0" xfId="3" applyNumberFormat="1" applyFont="1" applyFill="1" applyBorder="1" applyAlignment="1" applyProtection="1">
      <alignment horizontal="center" vertical="center" wrapText="1"/>
    </xf>
    <xf numFmtId="195" fontId="53" fillId="6" borderId="4" xfId="1" applyNumberFormat="1" applyFont="1" applyFill="1" applyBorder="1" applyAlignment="1" applyProtection="1">
      <alignment horizontal="center" vertical="center"/>
    </xf>
    <xf numFmtId="195" fontId="12" fillId="6" borderId="4" xfId="1" applyNumberFormat="1" applyFont="1" applyFill="1" applyBorder="1" applyAlignment="1" applyProtection="1">
      <alignment horizontal="center"/>
    </xf>
    <xf numFmtId="208" fontId="53" fillId="6" borderId="10" xfId="191" applyNumberFormat="1" applyFont="1" applyFill="1" applyBorder="1" applyAlignment="1" applyProtection="1">
      <alignment horizontal="center" vertical="center"/>
    </xf>
    <xf numFmtId="195" fontId="53" fillId="6" borderId="6" xfId="1" applyNumberFormat="1" applyFont="1" applyFill="1" applyBorder="1" applyAlignment="1" applyProtection="1">
      <alignment horizontal="center" vertical="center"/>
    </xf>
    <xf numFmtId="195" fontId="12" fillId="6" borderId="6" xfId="1" applyNumberFormat="1" applyFont="1" applyFill="1" applyBorder="1" applyAlignment="1" applyProtection="1">
      <alignment horizontal="center"/>
    </xf>
    <xf numFmtId="208" fontId="53" fillId="6" borderId="6" xfId="191" applyNumberFormat="1" applyFont="1" applyFill="1" applyBorder="1" applyAlignment="1" applyProtection="1">
      <alignment horizontal="center" vertical="center"/>
    </xf>
    <xf numFmtId="195" fontId="14" fillId="6" borderId="4" xfId="1" applyNumberFormat="1" applyFont="1" applyFill="1" applyBorder="1" applyAlignment="1" applyProtection="1">
      <alignment horizontal="left" vertical="center" wrapText="1"/>
    </xf>
    <xf numFmtId="195" fontId="14" fillId="6" borderId="4" xfId="1" applyNumberFormat="1" applyFont="1" applyFill="1" applyBorder="1" applyAlignment="1" applyProtection="1">
      <alignment horizontal="center" vertical="center"/>
    </xf>
    <xf numFmtId="208" fontId="14" fillId="6" borderId="10" xfId="3" applyNumberFormat="1" applyFont="1" applyFill="1" applyBorder="1" applyAlignment="1" applyProtection="1">
      <alignment horizontal="center" vertical="center"/>
    </xf>
    <xf numFmtId="195" fontId="53" fillId="6" borderId="10" xfId="1" applyNumberFormat="1" applyFont="1" applyFill="1" applyBorder="1" applyAlignment="1" applyProtection="1">
      <alignment horizontal="left" vertical="center" wrapText="1"/>
    </xf>
    <xf numFmtId="195" fontId="53" fillId="6" borderId="10" xfId="1" applyNumberFormat="1" applyFont="1" applyFill="1" applyBorder="1" applyAlignment="1" applyProtection="1">
      <alignment horizontal="center" vertical="center"/>
    </xf>
    <xf numFmtId="195" fontId="12" fillId="6" borderId="10" xfId="1" applyNumberFormat="1" applyFont="1" applyFill="1" applyBorder="1" applyAlignment="1" applyProtection="1">
      <alignment horizontal="center"/>
    </xf>
    <xf numFmtId="208" fontId="14" fillId="6" borderId="4" xfId="191" applyNumberFormat="1" applyFont="1" applyFill="1" applyBorder="1" applyAlignment="1" applyProtection="1">
      <alignment horizontal="center" vertical="center"/>
    </xf>
    <xf numFmtId="195" fontId="53" fillId="6" borderId="36" xfId="1" applyNumberFormat="1" applyFont="1" applyFill="1" applyBorder="1" applyAlignment="1" applyProtection="1">
      <alignment horizontal="left" vertical="center" wrapText="1"/>
    </xf>
    <xf numFmtId="195" fontId="53" fillId="6" borderId="36" xfId="1" applyNumberFormat="1" applyFont="1" applyFill="1" applyBorder="1" applyAlignment="1" applyProtection="1">
      <alignment horizontal="center" vertical="center"/>
    </xf>
    <xf numFmtId="195" fontId="12" fillId="6" borderId="36" xfId="1" applyNumberFormat="1" applyFont="1" applyFill="1" applyBorder="1" applyAlignment="1" applyProtection="1">
      <alignment horizontal="center"/>
    </xf>
    <xf numFmtId="208" fontId="53" fillId="6" borderId="36" xfId="191" applyNumberFormat="1" applyFont="1" applyFill="1" applyBorder="1" applyAlignment="1" applyProtection="1">
      <alignment horizontal="center" vertical="center"/>
    </xf>
    <xf numFmtId="0" fontId="14" fillId="6" borderId="33" xfId="263" applyFont="1" applyFill="1" applyBorder="1" applyAlignment="1">
      <alignment horizontal="left" vertical="center" wrapText="1"/>
    </xf>
    <xf numFmtId="208" fontId="14" fillId="6" borderId="34" xfId="191" applyNumberFormat="1" applyFont="1" applyFill="1" applyBorder="1" applyAlignment="1" applyProtection="1">
      <alignment horizontal="right" vertical="center"/>
    </xf>
    <xf numFmtId="208" fontId="14" fillId="6" borderId="35" xfId="191" applyNumberFormat="1" applyFont="1" applyFill="1" applyBorder="1" applyAlignment="1" applyProtection="1">
      <alignment horizontal="center" vertical="center"/>
    </xf>
    <xf numFmtId="0" fontId="55" fillId="6" borderId="0" xfId="263" applyFont="1" applyFill="1" applyAlignment="1">
      <alignment horizontal="left" vertical="center"/>
    </xf>
    <xf numFmtId="0" fontId="51" fillId="0" borderId="16" xfId="0" applyFont="1" applyBorder="1"/>
    <xf numFmtId="208" fontId="12" fillId="0" borderId="4" xfId="1" applyNumberFormat="1" applyFont="1" applyBorder="1" applyAlignment="1" applyProtection="1"/>
    <xf numFmtId="208" fontId="12" fillId="0" borderId="4" xfId="0" applyNumberFormat="1" applyFont="1" applyBorder="1"/>
    <xf numFmtId="0" fontId="51" fillId="0" borderId="14" xfId="0" applyFont="1" applyBorder="1"/>
    <xf numFmtId="208" fontId="12" fillId="0" borderId="10" xfId="1" applyNumberFormat="1" applyFont="1" applyBorder="1" applyAlignment="1" applyProtection="1"/>
    <xf numFmtId="208" fontId="12" fillId="0" borderId="10" xfId="0" applyNumberFormat="1" applyFont="1" applyBorder="1"/>
    <xf numFmtId="0" fontId="12" fillId="0" borderId="17" xfId="0" applyFont="1" applyBorder="1"/>
    <xf numFmtId="208" fontId="12" fillId="0" borderId="3" xfId="0" applyNumberFormat="1" applyFont="1" applyBorder="1"/>
    <xf numFmtId="0" fontId="49" fillId="0" borderId="0" xfId="0" applyFont="1"/>
    <xf numFmtId="195" fontId="12" fillId="0" borderId="0" xfId="1" applyNumberFormat="1" applyFont="1" applyBorder="1" applyAlignment="1" applyProtection="1"/>
    <xf numFmtId="0" fontId="6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195" fontId="51" fillId="0" borderId="0" xfId="1" applyNumberFormat="1" applyFont="1" applyBorder="1" applyAlignment="1" applyProtection="1">
      <alignment horizontal="center"/>
    </xf>
    <xf numFmtId="0" fontId="52" fillId="0" borderId="0" xfId="0" applyFont="1" applyAlignment="1">
      <alignment horizontal="center"/>
    </xf>
    <xf numFmtId="0" fontId="49" fillId="2" borderId="0" xfId="0" applyFont="1" applyFill="1"/>
    <xf numFmtId="0" fontId="12" fillId="2" borderId="0" xfId="0" applyFont="1" applyFill="1"/>
    <xf numFmtId="195" fontId="12" fillId="2" borderId="0" xfId="1" applyNumberFormat="1" applyFont="1" applyFill="1" applyBorder="1" applyAlignment="1" applyProtection="1"/>
    <xf numFmtId="195" fontId="12" fillId="0" borderId="7" xfId="1" applyNumberFormat="1" applyFont="1" applyBorder="1" applyAlignment="1" applyProtection="1"/>
    <xf numFmtId="195" fontId="53" fillId="2" borderId="0" xfId="1" applyNumberFormat="1" applyFont="1" applyFill="1" applyBorder="1" applyAlignment="1" applyProtection="1">
      <alignment horizontal="right" vertical="center"/>
    </xf>
    <xf numFmtId="195" fontId="12" fillId="2" borderId="7" xfId="1" applyNumberFormat="1" applyFont="1" applyFill="1" applyBorder="1" applyAlignment="1" applyProtection="1"/>
    <xf numFmtId="195" fontId="12" fillId="0" borderId="0" xfId="0" applyNumberFormat="1" applyFont="1"/>
    <xf numFmtId="208" fontId="12" fillId="0" borderId="0" xfId="0" applyNumberFormat="1" applyFont="1"/>
    <xf numFmtId="0" fontId="33" fillId="0" borderId="0" xfId="0" applyFont="1" applyAlignment="1">
      <alignment horizontal="center"/>
    </xf>
    <xf numFmtId="0" fontId="12" fillId="0" borderId="16" xfId="0" applyFont="1" applyBorder="1"/>
    <xf numFmtId="195" fontId="12" fillId="0" borderId="3" xfId="1" applyNumberFormat="1" applyFont="1" applyBorder="1" applyAlignment="1" applyProtection="1">
      <alignment horizontal="center"/>
    </xf>
    <xf numFmtId="0" fontId="12" fillId="0" borderId="14" xfId="0" applyFont="1" applyBorder="1"/>
    <xf numFmtId="195" fontId="12" fillId="0" borderId="10" xfId="1" applyNumberFormat="1" applyFont="1" applyBorder="1" applyAlignment="1" applyProtection="1"/>
    <xf numFmtId="0" fontId="12" fillId="0" borderId="3" xfId="0" applyFont="1" applyBorder="1"/>
    <xf numFmtId="195" fontId="12" fillId="0" borderId="3" xfId="1" applyNumberFormat="1" applyFont="1" applyBorder="1" applyAlignment="1" applyProtection="1"/>
    <xf numFmtId="0" fontId="12" fillId="0" borderId="0" xfId="0" applyFont="1" applyBorder="1"/>
    <xf numFmtId="0" fontId="12" fillId="0" borderId="16" xfId="0" applyFont="1" applyBorder="1" applyAlignment="1">
      <alignment wrapText="1"/>
    </xf>
    <xf numFmtId="0" fontId="12" fillId="0" borderId="4" xfId="0" applyFont="1" applyBorder="1" applyAlignment="1">
      <alignment wrapText="1"/>
    </xf>
    <xf numFmtId="195" fontId="12" fillId="0" borderId="11" xfId="1" applyNumberFormat="1" applyFont="1" applyBorder="1" applyAlignment="1" applyProtection="1">
      <alignment horizontal="center"/>
    </xf>
    <xf numFmtId="0" fontId="12" fillId="0" borderId="10" xfId="0" applyFont="1" applyBorder="1"/>
    <xf numFmtId="195" fontId="12" fillId="0" borderId="4" xfId="1" applyNumberFormat="1" applyFont="1" applyBorder="1" applyAlignment="1" applyProtection="1"/>
    <xf numFmtId="0" fontId="49" fillId="0" borderId="0" xfId="0" applyFont="1" applyBorder="1"/>
    <xf numFmtId="0" fontId="12" fillId="0" borderId="1" xfId="0" applyFont="1" applyBorder="1"/>
    <xf numFmtId="195" fontId="12" fillId="0" borderId="1" xfId="1" applyNumberFormat="1" applyFont="1" applyBorder="1" applyAlignment="1" applyProtection="1"/>
    <xf numFmtId="0" fontId="33" fillId="0" borderId="0" xfId="0" applyFont="1" applyBorder="1" applyAlignment="1">
      <alignment horizontal="center"/>
    </xf>
    <xf numFmtId="195" fontId="12" fillId="6" borderId="0" xfId="0" applyNumberFormat="1" applyFont="1" applyFill="1" applyBorder="1"/>
    <xf numFmtId="195" fontId="12" fillId="0" borderId="0" xfId="0" applyNumberFormat="1" applyFont="1" applyBorder="1"/>
    <xf numFmtId="0" fontId="38" fillId="0" borderId="0" xfId="0" applyFont="1"/>
    <xf numFmtId="195" fontId="12" fillId="0" borderId="0" xfId="1" applyNumberFormat="1" applyFont="1" applyBorder="1" applyProtection="1"/>
    <xf numFmtId="195" fontId="12" fillId="0" borderId="10" xfId="1" applyNumberFormat="1" applyFont="1" applyBorder="1" applyProtection="1"/>
    <xf numFmtId="195" fontId="12" fillId="0" borderId="3" xfId="1" applyNumberFormat="1" applyFont="1" applyBorder="1" applyProtection="1"/>
    <xf numFmtId="195" fontId="12" fillId="0" borderId="4" xfId="1" applyNumberFormat="1" applyFont="1" applyBorder="1" applyProtection="1"/>
    <xf numFmtId="0" fontId="31" fillId="6" borderId="0" xfId="0" applyFont="1" applyFill="1"/>
    <xf numFmtId="0" fontId="33" fillId="6" borderId="0" xfId="0" applyFont="1" applyFill="1"/>
    <xf numFmtId="0" fontId="31" fillId="6" borderId="0" xfId="0" applyFont="1" applyFill="1" applyAlignment="1">
      <alignment vertical="center"/>
    </xf>
    <xf numFmtId="0" fontId="31" fillId="6" borderId="15" xfId="0" applyFont="1" applyFill="1" applyBorder="1" applyAlignment="1">
      <alignment horizontal="center" vertical="center"/>
    </xf>
    <xf numFmtId="195" fontId="31" fillId="6" borderId="3" xfId="1" applyNumberFormat="1" applyFont="1" applyFill="1" applyBorder="1" applyAlignment="1" applyProtection="1">
      <alignment horizontal="center" vertical="center"/>
    </xf>
    <xf numFmtId="195" fontId="31" fillId="6" borderId="11" xfId="1" applyNumberFormat="1" applyFont="1" applyFill="1" applyBorder="1" applyAlignment="1" applyProtection="1">
      <alignment horizontal="center" vertical="center"/>
    </xf>
    <xf numFmtId="0" fontId="33" fillId="6" borderId="16" xfId="0" applyFont="1" applyFill="1" applyBorder="1" applyAlignment="1">
      <alignment vertical="center"/>
    </xf>
    <xf numFmtId="195" fontId="33" fillId="6" borderId="14" xfId="1" applyNumberFormat="1" applyFont="1" applyFill="1" applyBorder="1" applyAlignment="1" applyProtection="1">
      <alignment vertical="center"/>
    </xf>
    <xf numFmtId="195" fontId="33" fillId="6" borderId="10" xfId="1" applyNumberFormat="1" applyFont="1" applyFill="1" applyBorder="1" applyAlignment="1" applyProtection="1">
      <alignment vertical="center"/>
    </xf>
    <xf numFmtId="195" fontId="33" fillId="6" borderId="12" xfId="1" applyNumberFormat="1" applyFont="1" applyFill="1" applyBorder="1" applyAlignment="1" applyProtection="1">
      <alignment vertical="center"/>
    </xf>
    <xf numFmtId="195" fontId="33" fillId="6" borderId="4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horizontal="left" vertical="center" indent="15"/>
    </xf>
    <xf numFmtId="0" fontId="33" fillId="6" borderId="14" xfId="0" applyFont="1" applyFill="1" applyBorder="1" applyAlignment="1">
      <alignment horizontal="left" vertical="center" indent="15"/>
    </xf>
    <xf numFmtId="0" fontId="0" fillId="6" borderId="14" xfId="0" applyFill="1" applyBorder="1"/>
    <xf numFmtId="0" fontId="33" fillId="6" borderId="14" xfId="0" applyFont="1" applyFill="1" applyBorder="1" applyAlignment="1">
      <alignment vertical="center"/>
    </xf>
    <xf numFmtId="195" fontId="33" fillId="6" borderId="13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vertical="center"/>
    </xf>
    <xf numFmtId="0" fontId="33" fillId="6" borderId="6" xfId="0" applyFont="1" applyFill="1" applyBorder="1" applyAlignment="1">
      <alignment horizontal="left" vertical="center" indent="15"/>
    </xf>
    <xf numFmtId="195" fontId="33" fillId="6" borderId="6" xfId="1" applyNumberFormat="1" applyFont="1" applyFill="1" applyBorder="1" applyAlignment="1" applyProtection="1">
      <alignment vertical="center"/>
    </xf>
    <xf numFmtId="195" fontId="33" fillId="6" borderId="7" xfId="1" applyNumberFormat="1" applyFont="1" applyFill="1" applyBorder="1" applyAlignment="1" applyProtection="1">
      <alignment vertical="center"/>
    </xf>
    <xf numFmtId="195" fontId="33" fillId="6" borderId="3" xfId="1" applyNumberFormat="1" applyFont="1" applyFill="1" applyBorder="1" applyAlignment="1" applyProtection="1">
      <alignment vertical="center"/>
    </xf>
    <xf numFmtId="0" fontId="0" fillId="6" borderId="1" xfId="0" applyFill="1" applyBorder="1"/>
    <xf numFmtId="0" fontId="0" fillId="6" borderId="4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left" indent="15"/>
    </xf>
    <xf numFmtId="0" fontId="0" fillId="6" borderId="17" xfId="0" applyFont="1" applyFill="1" applyBorder="1" applyAlignment="1">
      <alignment horizontal="left" indent="15"/>
    </xf>
    <xf numFmtId="0" fontId="0" fillId="6" borderId="7" xfId="0" applyFill="1" applyBorder="1"/>
    <xf numFmtId="0" fontId="0" fillId="6" borderId="6" xfId="0" applyFill="1" applyBorder="1"/>
    <xf numFmtId="195" fontId="61" fillId="6" borderId="0" xfId="1" applyNumberFormat="1" applyFont="1" applyFill="1" applyBorder="1" applyAlignment="1" applyProtection="1"/>
    <xf numFmtId="0" fontId="62" fillId="6" borderId="0" xfId="0" applyFont="1" applyFill="1"/>
    <xf numFmtId="195" fontId="61" fillId="6" borderId="0" xfId="1" applyNumberFormat="1" applyFont="1" applyFill="1" applyBorder="1" applyAlignment="1" applyProtection="1">
      <alignment horizontal="center"/>
    </xf>
    <xf numFmtId="0" fontId="53" fillId="6" borderId="0" xfId="0" applyFont="1" applyFill="1" applyAlignment="1">
      <alignment horizontal="center"/>
    </xf>
    <xf numFmtId="0" fontId="53" fillId="6" borderId="0" xfId="0" applyFont="1" applyFill="1" applyBorder="1" applyAlignment="1">
      <alignment horizontal="center"/>
    </xf>
    <xf numFmtId="0" fontId="53" fillId="6" borderId="0" xfId="0" applyFont="1" applyFill="1" applyBorder="1" applyAlignment="1">
      <alignment horizontal="center" wrapText="1"/>
    </xf>
    <xf numFmtId="0" fontId="63" fillId="6" borderId="0" xfId="0" applyFont="1" applyFill="1" applyAlignment="1">
      <alignment horizontal="center"/>
    </xf>
    <xf numFmtId="0" fontId="64" fillId="6" borderId="0" xfId="0" applyFont="1" applyFill="1" applyBorder="1" applyAlignment="1">
      <alignment horizontal="center"/>
    </xf>
    <xf numFmtId="0" fontId="63" fillId="6" borderId="0" xfId="0" applyFont="1" applyFill="1" applyBorder="1" applyAlignment="1">
      <alignment horizontal="center"/>
    </xf>
    <xf numFmtId="195" fontId="65" fillId="6" borderId="0" xfId="1" applyNumberFormat="1" applyFont="1" applyFill="1" applyBorder="1" applyAlignment="1" applyProtection="1">
      <alignment horizontal="center"/>
    </xf>
    <xf numFmtId="195" fontId="65" fillId="6" borderId="11" xfId="1" applyNumberFormat="1" applyFont="1" applyFill="1" applyBorder="1" applyAlignment="1" applyProtection="1">
      <alignment horizontal="center"/>
    </xf>
    <xf numFmtId="0" fontId="53" fillId="6" borderId="3" xfId="0" applyFont="1" applyFill="1" applyBorder="1" applyAlignment="1">
      <alignment horizontal="center"/>
    </xf>
    <xf numFmtId="171" fontId="14" fillId="6" borderId="0" xfId="92" applyFont="1" applyFill="1" applyBorder="1" applyAlignment="1" applyProtection="1"/>
    <xf numFmtId="0" fontId="55" fillId="6" borderId="0" xfId="0" applyFont="1" applyFill="1" applyBorder="1" applyAlignment="1">
      <alignment horizontal="center"/>
    </xf>
    <xf numFmtId="3" fontId="53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/>
    <xf numFmtId="177" fontId="53" fillId="6" borderId="0" xfId="0" applyNumberFormat="1" applyFont="1" applyFill="1" applyBorder="1"/>
    <xf numFmtId="195" fontId="61" fillId="6" borderId="13" xfId="1" applyNumberFormat="1" applyFont="1" applyFill="1" applyBorder="1" applyAlignment="1" applyProtection="1">
      <alignment horizontal="center"/>
    </xf>
    <xf numFmtId="0" fontId="53" fillId="6" borderId="10" xfId="0" applyFont="1" applyFill="1" applyBorder="1"/>
    <xf numFmtId="0" fontId="53" fillId="6" borderId="0" xfId="0" applyFont="1" applyFill="1" applyAlignment="1">
      <alignment horizontal="left"/>
    </xf>
    <xf numFmtId="3" fontId="66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 applyAlignment="1">
      <alignment horizontal="left"/>
    </xf>
    <xf numFmtId="0" fontId="53" fillId="6" borderId="0" xfId="326" applyFont="1" applyFill="1" applyBorder="1" applyAlignment="1">
      <alignment horizontal="left"/>
    </xf>
    <xf numFmtId="177" fontId="53" fillId="6" borderId="0" xfId="326" applyNumberFormat="1" applyFont="1" applyFill="1" applyBorder="1" applyAlignment="1">
      <alignment horizontal="left"/>
    </xf>
    <xf numFmtId="205" fontId="53" fillId="6" borderId="10" xfId="9" applyNumberFormat="1" applyFont="1" applyFill="1" applyBorder="1" applyAlignment="1" applyProtection="1"/>
    <xf numFmtId="205" fontId="53" fillId="6" borderId="0" xfId="9" applyNumberFormat="1" applyFont="1" applyFill="1" applyBorder="1" applyAlignment="1" applyProtection="1"/>
    <xf numFmtId="0" fontId="53" fillId="6" borderId="0" xfId="0" applyFont="1" applyFill="1" applyAlignment="1">
      <alignment horizontal="left" indent="1"/>
    </xf>
    <xf numFmtId="0" fontId="53" fillId="6" borderId="0" xfId="0" applyFont="1" applyFill="1" applyAlignment="1">
      <alignment horizontal="center" vertical="center"/>
    </xf>
    <xf numFmtId="195" fontId="53" fillId="6" borderId="0" xfId="0" applyNumberFormat="1" applyFont="1" applyFill="1" applyAlignment="1">
      <alignment horizontal="center" vertical="center"/>
    </xf>
    <xf numFmtId="195" fontId="61" fillId="6" borderId="0" xfId="1" applyNumberFormat="1" applyFont="1" applyFill="1" applyBorder="1" applyAlignment="1" applyProtection="1">
      <alignment horizontal="right"/>
    </xf>
    <xf numFmtId="208" fontId="53" fillId="6" borderId="0" xfId="0" applyNumberFormat="1" applyFont="1" applyFill="1" applyBorder="1"/>
    <xf numFmtId="208" fontId="53" fillId="6" borderId="0" xfId="92" applyNumberFormat="1" applyFont="1" applyFill="1" applyBorder="1" applyAlignment="1" applyProtection="1"/>
    <xf numFmtId="208" fontId="53" fillId="6" borderId="0" xfId="0" applyNumberFormat="1" applyFont="1" applyFill="1" applyBorder="1" applyAlignment="1"/>
    <xf numFmtId="0" fontId="53" fillId="6" borderId="0" xfId="0" applyFont="1" applyFill="1" applyBorder="1" applyAlignment="1">
      <alignment horizontal="left" indent="1"/>
    </xf>
    <xf numFmtId="195" fontId="53" fillId="6" borderId="0" xfId="0" applyNumberFormat="1" applyFont="1" applyFill="1" applyBorder="1" applyAlignment="1">
      <alignment horizontal="center"/>
    </xf>
    <xf numFmtId="3" fontId="66" fillId="6" borderId="0" xfId="0" applyNumberFormat="1" applyFont="1" applyFill="1" applyBorder="1" applyAlignment="1">
      <alignment horizontal="right" vertical="center"/>
    </xf>
    <xf numFmtId="177" fontId="12" fillId="6" borderId="0" xfId="1" applyNumberFormat="1" applyFont="1" applyFill="1" applyBorder="1" applyAlignment="1" applyProtection="1"/>
    <xf numFmtId="195" fontId="61" fillId="6" borderId="13" xfId="1" applyNumberFormat="1" applyFont="1" applyFill="1" applyBorder="1" applyAlignment="1" applyProtection="1">
      <alignment horizontal="right"/>
    </xf>
    <xf numFmtId="208" fontId="53" fillId="6" borderId="10" xfId="92" applyNumberFormat="1" applyFont="1" applyFill="1" applyBorder="1" applyAlignment="1" applyProtection="1">
      <alignment horizontal="right"/>
    </xf>
    <xf numFmtId="195" fontId="53" fillId="6" borderId="0" xfId="92" applyNumberFormat="1" applyFont="1" applyFill="1" applyBorder="1" applyAlignment="1" applyProtection="1"/>
    <xf numFmtId="208" fontId="62" fillId="6" borderId="0" xfId="0" applyNumberFormat="1" applyFont="1" applyFill="1"/>
    <xf numFmtId="177" fontId="12" fillId="6" borderId="0" xfId="0" applyNumberFormat="1" applyFont="1" applyFill="1"/>
    <xf numFmtId="171" fontId="12" fillId="6" borderId="0" xfId="92" applyFont="1" applyFill="1" applyBorder="1" applyAlignment="1" applyProtection="1"/>
    <xf numFmtId="208" fontId="53" fillId="6" borderId="10" xfId="9" applyNumberFormat="1" applyFont="1" applyFill="1" applyBorder="1" applyAlignment="1" applyProtection="1">
      <alignment horizontal="right"/>
    </xf>
    <xf numFmtId="0" fontId="12" fillId="6" borderId="0" xfId="0" applyFont="1" applyFill="1" applyBorder="1" applyAlignment="1">
      <alignment horizontal="center"/>
    </xf>
    <xf numFmtId="195" fontId="12" fillId="6" borderId="0" xfId="0" applyNumberFormat="1" applyFont="1" applyFill="1" applyBorder="1" applyAlignment="1">
      <alignment horizontal="center"/>
    </xf>
    <xf numFmtId="195" fontId="61" fillId="6" borderId="13" xfId="1" applyNumberFormat="1" applyFont="1" applyFill="1" applyBorder="1" applyAlignment="1" applyProtection="1"/>
    <xf numFmtId="0" fontId="12" fillId="6" borderId="0" xfId="0" applyFont="1" applyFill="1" applyAlignment="1">
      <alignment horizontal="center" vertical="center"/>
    </xf>
    <xf numFmtId="208" fontId="53" fillId="6" borderId="0" xfId="9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>
      <alignment horizontal="right"/>
    </xf>
    <xf numFmtId="195" fontId="12" fillId="6" borderId="8" xfId="1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/>
    <xf numFmtId="209" fontId="53" fillId="6" borderId="0" xfId="92" applyNumberFormat="1" applyFont="1" applyFill="1" applyBorder="1" applyAlignment="1" applyProtection="1"/>
    <xf numFmtId="209" fontId="53" fillId="6" borderId="0" xfId="0" applyNumberFormat="1" applyFont="1" applyFill="1" applyBorder="1" applyAlignment="1"/>
    <xf numFmtId="0" fontId="53" fillId="6" borderId="0" xfId="326" applyFont="1" applyFill="1" applyBorder="1"/>
    <xf numFmtId="0" fontId="53" fillId="6" borderId="0" xfId="326" applyFont="1" applyFill="1" applyBorder="1" applyAlignment="1">
      <alignment horizontal="center"/>
    </xf>
    <xf numFmtId="209" fontId="53" fillId="6" borderId="0" xfId="0" applyNumberFormat="1" applyFont="1" applyFill="1" applyBorder="1"/>
    <xf numFmtId="0" fontId="53" fillId="6" borderId="0" xfId="326" applyFont="1" applyFill="1" applyBorder="1" applyAlignment="1">
      <alignment horizontal="left" indent="1"/>
    </xf>
    <xf numFmtId="195" fontId="53" fillId="6" borderId="0" xfId="326" applyNumberFormat="1" applyFont="1" applyFill="1" applyBorder="1" applyAlignment="1">
      <alignment horizontal="center"/>
    </xf>
    <xf numFmtId="208" fontId="53" fillId="6" borderId="0" xfId="326" applyNumberFormat="1" applyFont="1" applyFill="1" applyBorder="1" applyAlignment="1">
      <alignment horizontal="right"/>
    </xf>
    <xf numFmtId="208" fontId="53" fillId="6" borderId="10" xfId="9" applyNumberFormat="1" applyFont="1" applyFill="1" applyBorder="1" applyAlignment="1" applyProtection="1"/>
    <xf numFmtId="205" fontId="12" fillId="6" borderId="0" xfId="0" applyNumberFormat="1" applyFont="1" applyFill="1"/>
    <xf numFmtId="177" fontId="53" fillId="6" borderId="0" xfId="9" applyNumberFormat="1" applyFont="1" applyFill="1" applyBorder="1" applyAlignment="1" applyProtection="1"/>
    <xf numFmtId="208" fontId="53" fillId="6" borderId="0" xfId="0" applyNumberFormat="1" applyFont="1" applyFill="1" applyBorder="1" applyAlignment="1">
      <alignment horizontal="right"/>
    </xf>
    <xf numFmtId="164" fontId="12" fillId="6" borderId="0" xfId="1" applyFont="1" applyFill="1" applyBorder="1" applyAlignment="1" applyProtection="1"/>
    <xf numFmtId="164" fontId="12" fillId="6" borderId="7" xfId="1" applyFont="1" applyFill="1" applyBorder="1" applyAlignment="1" applyProtection="1"/>
    <xf numFmtId="164" fontId="12" fillId="6" borderId="6" xfId="1" applyFont="1" applyFill="1" applyBorder="1" applyAlignment="1" applyProtection="1"/>
    <xf numFmtId="195" fontId="53" fillId="6" borderId="7" xfId="92" applyNumberFormat="1" applyFont="1" applyFill="1" applyBorder="1" applyAlignment="1" applyProtection="1"/>
    <xf numFmtId="195" fontId="12" fillId="6" borderId="1" xfId="1" applyNumberFormat="1" applyFont="1" applyFill="1" applyBorder="1" applyAlignment="1" applyProtection="1"/>
    <xf numFmtId="0" fontId="66" fillId="6" borderId="0" xfId="326" applyFont="1" applyFill="1" applyBorder="1" applyAlignment="1">
      <alignment horizontal="center"/>
    </xf>
    <xf numFmtId="208" fontId="53" fillId="6" borderId="1" xfId="92" applyNumberFormat="1" applyFont="1" applyFill="1" applyBorder="1" applyAlignment="1" applyProtection="1"/>
    <xf numFmtId="208" fontId="53" fillId="6" borderId="6" xfId="92" applyNumberFormat="1" applyFont="1" applyFill="1" applyBorder="1" applyAlignment="1" applyProtection="1"/>
    <xf numFmtId="195" fontId="12" fillId="6" borderId="8" xfId="0" applyNumberFormat="1" applyFont="1" applyFill="1" applyBorder="1"/>
    <xf numFmtId="0" fontId="66" fillId="6" borderId="0" xfId="0" applyFont="1" applyFill="1" applyAlignment="1">
      <alignment horizontal="center" vertical="center"/>
    </xf>
    <xf numFmtId="208" fontId="12" fillId="6" borderId="8" xfId="0" applyNumberFormat="1" applyFont="1" applyFill="1" applyBorder="1"/>
    <xf numFmtId="208" fontId="12" fillId="6" borderId="3" xfId="0" applyNumberFormat="1" applyFont="1" applyFill="1" applyBorder="1"/>
    <xf numFmtId="208" fontId="53" fillId="6" borderId="0" xfId="326" applyNumberFormat="1" applyFont="1" applyFill="1" applyBorder="1"/>
    <xf numFmtId="208" fontId="53" fillId="6" borderId="10" xfId="0" applyNumberFormat="1" applyFont="1" applyFill="1" applyBorder="1"/>
    <xf numFmtId="210" fontId="53" fillId="6" borderId="0" xfId="0" applyNumberFormat="1" applyFont="1" applyFill="1" applyBorder="1"/>
    <xf numFmtId="208" fontId="53" fillId="6" borderId="10" xfId="92" applyNumberFormat="1" applyFont="1" applyFill="1" applyBorder="1" applyAlignment="1" applyProtection="1"/>
    <xf numFmtId="210" fontId="53" fillId="6" borderId="0" xfId="0" applyNumberFormat="1" applyFont="1" applyFill="1" applyBorder="1" applyAlignment="1">
      <alignment horizontal="center"/>
    </xf>
    <xf numFmtId="0" fontId="66" fillId="6" borderId="0" xfId="0" applyFont="1" applyFill="1" applyBorder="1" applyAlignment="1">
      <alignment horizontal="center"/>
    </xf>
    <xf numFmtId="177" fontId="53" fillId="6" borderId="2" xfId="9" applyNumberFormat="1" applyFont="1" applyFill="1" applyBorder="1" applyAlignment="1" applyProtection="1"/>
    <xf numFmtId="0" fontId="53" fillId="6" borderId="0" xfId="326" applyFont="1" applyFill="1" applyBorder="1" applyAlignment="1">
      <alignment wrapText="1"/>
    </xf>
    <xf numFmtId="177" fontId="53" fillId="6" borderId="2" xfId="9" applyNumberFormat="1" applyFont="1" applyFill="1" applyBorder="1" applyAlignment="1" applyProtection="1">
      <alignment horizontal="right"/>
    </xf>
    <xf numFmtId="177" fontId="53" fillId="6" borderId="37" xfId="9" applyNumberFormat="1" applyFont="1" applyFill="1" applyBorder="1" applyAlignment="1" applyProtection="1"/>
    <xf numFmtId="195" fontId="53" fillId="6" borderId="0" xfId="0" applyNumberFormat="1" applyFont="1" applyFill="1" applyBorder="1"/>
    <xf numFmtId="195" fontId="61" fillId="6" borderId="18" xfId="1" applyNumberFormat="1" applyFont="1" applyFill="1" applyBorder="1" applyAlignment="1" applyProtection="1"/>
    <xf numFmtId="0" fontId="12" fillId="0" borderId="0" xfId="0" applyFont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211" fontId="63" fillId="0" borderId="0" xfId="0" applyNumberFormat="1" applyFont="1" applyBorder="1" applyAlignment="1">
      <alignment horizontal="center"/>
    </xf>
    <xf numFmtId="0" fontId="53" fillId="6" borderId="0" xfId="0" applyFont="1" applyFill="1" applyAlignment="1"/>
    <xf numFmtId="0" fontId="63" fillId="0" borderId="0" xfId="0" applyFont="1" applyBorder="1" applyAlignment="1">
      <alignment horizontal="center"/>
    </xf>
    <xf numFmtId="210" fontId="53" fillId="0" borderId="0" xfId="0" applyNumberFormat="1" applyFont="1" applyAlignment="1">
      <alignment horizontal="center"/>
    </xf>
    <xf numFmtId="0" fontId="6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11" fontId="63" fillId="0" borderId="0" xfId="0" applyNumberFormat="1" applyFont="1" applyBorder="1" applyAlignment="1"/>
    <xf numFmtId="211" fontId="53" fillId="0" borderId="0" xfId="0" applyNumberFormat="1" applyFont="1" applyBorder="1" applyAlignment="1"/>
    <xf numFmtId="211" fontId="53" fillId="0" borderId="0" xfId="0" applyNumberFormat="1" applyFont="1" applyBorder="1" applyAlignment="1">
      <alignment horizontal="center"/>
    </xf>
    <xf numFmtId="211" fontId="53" fillId="0" borderId="0" xfId="0" applyNumberFormat="1" applyFont="1" applyBorder="1" applyAlignment="1">
      <alignment horizontal="right"/>
    </xf>
    <xf numFmtId="211" fontId="53" fillId="0" borderId="0" xfId="0" applyNumberFormat="1" applyFont="1" applyAlignment="1"/>
    <xf numFmtId="195" fontId="53" fillId="0" borderId="0" xfId="92" applyNumberFormat="1" applyFont="1" applyBorder="1" applyAlignment="1" applyProtection="1">
      <alignment horizontal="center"/>
    </xf>
    <xf numFmtId="195" fontId="53" fillId="0" borderId="0" xfId="92" applyNumberFormat="1" applyFont="1" applyBorder="1" applyAlignment="1" applyProtection="1"/>
    <xf numFmtId="164" fontId="0" fillId="0" borderId="0" xfId="0" applyNumberFormat="1" applyAlignment="1"/>
    <xf numFmtId="195" fontId="53" fillId="0" borderId="7" xfId="92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right"/>
    </xf>
    <xf numFmtId="195" fontId="53" fillId="0" borderId="1" xfId="92" applyNumberFormat="1" applyFont="1" applyBorder="1" applyAlignment="1" applyProtection="1">
      <alignment horizontal="right"/>
    </xf>
    <xf numFmtId="195" fontId="53" fillId="0" borderId="1" xfId="92" applyNumberFormat="1" applyFont="1" applyBorder="1" applyAlignment="1" applyProtection="1"/>
    <xf numFmtId="211" fontId="63" fillId="0" borderId="0" xfId="0" applyNumberFormat="1" applyFont="1" applyBorder="1" applyAlignment="1">
      <alignment horizontal="right"/>
    </xf>
    <xf numFmtId="195" fontId="53" fillId="0" borderId="7" xfId="92" applyNumberFormat="1" applyFont="1" applyBorder="1" applyAlignment="1" applyProtection="1"/>
    <xf numFmtId="211" fontId="53" fillId="6" borderId="0" xfId="0" applyNumberFormat="1" applyFont="1" applyFill="1" applyBorder="1" applyAlignment="1"/>
    <xf numFmtId="211" fontId="53" fillId="6" borderId="0" xfId="0" applyNumberFormat="1" applyFont="1" applyFill="1" applyBorder="1" applyAlignment="1">
      <alignment horizontal="center"/>
    </xf>
    <xf numFmtId="211" fontId="53" fillId="6" borderId="0" xfId="0" applyNumberFormat="1" applyFont="1" applyFill="1" applyBorder="1" applyAlignment="1">
      <alignment horizontal="right"/>
    </xf>
    <xf numFmtId="0" fontId="53" fillId="0" borderId="0" xfId="0" applyFont="1" applyBorder="1" applyAlignment="1">
      <alignment horizontal="left" wrapText="1"/>
    </xf>
    <xf numFmtId="0" fontId="53" fillId="0" borderId="0" xfId="0" applyFont="1" applyBorder="1" applyAlignment="1">
      <alignment horizontal="center"/>
    </xf>
    <xf numFmtId="0" fontId="53" fillId="0" borderId="0" xfId="0" applyFont="1" applyBorder="1" applyAlignment="1"/>
    <xf numFmtId="0" fontId="53" fillId="0" borderId="0" xfId="0" applyFont="1" applyBorder="1" applyAlignment="1">
      <alignment horizontal="right"/>
    </xf>
    <xf numFmtId="195" fontId="53" fillId="0" borderId="8" xfId="92" applyNumberFormat="1" applyFont="1" applyBorder="1" applyAlignment="1" applyProtection="1">
      <alignment horizontal="right"/>
    </xf>
    <xf numFmtId="195" fontId="53" fillId="0" borderId="8" xfId="92" applyNumberFormat="1" applyFont="1" applyBorder="1" applyAlignment="1" applyProtection="1"/>
    <xf numFmtId="177" fontId="12" fillId="0" borderId="0" xfId="1" applyNumberFormat="1" applyFont="1" applyBorder="1" applyAlignment="1" applyProtection="1"/>
    <xf numFmtId="171" fontId="12" fillId="0" borderId="0" xfId="92" applyFont="1" applyBorder="1" applyAlignment="1" applyProtection="1"/>
    <xf numFmtId="177" fontId="4" fillId="0" borderId="0" xfId="1" applyNumberFormat="1" applyFont="1" applyBorder="1" applyAlignment="1" applyProtection="1"/>
    <xf numFmtId="177" fontId="12" fillId="0" borderId="0" xfId="0" applyNumberFormat="1" applyFont="1" applyAlignment="1"/>
    <xf numFmtId="211" fontId="53" fillId="0" borderId="0" xfId="0" applyNumberFormat="1" applyFont="1" applyBorder="1" applyAlignment="1">
      <alignment horizontal="left" wrapText="1"/>
    </xf>
    <xf numFmtId="195" fontId="12" fillId="0" borderId="2" xfId="0" applyNumberFormat="1" applyFont="1" applyBorder="1" applyAlignment="1">
      <alignment horizontal="right"/>
    </xf>
    <xf numFmtId="195" fontId="12" fillId="0" borderId="2" xfId="0" applyNumberFormat="1" applyFont="1" applyBorder="1" applyAlignment="1"/>
    <xf numFmtId="195" fontId="12" fillId="0" borderId="0" xfId="0" applyNumberFormat="1" applyFont="1" applyBorder="1" applyAlignment="1"/>
    <xf numFmtId="195" fontId="12" fillId="0" borderId="9" xfId="0" applyNumberFormat="1" applyFont="1" applyBorder="1" applyAlignment="1"/>
    <xf numFmtId="195" fontId="53" fillId="6" borderId="0" xfId="92" applyNumberFormat="1" applyFont="1" applyFill="1" applyBorder="1" applyAlignment="1" applyProtection="1">
      <alignment horizontal="right"/>
    </xf>
    <xf numFmtId="164" fontId="53" fillId="0" borderId="0" xfId="92" applyNumberFormat="1" applyFont="1" applyBorder="1" applyAlignment="1" applyProtection="1"/>
    <xf numFmtId="2" fontId="12" fillId="0" borderId="0" xfId="0" applyNumberFormat="1" applyFont="1" applyAlignment="1"/>
    <xf numFmtId="177" fontId="12" fillId="0" borderId="7" xfId="1" applyNumberFormat="1" applyFont="1" applyBorder="1" applyAlignment="1" applyProtection="1"/>
    <xf numFmtId="195" fontId="12" fillId="0" borderId="0" xfId="1" applyNumberFormat="1" applyFont="1" applyBorder="1" applyAlignment="1" applyProtection="1">
      <alignment horizontal="right"/>
    </xf>
    <xf numFmtId="164" fontId="12" fillId="0" borderId="0" xfId="1" applyFont="1" applyBorder="1" applyAlignment="1" applyProtection="1">
      <alignment horizontal="right"/>
    </xf>
    <xf numFmtId="164" fontId="12" fillId="0" borderId="0" xfId="1" applyFont="1" applyBorder="1" applyAlignment="1" applyProtection="1"/>
    <xf numFmtId="195" fontId="12" fillId="0" borderId="0" xfId="0" applyNumberFormat="1" applyFont="1" applyAlignment="1"/>
    <xf numFmtId="0" fontId="12" fillId="0" borderId="0" xfId="0" applyFont="1" applyAlignment="1">
      <alignment horizontal="right"/>
    </xf>
    <xf numFmtId="211" fontId="12" fillId="0" borderId="0" xfId="0" applyNumberFormat="1" applyFont="1" applyAlignment="1"/>
    <xf numFmtId="0" fontId="12" fillId="0" borderId="0" xfId="0" applyFont="1" applyAlignment="1">
      <alignment wrapText="1"/>
    </xf>
    <xf numFmtId="0" fontId="67" fillId="6" borderId="0" xfId="0" applyFont="1" applyFill="1" applyAlignment="1">
      <alignment horizontal="left" wrapText="1"/>
    </xf>
    <xf numFmtId="0" fontId="12" fillId="6" borderId="0" xfId="0" applyFont="1" applyFill="1" applyAlignment="1">
      <alignment wrapText="1"/>
    </xf>
    <xf numFmtId="0" fontId="51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177" fontId="53" fillId="0" borderId="0" xfId="109" applyNumberFormat="1" applyFont="1" applyBorder="1" applyAlignment="1" applyProtection="1">
      <alignment horizontal="center" wrapText="1"/>
    </xf>
    <xf numFmtId="177" fontId="63" fillId="0" borderId="0" xfId="109" applyNumberFormat="1" applyFont="1" applyBorder="1" applyAlignment="1" applyProtection="1">
      <alignment horizontal="center"/>
    </xf>
    <xf numFmtId="177" fontId="63" fillId="0" borderId="0" xfId="109" applyNumberFormat="1" applyFont="1" applyBorder="1" applyAlignment="1" applyProtection="1">
      <alignment horizontal="center" wrapText="1"/>
    </xf>
    <xf numFmtId="210" fontId="53" fillId="0" borderId="0" xfId="12" applyNumberFormat="1" applyFont="1" applyBorder="1" applyAlignment="1" applyProtection="1">
      <alignment wrapText="1"/>
    </xf>
    <xf numFmtId="0" fontId="53" fillId="0" borderId="0" xfId="0" applyFont="1" applyAlignment="1">
      <alignment wrapText="1"/>
    </xf>
    <xf numFmtId="195" fontId="53" fillId="0" borderId="0" xfId="94" applyNumberFormat="1" applyFont="1" applyBorder="1" applyAlignment="1" applyProtection="1">
      <alignment wrapText="1"/>
    </xf>
    <xf numFmtId="0" fontId="12" fillId="0" borderId="0" xfId="0" applyFont="1" applyBorder="1" applyAlignment="1">
      <alignment wrapText="1"/>
    </xf>
    <xf numFmtId="173" fontId="53" fillId="0" borderId="0" xfId="94" applyFont="1" applyBorder="1" applyAlignment="1" applyProtection="1">
      <alignment wrapText="1"/>
    </xf>
    <xf numFmtId="195" fontId="12" fillId="0" borderId="0" xfId="0" applyNumberFormat="1" applyFont="1" applyAlignment="1">
      <alignment wrapText="1"/>
    </xf>
    <xf numFmtId="177" fontId="53" fillId="0" borderId="0" xfId="109" applyNumberFormat="1" applyFont="1" applyBorder="1" applyAlignment="1" applyProtection="1">
      <alignment wrapText="1"/>
    </xf>
    <xf numFmtId="0" fontId="53" fillId="0" borderId="0" xfId="0" applyFont="1" applyAlignment="1">
      <alignment vertical="center" wrapText="1"/>
    </xf>
    <xf numFmtId="195" fontId="53" fillId="0" borderId="0" xfId="94" applyNumberFormat="1" applyFont="1" applyBorder="1" applyAlignment="1" applyProtection="1">
      <alignment vertical="center" wrapText="1"/>
    </xf>
    <xf numFmtId="195" fontId="53" fillId="0" borderId="0" xfId="94" applyNumberFormat="1" applyFont="1" applyBorder="1" applyAlignment="1" applyProtection="1"/>
    <xf numFmtId="195" fontId="53" fillId="0" borderId="1" xfId="0" applyNumberFormat="1" applyFont="1" applyBorder="1" applyAlignment="1">
      <alignment wrapText="1"/>
    </xf>
    <xf numFmtId="195" fontId="53" fillId="0" borderId="0" xfId="0" applyNumberFormat="1" applyFont="1" applyBorder="1" applyAlignment="1">
      <alignment wrapText="1"/>
    </xf>
    <xf numFmtId="0" fontId="12" fillId="6" borderId="0" xfId="0" applyFont="1" applyFill="1" applyBorder="1" applyAlignment="1">
      <alignment wrapText="1"/>
    </xf>
    <xf numFmtId="195" fontId="12" fillId="6" borderId="0" xfId="1" applyNumberFormat="1" applyFont="1" applyFill="1" applyBorder="1" applyAlignment="1" applyProtection="1">
      <alignment wrapText="1"/>
    </xf>
    <xf numFmtId="195" fontId="53" fillId="6" borderId="0" xfId="94" applyNumberFormat="1" applyFont="1" applyFill="1" applyBorder="1" applyAlignment="1" applyProtection="1"/>
    <xf numFmtId="195" fontId="49" fillId="6" borderId="0" xfId="0" applyNumberFormat="1" applyFont="1" applyFill="1" applyAlignment="1">
      <alignment wrapText="1"/>
    </xf>
    <xf numFmtId="195" fontId="53" fillId="0" borderId="2" xfId="0" applyNumberFormat="1" applyFont="1" applyBorder="1" applyAlignment="1">
      <alignment wrapText="1"/>
    </xf>
    <xf numFmtId="0" fontId="12" fillId="0" borderId="0" xfId="0" applyFont="1" applyBorder="1" applyAlignment="1">
      <alignment horizontal="left"/>
    </xf>
    <xf numFmtId="0" fontId="54" fillId="6" borderId="0" xfId="0" applyFont="1" applyFill="1"/>
    <xf numFmtId="208" fontId="53" fillId="6" borderId="4" xfId="191" applyNumberFormat="1" applyFont="1" applyFill="1" applyBorder="1" applyAlignment="1" applyProtection="1">
      <alignment horizontal="center" vertical="center" wrapText="1"/>
    </xf>
    <xf numFmtId="208" fontId="53" fillId="6" borderId="3" xfId="191" applyNumberFormat="1" applyFont="1" applyFill="1" applyBorder="1" applyAlignment="1" applyProtection="1">
      <alignment horizontal="center" vertical="center" wrapText="1"/>
    </xf>
    <xf numFmtId="0" fontId="69" fillId="6" borderId="16" xfId="0" applyFont="1" applyFill="1" applyBorder="1"/>
    <xf numFmtId="195" fontId="0" fillId="6" borderId="10" xfId="1" applyNumberFormat="1" applyFont="1" applyFill="1" applyBorder="1" applyAlignment="1" applyProtection="1"/>
    <xf numFmtId="195" fontId="54" fillId="6" borderId="0" xfId="0" applyNumberFormat="1" applyFont="1" applyFill="1"/>
    <xf numFmtId="0" fontId="0" fillId="6" borderId="14" xfId="0" applyFont="1" applyFill="1" applyBorder="1" applyAlignment="1">
      <alignment wrapText="1"/>
    </xf>
    <xf numFmtId="0" fontId="0" fillId="6" borderId="15" xfId="0" applyFont="1" applyFill="1" applyBorder="1"/>
    <xf numFmtId="195" fontId="0" fillId="6" borderId="3" xfId="1" applyNumberFormat="1" applyFont="1" applyFill="1" applyBorder="1" applyAlignment="1" applyProtection="1"/>
    <xf numFmtId="195" fontId="54" fillId="6" borderId="0" xfId="1" applyNumberFormat="1" applyFont="1" applyFill="1" applyBorder="1" applyAlignment="1" applyProtection="1"/>
    <xf numFmtId="195" fontId="0" fillId="6" borderId="4" xfId="1" applyNumberFormat="1" applyFont="1" applyFill="1" applyBorder="1" applyAlignment="1" applyProtection="1"/>
    <xf numFmtId="195" fontId="0" fillId="6" borderId="0" xfId="1" applyNumberFormat="1" applyFont="1" applyFill="1" applyBorder="1" applyAlignment="1" applyProtection="1"/>
    <xf numFmtId="0" fontId="69" fillId="6" borderId="4" xfId="0" applyFont="1" applyFill="1" applyBorder="1"/>
    <xf numFmtId="195" fontId="0" fillId="6" borderId="6" xfId="1" applyNumberFormat="1" applyFont="1" applyFill="1" applyBorder="1" applyAlignment="1" applyProtection="1"/>
    <xf numFmtId="0" fontId="0" fillId="6" borderId="3" xfId="0" applyFont="1" applyFill="1" applyBorder="1"/>
    <xf numFmtId="195" fontId="0" fillId="2" borderId="10" xfId="1" applyNumberFormat="1" applyFont="1" applyFill="1" applyBorder="1" applyAlignment="1" applyProtection="1"/>
    <xf numFmtId="195" fontId="0" fillId="0" borderId="10" xfId="1" applyNumberFormat="1" applyFont="1" applyBorder="1" applyAlignment="1" applyProtection="1"/>
    <xf numFmtId="195" fontId="70" fillId="6" borderId="0" xfId="1" applyNumberFormat="1" applyFont="1" applyFill="1" applyBorder="1" applyAlignment="1" applyProtection="1"/>
    <xf numFmtId="0" fontId="67" fillId="6" borderId="0" xfId="0" applyFont="1" applyFill="1"/>
    <xf numFmtId="0" fontId="51" fillId="6" borderId="0" xfId="467" applyFont="1" applyFill="1" applyBorder="1" applyAlignment="1" applyProtection="1"/>
    <xf numFmtId="0" fontId="51" fillId="6" borderId="0" xfId="467" applyFont="1" applyFill="1"/>
    <xf numFmtId="0" fontId="12" fillId="6" borderId="0" xfId="467" applyFont="1" applyFill="1" applyBorder="1" applyAlignment="1" applyProtection="1"/>
    <xf numFmtId="0" fontId="68" fillId="6" borderId="0" xfId="467" applyFont="1" applyFill="1" applyBorder="1" applyAlignment="1">
      <alignment horizontal="center" wrapText="1"/>
    </xf>
    <xf numFmtId="1" fontId="64" fillId="6" borderId="0" xfId="467" applyNumberFormat="1" applyFont="1" applyFill="1" applyBorder="1" applyAlignment="1" applyProtection="1">
      <alignment horizontal="center"/>
    </xf>
    <xf numFmtId="1" fontId="12" fillId="6" borderId="0" xfId="467" applyNumberFormat="1" applyFont="1" applyFill="1" applyBorder="1" applyAlignment="1" applyProtection="1">
      <alignment horizontal="center"/>
    </xf>
    <xf numFmtId="196" fontId="53" fillId="6" borderId="0" xfId="191" applyNumberFormat="1" applyFont="1" applyFill="1" applyBorder="1" applyAlignment="1" applyProtection="1">
      <alignment horizontal="center" vertical="center" wrapText="1"/>
    </xf>
    <xf numFmtId="196" fontId="53" fillId="6" borderId="12" xfId="191" applyNumberFormat="1" applyFont="1" applyFill="1" applyBorder="1" applyAlignment="1" applyProtection="1">
      <alignment horizontal="center" vertical="center" wrapText="1"/>
    </xf>
    <xf numFmtId="0" fontId="12" fillId="6" borderId="0" xfId="467" applyFont="1" applyFill="1" applyBorder="1" applyAlignment="1">
      <alignment horizontal="center"/>
    </xf>
    <xf numFmtId="0" fontId="12" fillId="6" borderId="0" xfId="467" applyFont="1" applyFill="1" applyBorder="1" applyAlignment="1" applyProtection="1">
      <alignment horizontal="left" vertical="center" wrapText="1"/>
    </xf>
    <xf numFmtId="0" fontId="12" fillId="6" borderId="0" xfId="467" applyFont="1" applyFill="1" applyBorder="1" applyAlignment="1">
      <alignment horizontal="center" vertical="center" wrapText="1"/>
    </xf>
    <xf numFmtId="195" fontId="12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left" vertical="center" wrapText="1" indent="1"/>
    </xf>
    <xf numFmtId="195" fontId="53" fillId="0" borderId="0" xfId="1" applyNumberFormat="1" applyFont="1" applyBorder="1" applyAlignment="1" applyProtection="1"/>
    <xf numFmtId="195" fontId="53" fillId="6" borderId="1" xfId="1" applyNumberFormat="1" applyFont="1" applyFill="1" applyBorder="1" applyAlignment="1" applyProtection="1"/>
    <xf numFmtId="0" fontId="12" fillId="6" borderId="0" xfId="467" applyFont="1" applyFill="1" applyBorder="1" applyAlignment="1" applyProtection="1">
      <alignment horizontal="justify" vertical="center" wrapText="1"/>
    </xf>
    <xf numFmtId="0" fontId="51" fillId="6" borderId="0" xfId="467" applyFont="1" applyFill="1" applyBorder="1" applyAlignment="1">
      <alignment horizontal="center" vertical="center" wrapText="1"/>
    </xf>
    <xf numFmtId="195" fontId="12" fillId="6" borderId="1" xfId="1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/>
    <xf numFmtId="194" fontId="12" fillId="6" borderId="0" xfId="467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vertical="center"/>
    </xf>
    <xf numFmtId="195" fontId="12" fillId="6" borderId="1" xfId="1" applyNumberFormat="1" applyFont="1" applyFill="1" applyBorder="1" applyAlignment="1" applyProtection="1">
      <alignment vertical="center" wrapText="1"/>
    </xf>
    <xf numFmtId="195" fontId="51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justify" vertical="center"/>
    </xf>
    <xf numFmtId="0" fontId="12" fillId="6" borderId="0" xfId="467" applyFont="1" applyFill="1" applyBorder="1" applyAlignment="1">
      <alignment horizontal="center" vertical="center"/>
    </xf>
    <xf numFmtId="195" fontId="12" fillId="6" borderId="2" xfId="1" applyNumberFormat="1" applyFont="1" applyFill="1" applyBorder="1" applyAlignment="1" applyProtection="1">
      <alignment vertical="center" wrapText="1"/>
    </xf>
    <xf numFmtId="208" fontId="12" fillId="6" borderId="0" xfId="0" applyNumberFormat="1" applyFont="1" applyFill="1" applyBorder="1"/>
    <xf numFmtId="208" fontId="68" fillId="6" borderId="0" xfId="0" applyNumberFormat="1" applyFont="1" applyFill="1"/>
    <xf numFmtId="0" fontId="72" fillId="0" borderId="0" xfId="0" applyFont="1"/>
    <xf numFmtId="193" fontId="73" fillId="0" borderId="0" xfId="3" applyFont="1" applyBorder="1" applyAlignment="1" applyProtection="1">
      <alignment horizontal="left" vertical="center"/>
    </xf>
    <xf numFmtId="194" fontId="72" fillId="0" borderId="0" xfId="0" applyNumberFormat="1" applyFont="1"/>
    <xf numFmtId="0" fontId="73" fillId="0" borderId="0" xfId="325" applyFont="1" applyAlignment="1">
      <alignment vertical="center"/>
    </xf>
    <xf numFmtId="195" fontId="72" fillId="0" borderId="0" xfId="1" applyNumberFormat="1" applyFont="1" applyBorder="1" applyAlignment="1" applyProtection="1"/>
    <xf numFmtId="0" fontId="37" fillId="0" borderId="0" xfId="275" applyFont="1" applyBorder="1" applyAlignment="1">
      <alignment vertical="center"/>
    </xf>
    <xf numFmtId="0" fontId="74" fillId="8" borderId="4" xfId="263" applyFont="1" applyFill="1" applyBorder="1" applyAlignment="1">
      <alignment horizontal="center" vertical="center" wrapText="1"/>
    </xf>
    <xf numFmtId="196" fontId="74" fillId="8" borderId="4" xfId="191" applyNumberFormat="1" applyFont="1" applyFill="1" applyBorder="1" applyAlignment="1" applyProtection="1">
      <alignment horizontal="center" vertical="center" wrapText="1"/>
    </xf>
    <xf numFmtId="0" fontId="73" fillId="0" borderId="3" xfId="263" applyFont="1" applyBorder="1" applyAlignment="1">
      <alignment horizontal="left" vertical="center" wrapText="1"/>
    </xf>
    <xf numFmtId="194" fontId="75" fillId="0" borderId="3" xfId="193" applyNumberFormat="1" applyFont="1" applyBorder="1" applyAlignment="1" applyProtection="1"/>
    <xf numFmtId="194" fontId="76" fillId="0" borderId="3" xfId="191" applyNumberFormat="1" applyFont="1" applyBorder="1" applyAlignment="1" applyProtection="1">
      <alignment horizontal="center" vertical="center"/>
    </xf>
    <xf numFmtId="195" fontId="37" fillId="0" borderId="3" xfId="1" applyNumberFormat="1" applyFont="1" applyBorder="1" applyAlignment="1" applyProtection="1">
      <alignment vertical="center"/>
    </xf>
    <xf numFmtId="194" fontId="77" fillId="0" borderId="3" xfId="191" applyNumberFormat="1" applyFont="1" applyBorder="1" applyAlignment="1" applyProtection="1">
      <alignment vertical="center"/>
    </xf>
    <xf numFmtId="194" fontId="37" fillId="0" borderId="4" xfId="191" applyNumberFormat="1" applyFont="1" applyBorder="1" applyAlignment="1" applyProtection="1">
      <alignment vertical="center"/>
    </xf>
    <xf numFmtId="0" fontId="74" fillId="9" borderId="3" xfId="263" applyFont="1" applyFill="1" applyBorder="1" applyAlignment="1">
      <alignment horizontal="left" vertical="center" wrapText="1"/>
    </xf>
    <xf numFmtId="194" fontId="74" fillId="9" borderId="3" xfId="191" applyNumberFormat="1" applyFont="1" applyFill="1" applyBorder="1" applyAlignment="1" applyProtection="1">
      <alignment vertical="center"/>
    </xf>
    <xf numFmtId="194" fontId="74" fillId="9" borderId="3" xfId="191" applyNumberFormat="1" applyFont="1" applyFill="1" applyBorder="1" applyAlignment="1" applyProtection="1">
      <alignment horizontal="center" vertical="center"/>
    </xf>
    <xf numFmtId="194" fontId="73" fillId="0" borderId="3" xfId="191" applyNumberFormat="1" applyFont="1" applyBorder="1" applyAlignment="1" applyProtection="1">
      <alignment vertical="center"/>
    </xf>
    <xf numFmtId="194" fontId="37" fillId="4" borderId="3" xfId="191" applyNumberFormat="1" applyFont="1" applyFill="1" applyBorder="1" applyAlignment="1" applyProtection="1">
      <alignment vertical="center"/>
    </xf>
    <xf numFmtId="194" fontId="37" fillId="0" borderId="5" xfId="191" applyNumberFormat="1" applyFont="1" applyBorder="1" applyAlignment="1" applyProtection="1">
      <alignment vertical="center"/>
    </xf>
    <xf numFmtId="194" fontId="75" fillId="0" borderId="5" xfId="193" applyNumberFormat="1" applyFont="1" applyBorder="1" applyAlignment="1" applyProtection="1"/>
    <xf numFmtId="194" fontId="37" fillId="4" borderId="5" xfId="191" applyNumberFormat="1" applyFont="1" applyFill="1" applyBorder="1" applyAlignment="1" applyProtection="1">
      <alignment vertical="center"/>
    </xf>
    <xf numFmtId="195" fontId="37" fillId="0" borderId="3" xfId="1" applyNumberFormat="1" applyFont="1" applyBorder="1" applyAlignment="1" applyProtection="1">
      <alignment wrapText="1"/>
    </xf>
    <xf numFmtId="164" fontId="72" fillId="0" borderId="0" xfId="1" applyFont="1" applyBorder="1" applyAlignment="1" applyProtection="1"/>
    <xf numFmtId="0" fontId="73" fillId="0" borderId="0" xfId="263" applyFont="1" applyBorder="1" applyAlignment="1">
      <alignment horizontal="left" vertical="center" wrapText="1"/>
    </xf>
    <xf numFmtId="194" fontId="73" fillId="0" borderId="0" xfId="3" applyNumberFormat="1" applyFont="1" applyBorder="1" applyAlignment="1" applyProtection="1">
      <alignment horizontal="right" vertical="center" wrapText="1"/>
    </xf>
    <xf numFmtId="193" fontId="76" fillId="0" borderId="0" xfId="3" applyFont="1" applyBorder="1" applyAlignment="1" applyProtection="1">
      <alignment horizontal="center" vertical="center" wrapText="1"/>
    </xf>
    <xf numFmtId="194" fontId="72" fillId="0" borderId="0" xfId="0" applyNumberFormat="1" applyFont="1" applyBorder="1"/>
    <xf numFmtId="0" fontId="72" fillId="0" borderId="0" xfId="0" applyFont="1" applyBorder="1"/>
    <xf numFmtId="194" fontId="78" fillId="0" borderId="0" xfId="0" applyNumberFormat="1" applyFont="1" applyBorder="1"/>
    <xf numFmtId="0" fontId="73" fillId="0" borderId="6" xfId="263" applyFont="1" applyBorder="1" applyAlignment="1">
      <alignment horizontal="left" vertical="center" wrapText="1"/>
    </xf>
    <xf numFmtId="194" fontId="37" fillId="0" borderId="6" xfId="3" applyNumberFormat="1" applyFont="1" applyBorder="1" applyAlignment="1" applyProtection="1">
      <alignment horizontal="right" vertical="center"/>
    </xf>
    <xf numFmtId="194" fontId="75" fillId="0" borderId="6" xfId="193" applyNumberFormat="1" applyFont="1" applyBorder="1" applyAlignment="1" applyProtection="1"/>
    <xf numFmtId="194" fontId="76" fillId="0" borderId="6" xfId="3" applyNumberFormat="1" applyFont="1" applyBorder="1" applyAlignment="1" applyProtection="1">
      <alignment horizontal="center" vertical="center"/>
    </xf>
    <xf numFmtId="194" fontId="37" fillId="0" borderId="6" xfId="191" applyNumberFormat="1" applyFont="1" applyBorder="1" applyAlignment="1" applyProtection="1">
      <alignment vertical="center"/>
    </xf>
    <xf numFmtId="194" fontId="37" fillId="0" borderId="5" xfId="3" applyNumberFormat="1" applyFont="1" applyBorder="1" applyAlignment="1" applyProtection="1">
      <alignment horizontal="right" vertical="center"/>
    </xf>
    <xf numFmtId="194" fontId="76" fillId="0" borderId="3" xfId="3" applyNumberFormat="1" applyFont="1" applyBorder="1" applyAlignment="1" applyProtection="1">
      <alignment horizontal="center" vertical="center"/>
    </xf>
    <xf numFmtId="194" fontId="73" fillId="0" borderId="6" xfId="3" applyNumberFormat="1" applyFont="1" applyBorder="1" applyAlignment="1" applyProtection="1">
      <alignment horizontal="right" vertical="center"/>
    </xf>
    <xf numFmtId="0" fontId="79" fillId="0" borderId="3" xfId="263" applyFont="1" applyBorder="1" applyAlignment="1">
      <alignment horizontal="left" vertical="center" wrapText="1"/>
    </xf>
    <xf numFmtId="194" fontId="37" fillId="0" borderId="3" xfId="3" applyNumberFormat="1" applyFont="1" applyBorder="1" applyAlignment="1" applyProtection="1">
      <alignment horizontal="right" vertical="center"/>
    </xf>
    <xf numFmtId="0" fontId="73" fillId="0" borderId="3" xfId="263" applyFont="1" applyBorder="1" applyAlignment="1">
      <alignment horizontal="left" vertical="center"/>
    </xf>
    <xf numFmtId="194" fontId="73" fillId="0" borderId="6" xfId="191" applyNumberFormat="1" applyFont="1" applyBorder="1" applyAlignment="1" applyProtection="1">
      <alignment vertical="center"/>
    </xf>
    <xf numFmtId="194" fontId="73" fillId="0" borderId="0" xfId="191" applyNumberFormat="1" applyFont="1" applyBorder="1" applyAlignment="1" applyProtection="1">
      <alignment vertical="center"/>
    </xf>
    <xf numFmtId="195" fontId="73" fillId="0" borderId="0" xfId="1" applyNumberFormat="1" applyFont="1" applyBorder="1" applyAlignment="1" applyProtection="1">
      <alignment vertical="center"/>
    </xf>
    <xf numFmtId="194" fontId="76" fillId="0" borderId="0" xfId="191" applyNumberFormat="1" applyFont="1" applyBorder="1" applyAlignment="1" applyProtection="1">
      <alignment horizontal="center" vertical="center"/>
    </xf>
    <xf numFmtId="0" fontId="79" fillId="0" borderId="0" xfId="263" applyFont="1" applyAlignment="1">
      <alignment horizontal="left" vertical="center"/>
    </xf>
    <xf numFmtId="0" fontId="37" fillId="0" borderId="0" xfId="263" applyFont="1" applyBorder="1" applyAlignment="1">
      <alignment horizontal="left" vertical="center"/>
    </xf>
    <xf numFmtId="194" fontId="37" fillId="0" borderId="0" xfId="3" applyNumberFormat="1" applyFont="1" applyBorder="1" applyAlignment="1" applyProtection="1">
      <alignment horizontal="right" vertical="center"/>
    </xf>
    <xf numFmtId="0" fontId="78" fillId="0" borderId="0" xfId="0" applyFont="1"/>
    <xf numFmtId="195" fontId="72" fillId="0" borderId="0" xfId="0" applyNumberFormat="1" applyFont="1"/>
    <xf numFmtId="165" fontId="72" fillId="0" borderId="0" xfId="0" applyNumberFormat="1" applyFont="1"/>
    <xf numFmtId="0" fontId="45" fillId="0" borderId="0" xfId="0" applyFont="1"/>
    <xf numFmtId="0" fontId="12" fillId="0" borderId="14" xfId="0" applyFont="1" applyFill="1" applyBorder="1"/>
    <xf numFmtId="195" fontId="12" fillId="0" borderId="10" xfId="1" applyNumberFormat="1" applyFont="1" applyFill="1" applyBorder="1" applyProtection="1"/>
    <xf numFmtId="0" fontId="33" fillId="0" borderId="0" xfId="0" quotePrefix="1" applyFont="1" applyAlignment="1">
      <alignment horizontal="center"/>
    </xf>
    <xf numFmtId="0" fontId="12" fillId="6" borderId="10" xfId="0" applyFont="1" applyFill="1" applyBorder="1" applyAlignment="1">
      <alignment horizontal="center"/>
    </xf>
    <xf numFmtId="195" fontId="80" fillId="11" borderId="10" xfId="1" applyNumberFormat="1" applyFill="1" applyBorder="1"/>
    <xf numFmtId="0" fontId="12" fillId="10" borderId="14" xfId="0" applyFont="1" applyFill="1" applyBorder="1"/>
    <xf numFmtId="195" fontId="12" fillId="10" borderId="10" xfId="0" applyNumberFormat="1" applyFont="1" applyFill="1" applyBorder="1"/>
    <xf numFmtId="0" fontId="49" fillId="10" borderId="10" xfId="0" applyFont="1" applyFill="1" applyBorder="1"/>
    <xf numFmtId="0" fontId="12" fillId="10" borderId="10" xfId="0" applyFont="1" applyFill="1" applyBorder="1"/>
    <xf numFmtId="195" fontId="12" fillId="10" borderId="10" xfId="1" applyNumberFormat="1" applyFont="1" applyFill="1" applyBorder="1" applyAlignment="1" applyProtection="1"/>
    <xf numFmtId="0" fontId="49" fillId="11" borderId="10" xfId="0" applyFont="1" applyFill="1" applyBorder="1"/>
    <xf numFmtId="195" fontId="12" fillId="0" borderId="6" xfId="1" applyNumberFormat="1" applyFont="1" applyFill="1" applyBorder="1" applyAlignment="1" applyProtection="1"/>
    <xf numFmtId="0" fontId="52" fillId="6" borderId="10" xfId="0" quotePrefix="1" applyFont="1" applyFill="1" applyBorder="1" applyAlignment="1">
      <alignment horizontal="center"/>
    </xf>
    <xf numFmtId="0" fontId="49" fillId="12" borderId="10" xfId="0" applyFont="1" applyFill="1" applyBorder="1"/>
    <xf numFmtId="0" fontId="12" fillId="12" borderId="10" xfId="0" applyFont="1" applyFill="1" applyBorder="1"/>
    <xf numFmtId="195" fontId="12" fillId="12" borderId="10" xfId="1" applyNumberFormat="1" applyFont="1" applyFill="1" applyBorder="1" applyAlignment="1" applyProtection="1"/>
    <xf numFmtId="0" fontId="12" fillId="12" borderId="10" xfId="0" quotePrefix="1" applyFont="1" applyFill="1" applyBorder="1"/>
    <xf numFmtId="195" fontId="12" fillId="12" borderId="6" xfId="1" applyNumberFormat="1" applyFont="1" applyFill="1" applyBorder="1" applyAlignment="1" applyProtection="1"/>
    <xf numFmtId="195" fontId="12" fillId="11" borderId="10" xfId="1" applyNumberFormat="1" applyFont="1" applyFill="1" applyBorder="1" applyAlignment="1" applyProtection="1"/>
    <xf numFmtId="0" fontId="69" fillId="6" borderId="19" xfId="0" applyFont="1" applyFill="1" applyBorder="1"/>
    <xf numFmtId="195" fontId="0" fillId="6" borderId="38" xfId="1" applyNumberFormat="1" applyFont="1" applyFill="1" applyBorder="1" applyAlignment="1" applyProtection="1"/>
    <xf numFmtId="0" fontId="0" fillId="6" borderId="39" xfId="0" applyFill="1" applyBorder="1"/>
    <xf numFmtId="0" fontId="0" fillId="6" borderId="21" xfId="0" applyFill="1" applyBorder="1"/>
    <xf numFmtId="195" fontId="0" fillId="6" borderId="40" xfId="0" applyNumberFormat="1" applyFill="1" applyBorder="1"/>
    <xf numFmtId="0" fontId="0" fillId="6" borderId="21" xfId="0" applyFont="1" applyFill="1" applyBorder="1" applyAlignment="1">
      <alignment wrapText="1"/>
    </xf>
    <xf numFmtId="0" fontId="0" fillId="6" borderId="41" xfId="0" applyFont="1" applyFill="1" applyBorder="1"/>
    <xf numFmtId="195" fontId="0" fillId="6" borderId="5" xfId="1" applyNumberFormat="1" applyFont="1" applyFill="1" applyBorder="1" applyAlignment="1" applyProtection="1"/>
    <xf numFmtId="195" fontId="0" fillId="6" borderId="25" xfId="1" applyNumberFormat="1" applyFont="1" applyFill="1" applyBorder="1" applyAlignment="1" applyProtection="1"/>
    <xf numFmtId="0" fontId="0" fillId="6" borderId="38" xfId="0" applyFill="1" applyBorder="1"/>
    <xf numFmtId="0" fontId="0" fillId="6" borderId="5" xfId="0" applyFont="1" applyFill="1" applyBorder="1"/>
    <xf numFmtId="0" fontId="69" fillId="6" borderId="42" xfId="0" applyFont="1" applyFill="1" applyBorder="1"/>
    <xf numFmtId="0" fontId="0" fillId="6" borderId="43" xfId="0" applyFill="1" applyBorder="1"/>
    <xf numFmtId="195" fontId="0" fillId="6" borderId="40" xfId="1" applyNumberFormat="1" applyFont="1" applyFill="1" applyBorder="1" applyAlignment="1" applyProtection="1"/>
    <xf numFmtId="0" fontId="0" fillId="6" borderId="43" xfId="0" applyFont="1" applyFill="1" applyBorder="1" applyAlignment="1">
      <alignment wrapText="1"/>
    </xf>
    <xf numFmtId="0" fontId="0" fillId="6" borderId="44" xfId="0" applyFont="1" applyFill="1" applyBorder="1"/>
    <xf numFmtId="0" fontId="0" fillId="6" borderId="4" xfId="0" applyFont="1" applyFill="1" applyBorder="1"/>
    <xf numFmtId="195" fontId="0" fillId="6" borderId="45" xfId="1" applyNumberFormat="1" applyFont="1" applyFill="1" applyBorder="1" applyAlignment="1" applyProtection="1"/>
    <xf numFmtId="195" fontId="0" fillId="10" borderId="10" xfId="1" applyNumberFormat="1" applyFont="1" applyFill="1" applyBorder="1" applyAlignment="1" applyProtection="1"/>
    <xf numFmtId="0" fontId="62" fillId="6" borderId="43" xfId="0" applyFont="1" applyFill="1" applyBorder="1" applyAlignment="1">
      <alignment wrapText="1"/>
    </xf>
    <xf numFmtId="0" fontId="0" fillId="10" borderId="43" xfId="0" applyFill="1" applyBorder="1"/>
    <xf numFmtId="195" fontId="0" fillId="10" borderId="40" xfId="1" applyNumberFormat="1" applyFont="1" applyFill="1" applyBorder="1" applyAlignment="1" applyProtection="1"/>
    <xf numFmtId="0" fontId="54" fillId="10" borderId="0" xfId="0" applyFont="1" applyFill="1"/>
    <xf numFmtId="0" fontId="0" fillId="10" borderId="0" xfId="0" applyFill="1"/>
    <xf numFmtId="0" fontId="0" fillId="11" borderId="0" xfId="0" applyFill="1"/>
    <xf numFmtId="195" fontId="49" fillId="13" borderId="0" xfId="1" applyNumberFormat="1" applyFont="1" applyFill="1" applyBorder="1" applyAlignment="1" applyProtection="1"/>
    <xf numFmtId="195" fontId="57" fillId="13" borderId="0" xfId="1" applyNumberFormat="1" applyFont="1" applyFill="1" applyBorder="1" applyAlignment="1" applyProtection="1"/>
    <xf numFmtId="195" fontId="49" fillId="12" borderId="0" xfId="1" applyNumberFormat="1" applyFont="1" applyFill="1" applyBorder="1" applyAlignment="1" applyProtection="1"/>
    <xf numFmtId="195" fontId="58" fillId="12" borderId="0" xfId="1" applyNumberFormat="1" applyFont="1" applyFill="1" applyBorder="1" applyAlignment="1" applyProtection="1"/>
    <xf numFmtId="195" fontId="49" fillId="14" borderId="0" xfId="1" applyNumberFormat="1" applyFont="1" applyFill="1" applyBorder="1" applyAlignment="1" applyProtection="1"/>
    <xf numFmtId="195" fontId="60" fillId="13" borderId="0" xfId="1" applyNumberFormat="1" applyFont="1" applyFill="1" applyBorder="1" applyAlignment="1" applyProtection="1"/>
    <xf numFmtId="0" fontId="52" fillId="13" borderId="10" xfId="0" applyFont="1" applyFill="1" applyBorder="1" applyAlignment="1">
      <alignment horizontal="center"/>
    </xf>
    <xf numFmtId="0" fontId="49" fillId="13" borderId="10" xfId="0" applyFont="1" applyFill="1" applyBorder="1"/>
    <xf numFmtId="0" fontId="12" fillId="13" borderId="10" xfId="0" applyFont="1" applyFill="1" applyBorder="1"/>
    <xf numFmtId="195" fontId="12" fillId="13" borderId="6" xfId="1" applyNumberFormat="1" applyFont="1" applyFill="1" applyBorder="1" applyAlignment="1" applyProtection="1"/>
    <xf numFmtId="0" fontId="82" fillId="6" borderId="0" xfId="0" applyFont="1" applyFill="1"/>
    <xf numFmtId="195" fontId="82" fillId="6" borderId="0" xfId="0" applyNumberFormat="1" applyFont="1" applyFill="1"/>
    <xf numFmtId="195" fontId="0" fillId="6" borderId="39" xfId="0" applyNumberFormat="1" applyFill="1" applyBorder="1"/>
    <xf numFmtId="195" fontId="54" fillId="10" borderId="0" xfId="0" applyNumberFormat="1" applyFont="1" applyFill="1"/>
    <xf numFmtId="195" fontId="53" fillId="13" borderId="3" xfId="1" applyNumberFormat="1" applyFont="1" applyFill="1" applyBorder="1" applyAlignment="1" applyProtection="1">
      <alignment horizontal="right" vertical="center"/>
    </xf>
    <xf numFmtId="195" fontId="53" fillId="13" borderId="4" xfId="1" applyNumberFormat="1" applyFont="1" applyFill="1" applyBorder="1" applyAlignment="1" applyProtection="1">
      <alignment horizontal="right" vertical="center"/>
    </xf>
    <xf numFmtId="195" fontId="14" fillId="13" borderId="34" xfId="1" applyNumberFormat="1" applyFont="1" applyFill="1" applyBorder="1" applyAlignment="1" applyProtection="1">
      <alignment horizontal="right" vertical="center"/>
    </xf>
    <xf numFmtId="195" fontId="53" fillId="13" borderId="6" xfId="1" applyNumberFormat="1" applyFont="1" applyFill="1" applyBorder="1" applyAlignment="1" applyProtection="1">
      <alignment horizontal="right" vertical="center"/>
    </xf>
    <xf numFmtId="195" fontId="12" fillId="13" borderId="3" xfId="1" applyNumberFormat="1" applyFont="1" applyFill="1" applyBorder="1" applyAlignment="1" applyProtection="1">
      <alignment horizontal="right"/>
    </xf>
    <xf numFmtId="208" fontId="59" fillId="13" borderId="0" xfId="3" applyNumberFormat="1" applyFont="1" applyFill="1" applyBorder="1" applyAlignment="1" applyProtection="1">
      <alignment horizontal="right" vertical="center" wrapText="1"/>
    </xf>
    <xf numFmtId="196" fontId="53" fillId="13" borderId="4" xfId="191" applyNumberFormat="1" applyFont="1" applyFill="1" applyBorder="1" applyAlignment="1" applyProtection="1">
      <alignment horizontal="center" vertical="center" wrapText="1"/>
    </xf>
    <xf numFmtId="195" fontId="53" fillId="13" borderId="4" xfId="1" applyNumberFormat="1" applyFont="1" applyFill="1" applyBorder="1" applyAlignment="1" applyProtection="1">
      <alignment horizontal="center" vertical="center"/>
    </xf>
    <xf numFmtId="195" fontId="53" fillId="13" borderId="6" xfId="1" applyNumberFormat="1" applyFont="1" applyFill="1" applyBorder="1" applyAlignment="1" applyProtection="1">
      <alignment horizontal="center" vertical="center"/>
    </xf>
    <xf numFmtId="195" fontId="14" fillId="13" borderId="4" xfId="1" applyNumberFormat="1" applyFont="1" applyFill="1" applyBorder="1" applyAlignment="1" applyProtection="1">
      <alignment horizontal="center" vertical="center"/>
    </xf>
    <xf numFmtId="195" fontId="53" fillId="13" borderId="10" xfId="1" applyNumberFormat="1" applyFont="1" applyFill="1" applyBorder="1" applyAlignment="1" applyProtection="1">
      <alignment horizontal="center" vertical="center"/>
    </xf>
    <xf numFmtId="195" fontId="53" fillId="13" borderId="36" xfId="1" applyNumberFormat="1" applyFont="1" applyFill="1" applyBorder="1" applyAlignment="1" applyProtection="1">
      <alignment horizontal="center" vertical="center"/>
    </xf>
    <xf numFmtId="208" fontId="14" fillId="13" borderId="34" xfId="191" applyNumberFormat="1" applyFont="1" applyFill="1" applyBorder="1" applyAlignment="1" applyProtection="1">
      <alignment horizontal="right" vertical="center"/>
    </xf>
    <xf numFmtId="208" fontId="12" fillId="13" borderId="0" xfId="0" applyNumberFormat="1" applyFont="1" applyFill="1"/>
    <xf numFmtId="195" fontId="68" fillId="12" borderId="0" xfId="0" applyNumberFormat="1" applyFont="1" applyFill="1" applyBorder="1" applyAlignment="1">
      <alignment wrapText="1"/>
    </xf>
    <xf numFmtId="196" fontId="53" fillId="14" borderId="4" xfId="191" applyNumberFormat="1" applyFont="1" applyFill="1" applyBorder="1" applyAlignment="1" applyProtection="1">
      <alignment horizontal="center" vertical="center" wrapText="1"/>
    </xf>
    <xf numFmtId="196" fontId="53" fillId="15" borderId="4" xfId="191" applyNumberFormat="1" applyFont="1" applyFill="1" applyBorder="1" applyAlignment="1" applyProtection="1">
      <alignment horizontal="center" vertical="center" wrapText="1"/>
    </xf>
    <xf numFmtId="195" fontId="53" fillId="6" borderId="0" xfId="1" applyNumberFormat="1" applyFont="1" applyFill="1" applyBorder="1" applyAlignment="1" applyProtection="1">
      <alignment horizontal="right" vertical="center"/>
    </xf>
    <xf numFmtId="195" fontId="14" fillId="6" borderId="0" xfId="1" applyNumberFormat="1" applyFont="1" applyFill="1" applyBorder="1" applyAlignment="1" applyProtection="1">
      <alignment horizontal="right" vertical="center"/>
    </xf>
    <xf numFmtId="208" fontId="53" fillId="6" borderId="0" xfId="191" applyNumberFormat="1" applyFont="1" applyFill="1" applyBorder="1" applyAlignment="1" applyProtection="1">
      <alignment horizontal="center" vertical="center"/>
    </xf>
    <xf numFmtId="208" fontId="14" fillId="6" borderId="0" xfId="3" applyNumberFormat="1" applyFont="1" applyFill="1" applyBorder="1" applyAlignment="1" applyProtection="1">
      <alignment horizontal="center" vertical="center"/>
    </xf>
    <xf numFmtId="208" fontId="14" fillId="6" borderId="0" xfId="191" applyNumberFormat="1" applyFont="1" applyFill="1" applyBorder="1" applyAlignment="1" applyProtection="1">
      <alignment horizontal="center" vertical="center"/>
    </xf>
    <xf numFmtId="208" fontId="12" fillId="0" borderId="0" xfId="0" applyNumberFormat="1" applyFont="1" applyBorder="1"/>
    <xf numFmtId="195" fontId="59" fillId="6" borderId="0" xfId="1" applyNumberFormat="1" applyFont="1" applyFill="1" applyBorder="1" applyAlignment="1" applyProtection="1">
      <alignment horizontal="right" vertical="center"/>
    </xf>
    <xf numFmtId="195" fontId="68" fillId="13" borderId="0" xfId="1" applyNumberFormat="1" applyFont="1" applyFill="1" applyBorder="1" applyAlignment="1" applyProtection="1"/>
    <xf numFmtId="195" fontId="68" fillId="6" borderId="0" xfId="1" applyNumberFormat="1" applyFont="1" applyFill="1" applyBorder="1" applyAlignment="1" applyProtection="1"/>
    <xf numFmtId="195" fontId="83" fillId="6" borderId="0" xfId="1" applyNumberFormat="1" applyFont="1" applyFill="1" applyBorder="1" applyAlignment="1" applyProtection="1">
      <alignment horizontal="right" vertical="center"/>
    </xf>
    <xf numFmtId="195" fontId="57" fillId="6" borderId="0" xfId="1" applyNumberFormat="1" applyFont="1" applyFill="1" applyBorder="1" applyAlignment="1" applyProtection="1">
      <alignment horizontal="right" vertical="center"/>
    </xf>
    <xf numFmtId="195" fontId="59" fillId="13" borderId="0" xfId="1" applyNumberFormat="1" applyFont="1" applyFill="1" applyBorder="1" applyAlignment="1" applyProtection="1">
      <alignment horizontal="right" vertical="center"/>
    </xf>
    <xf numFmtId="195" fontId="0" fillId="13" borderId="38" xfId="1" applyNumberFormat="1" applyFont="1" applyFill="1" applyBorder="1" applyAlignment="1" applyProtection="1"/>
    <xf numFmtId="195" fontId="0" fillId="13" borderId="10" xfId="1" applyNumberFormat="1" applyFont="1" applyFill="1" applyBorder="1" applyAlignment="1" applyProtection="1"/>
    <xf numFmtId="195" fontId="0" fillId="13" borderId="4" xfId="1" applyNumberFormat="1" applyFont="1" applyFill="1" applyBorder="1" applyAlignment="1" applyProtection="1"/>
    <xf numFmtId="0" fontId="57" fillId="6" borderId="0" xfId="263" applyFont="1" applyFill="1" applyBorder="1" applyAlignment="1">
      <alignment horizontal="left" vertical="center"/>
    </xf>
    <xf numFmtId="208" fontId="57" fillId="13" borderId="0" xfId="3" applyNumberFormat="1" applyFont="1" applyFill="1" applyBorder="1" applyAlignment="1" applyProtection="1">
      <alignment horizontal="right" vertical="center"/>
    </xf>
    <xf numFmtId="208" fontId="57" fillId="6" borderId="0" xfId="3" applyNumberFormat="1" applyFont="1" applyFill="1" applyBorder="1" applyAlignment="1" applyProtection="1">
      <alignment horizontal="right" vertical="center"/>
    </xf>
    <xf numFmtId="0" fontId="70" fillId="0" borderId="0" xfId="0" applyFont="1"/>
    <xf numFmtId="0" fontId="12" fillId="13" borderId="0" xfId="0" applyFont="1" applyFill="1"/>
    <xf numFmtId="208" fontId="57" fillId="13" borderId="0" xfId="3" applyNumberFormat="1" applyFont="1" applyFill="1" applyBorder="1" applyAlignment="1" applyProtection="1">
      <alignment horizontal="right" vertical="center" wrapText="1"/>
    </xf>
    <xf numFmtId="208" fontId="49" fillId="13" borderId="0" xfId="0" applyNumberFormat="1" applyFont="1" applyFill="1" applyBorder="1" applyAlignment="1">
      <alignment horizontal="center"/>
    </xf>
    <xf numFmtId="208" fontId="53" fillId="13" borderId="10" xfId="3" applyNumberFormat="1" applyFont="1" applyFill="1" applyBorder="1" applyAlignment="1" applyProtection="1">
      <alignment horizontal="right" vertical="center"/>
    </xf>
    <xf numFmtId="208" fontId="53" fillId="13" borderId="10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center" vertical="center"/>
    </xf>
    <xf numFmtId="208" fontId="53" fillId="13" borderId="6" xfId="3" applyNumberFormat="1" applyFont="1" applyFill="1" applyBorder="1" applyAlignment="1" applyProtection="1">
      <alignment horizontal="right" vertical="center"/>
    </xf>
    <xf numFmtId="208" fontId="14" fillId="13" borderId="10" xfId="3" applyNumberFormat="1" applyFont="1" applyFill="1" applyBorder="1" applyAlignment="1" applyProtection="1">
      <alignment horizontal="center" vertical="center"/>
    </xf>
    <xf numFmtId="208" fontId="14" fillId="13" borderId="4" xfId="3" applyNumberFormat="1" applyFont="1" applyFill="1" applyBorder="1" applyAlignment="1" applyProtection="1">
      <alignment horizontal="center" vertical="center"/>
    </xf>
    <xf numFmtId="208" fontId="53" fillId="13" borderId="6" xfId="191" applyNumberFormat="1" applyFont="1" applyFill="1" applyBorder="1" applyAlignment="1" applyProtection="1">
      <alignment horizontal="center" vertical="center"/>
    </xf>
    <xf numFmtId="208" fontId="14" fillId="13" borderId="4" xfId="191" applyNumberFormat="1" applyFont="1" applyFill="1" applyBorder="1" applyAlignment="1" applyProtection="1">
      <alignment horizontal="center" vertical="center"/>
    </xf>
    <xf numFmtId="208" fontId="53" fillId="13" borderId="36" xfId="191" applyNumberFormat="1" applyFont="1" applyFill="1" applyBorder="1" applyAlignment="1" applyProtection="1">
      <alignment horizontal="center" vertical="center"/>
    </xf>
    <xf numFmtId="208" fontId="12" fillId="12" borderId="4" xfId="0" applyNumberFormat="1" applyFont="1" applyFill="1" applyBorder="1"/>
    <xf numFmtId="208" fontId="12" fillId="12" borderId="10" xfId="0" applyNumberFormat="1" applyFont="1" applyFill="1" applyBorder="1"/>
    <xf numFmtId="208" fontId="12" fillId="12" borderId="3" xfId="0" applyNumberFormat="1" applyFont="1" applyFill="1" applyBorder="1"/>
    <xf numFmtId="208" fontId="12" fillId="13" borderId="0" xfId="1" applyNumberFormat="1" applyFont="1" applyFill="1" applyBorder="1" applyAlignment="1" applyProtection="1"/>
    <xf numFmtId="195" fontId="0" fillId="13" borderId="0" xfId="0" applyNumberFormat="1" applyFill="1"/>
    <xf numFmtId="196" fontId="53" fillId="13" borderId="3" xfId="191" applyNumberFormat="1" applyFont="1" applyFill="1" applyBorder="1" applyAlignment="1" applyProtection="1">
      <alignment horizontal="center" vertical="center" wrapText="1"/>
    </xf>
    <xf numFmtId="196" fontId="53" fillId="6" borderId="3" xfId="191" applyNumberFormat="1" applyFont="1" applyFill="1" applyBorder="1" applyAlignment="1" applyProtection="1">
      <alignment horizontal="center" vertical="center" wrapText="1"/>
    </xf>
    <xf numFmtId="0" fontId="12" fillId="16" borderId="14" xfId="0" applyFont="1" applyFill="1" applyBorder="1"/>
    <xf numFmtId="195" fontId="12" fillId="16" borderId="10" xfId="0" applyNumberFormat="1" applyFont="1" applyFill="1" applyBorder="1"/>
    <xf numFmtId="0" fontId="12" fillId="13" borderId="14" xfId="0" applyFont="1" applyFill="1" applyBorder="1"/>
    <xf numFmtId="195" fontId="12" fillId="13" borderId="10" xfId="0" applyNumberFormat="1" applyFont="1" applyFill="1" applyBorder="1"/>
    <xf numFmtId="195" fontId="12" fillId="13" borderId="10" xfId="1" applyNumberFormat="1" applyFont="1" applyFill="1" applyBorder="1" applyAlignment="1" applyProtection="1"/>
    <xf numFmtId="0" fontId="12" fillId="17" borderId="14" xfId="0" applyFont="1" applyFill="1" applyBorder="1"/>
    <xf numFmtId="195" fontId="12" fillId="17" borderId="10" xfId="1" applyNumberFormat="1" applyFont="1" applyFill="1" applyBorder="1" applyAlignment="1" applyProtection="1"/>
    <xf numFmtId="0" fontId="12" fillId="17" borderId="10" xfId="0" applyFont="1" applyFill="1" applyBorder="1"/>
    <xf numFmtId="195" fontId="12" fillId="6" borderId="1" xfId="0" applyNumberFormat="1" applyFont="1" applyFill="1" applyBorder="1"/>
    <xf numFmtId="195" fontId="80" fillId="12" borderId="10" xfId="1" applyNumberFormat="1" applyFill="1" applyBorder="1"/>
    <xf numFmtId="195" fontId="80" fillId="0" borderId="10" xfId="1" applyNumberFormat="1" applyBorder="1"/>
    <xf numFmtId="195" fontId="12" fillId="6" borderId="0" xfId="467" applyNumberFormat="1" applyFont="1" applyFill="1" applyBorder="1" applyAlignment="1">
      <alignment horizontal="center"/>
    </xf>
    <xf numFmtId="0" fontId="12" fillId="13" borderId="0" xfId="467" applyFont="1" applyFill="1" applyBorder="1" applyAlignment="1" applyProtection="1">
      <alignment horizontal="left" vertical="center" wrapText="1" indent="1"/>
    </xf>
    <xf numFmtId="0" fontId="12" fillId="13" borderId="0" xfId="467" applyFont="1" applyFill="1" applyBorder="1" applyAlignment="1">
      <alignment horizontal="center" vertical="center" wrapText="1"/>
    </xf>
    <xf numFmtId="195" fontId="53" fillId="13" borderId="1" xfId="1" applyNumberFormat="1" applyFont="1" applyFill="1" applyBorder="1" applyAlignment="1" applyProtection="1"/>
    <xf numFmtId="195" fontId="53" fillId="13" borderId="0" xfId="1" applyNumberFormat="1" applyFont="1" applyFill="1" applyBorder="1" applyAlignment="1" applyProtection="1"/>
    <xf numFmtId="0" fontId="12" fillId="13" borderId="0" xfId="0" applyFont="1" applyFill="1" applyBorder="1"/>
    <xf numFmtId="0" fontId="0" fillId="12" borderId="0" xfId="0" applyFill="1"/>
    <xf numFmtId="0" fontId="12" fillId="11" borderId="10" xfId="0" applyFont="1" applyFill="1" applyBorder="1"/>
    <xf numFmtId="195" fontId="80" fillId="0" borderId="8" xfId="1" applyNumberFormat="1" applyBorder="1" applyProtection="1"/>
    <xf numFmtId="195" fontId="80" fillId="0" borderId="0" xfId="1" applyNumberFormat="1"/>
    <xf numFmtId="164" fontId="14" fillId="13" borderId="34" xfId="1" applyNumberFormat="1" applyFont="1" applyFill="1" applyBorder="1" applyAlignment="1" applyProtection="1">
      <alignment horizontal="right" vertical="center"/>
    </xf>
    <xf numFmtId="0" fontId="58" fillId="6" borderId="0" xfId="263" applyFont="1" applyFill="1" applyBorder="1" applyAlignment="1">
      <alignment horizontal="left" vertical="center" wrapText="1"/>
    </xf>
    <xf numFmtId="195" fontId="57" fillId="13" borderId="0" xfId="1" applyNumberFormat="1" applyFont="1" applyFill="1" applyBorder="1" applyAlignment="1" applyProtection="1">
      <alignment horizontal="right" vertical="center" wrapText="1"/>
    </xf>
    <xf numFmtId="0" fontId="49" fillId="6" borderId="0" xfId="0" applyFont="1" applyFill="1" applyBorder="1"/>
    <xf numFmtId="195" fontId="57" fillId="6" borderId="0" xfId="1" applyNumberFormat="1" applyFont="1" applyFill="1" applyBorder="1" applyAlignment="1" applyProtection="1">
      <alignment horizontal="right" vertical="center" wrapText="1"/>
    </xf>
    <xf numFmtId="194" fontId="49" fillId="6" borderId="0" xfId="0" applyNumberFormat="1" applyFont="1" applyFill="1" applyBorder="1"/>
    <xf numFmtId="0" fontId="84" fillId="12" borderId="16" xfId="0" applyFont="1" applyFill="1" applyBorder="1"/>
    <xf numFmtId="0" fontId="84" fillId="12" borderId="4" xfId="0" applyFont="1" applyFill="1" applyBorder="1"/>
    <xf numFmtId="0" fontId="84" fillId="12" borderId="0" xfId="0" applyFont="1" applyFill="1"/>
    <xf numFmtId="0" fontId="85" fillId="12" borderId="0" xfId="0" applyFont="1" applyFill="1"/>
    <xf numFmtId="212" fontId="86" fillId="12" borderId="0" xfId="1" applyNumberFormat="1" applyFont="1" applyFill="1" applyBorder="1" applyAlignment="1">
      <alignment horizontal="center"/>
    </xf>
    <xf numFmtId="213" fontId="87" fillId="12" borderId="0" xfId="0" applyNumberFormat="1" applyFont="1" applyFill="1"/>
    <xf numFmtId="0" fontId="87" fillId="12" borderId="0" xfId="0" applyFont="1" applyFill="1" applyAlignment="1">
      <alignment horizontal="center"/>
    </xf>
    <xf numFmtId="213" fontId="87" fillId="12" borderId="16" xfId="0" applyNumberFormat="1" applyFont="1" applyFill="1" applyBorder="1"/>
    <xf numFmtId="0" fontId="88" fillId="12" borderId="0" xfId="0" applyFont="1" applyFill="1"/>
    <xf numFmtId="213" fontId="87" fillId="12" borderId="14" xfId="0" applyNumberFormat="1" applyFont="1" applyFill="1" applyBorder="1"/>
    <xf numFmtId="212" fontId="84" fillId="12" borderId="10" xfId="1" applyNumberFormat="1" applyFont="1" applyFill="1" applyBorder="1"/>
    <xf numFmtId="212" fontId="87" fillId="12" borderId="0" xfId="1" applyNumberFormat="1" applyFont="1" applyFill="1" applyBorder="1"/>
    <xf numFmtId="0" fontId="84" fillId="12" borderId="14" xfId="0" applyFont="1" applyFill="1" applyBorder="1"/>
    <xf numFmtId="212" fontId="84" fillId="12" borderId="6" xfId="1" applyNumberFormat="1" applyFont="1" applyFill="1" applyBorder="1"/>
    <xf numFmtId="212" fontId="84" fillId="12" borderId="0" xfId="1" applyNumberFormat="1" applyFont="1" applyFill="1"/>
    <xf numFmtId="37" fontId="87" fillId="12" borderId="14" xfId="0" applyNumberFormat="1" applyFont="1" applyFill="1" applyBorder="1"/>
    <xf numFmtId="37" fontId="87" fillId="12" borderId="0" xfId="0" applyNumberFormat="1" applyFont="1" applyFill="1"/>
    <xf numFmtId="0" fontId="84" fillId="12" borderId="17" xfId="0" applyFont="1" applyFill="1" applyBorder="1"/>
    <xf numFmtId="212" fontId="85" fillId="12" borderId="0" xfId="1" applyNumberFormat="1" applyFont="1" applyFill="1"/>
    <xf numFmtId="212" fontId="86" fillId="12" borderId="0" xfId="1" applyNumberFormat="1" applyFont="1" applyFill="1"/>
    <xf numFmtId="0" fontId="84" fillId="12" borderId="10" xfId="0" applyFont="1" applyFill="1" applyBorder="1"/>
    <xf numFmtId="213" fontId="87" fillId="12" borderId="15" xfId="0" applyNumberFormat="1" applyFont="1" applyFill="1" applyBorder="1"/>
    <xf numFmtId="212" fontId="84" fillId="12" borderId="3" xfId="1" applyNumberFormat="1" applyFont="1" applyFill="1" applyBorder="1"/>
    <xf numFmtId="212" fontId="87" fillId="12" borderId="0" xfId="0" applyNumberFormat="1" applyFont="1" applyFill="1"/>
    <xf numFmtId="37" fontId="87" fillId="12" borderId="4" xfId="0" applyNumberFormat="1" applyFont="1" applyFill="1" applyBorder="1"/>
    <xf numFmtId="212" fontId="84" fillId="12" borderId="4" xfId="1" applyNumberFormat="1" applyFont="1" applyFill="1" applyBorder="1"/>
    <xf numFmtId="37" fontId="87" fillId="12" borderId="6" xfId="0" applyNumberFormat="1" applyFont="1" applyFill="1" applyBorder="1"/>
    <xf numFmtId="213" fontId="87" fillId="12" borderId="3" xfId="0" applyNumberFormat="1" applyFont="1" applyFill="1" applyBorder="1"/>
    <xf numFmtId="212" fontId="84" fillId="12" borderId="3" xfId="0" applyNumberFormat="1" applyFont="1" applyFill="1" applyBorder="1"/>
    <xf numFmtId="212" fontId="84" fillId="12" borderId="0" xfId="0" applyNumberFormat="1" applyFont="1" applyFill="1"/>
    <xf numFmtId="212" fontId="84" fillId="12" borderId="0" xfId="1" applyNumberFormat="1" applyFont="1" applyFill="1" applyBorder="1"/>
    <xf numFmtId="212" fontId="84" fillId="12" borderId="6" xfId="0" applyNumberFormat="1" applyFont="1" applyFill="1" applyBorder="1"/>
    <xf numFmtId="212" fontId="0" fillId="12" borderId="0" xfId="0" applyNumberFormat="1" applyFill="1"/>
    <xf numFmtId="164" fontId="57" fillId="0" borderId="0" xfId="1" applyNumberFormat="1" applyFont="1" applyFill="1" applyBorder="1" applyAlignment="1" applyProtection="1">
      <alignment horizontal="right" vertical="center" wrapText="1"/>
    </xf>
    <xf numFmtId="214" fontId="57" fillId="13" borderId="0" xfId="1" applyNumberFormat="1" applyFont="1" applyFill="1" applyBorder="1" applyAlignment="1" applyProtection="1">
      <alignment horizontal="right" vertical="center" wrapText="1"/>
    </xf>
    <xf numFmtId="214" fontId="57" fillId="6" borderId="0" xfId="1" applyNumberFormat="1" applyFont="1" applyFill="1" applyBorder="1" applyAlignment="1" applyProtection="1">
      <alignment horizontal="right" vertical="center" wrapText="1"/>
    </xf>
    <xf numFmtId="195" fontId="54" fillId="13" borderId="0" xfId="0" applyNumberFormat="1" applyFont="1" applyFill="1"/>
    <xf numFmtId="0" fontId="57" fillId="6" borderId="0" xfId="0" applyFont="1" applyFill="1"/>
    <xf numFmtId="195" fontId="58" fillId="6" borderId="0" xfId="1" applyNumberFormat="1" applyFont="1" applyFill="1" applyBorder="1" applyAlignment="1" applyProtection="1"/>
    <xf numFmtId="195" fontId="57" fillId="6" borderId="0" xfId="1" applyNumberFormat="1" applyFont="1" applyFill="1" applyBorder="1" applyAlignment="1" applyProtection="1"/>
    <xf numFmtId="195" fontId="57" fillId="6" borderId="0" xfId="0" applyNumberFormat="1" applyFont="1" applyFill="1"/>
    <xf numFmtId="0" fontId="60" fillId="6" borderId="0" xfId="0" applyFont="1" applyFill="1"/>
    <xf numFmtId="195" fontId="49" fillId="6" borderId="0" xfId="0" applyNumberFormat="1" applyFont="1" applyFill="1"/>
    <xf numFmtId="0" fontId="0" fillId="13" borderId="0" xfId="0" applyFill="1"/>
    <xf numFmtId="195" fontId="0" fillId="13" borderId="40" xfId="1" applyNumberFormat="1" applyFont="1" applyFill="1" applyBorder="1" applyAlignment="1" applyProtection="1"/>
    <xf numFmtId="195" fontId="53" fillId="10" borderId="0" xfId="94" applyNumberFormat="1" applyFont="1" applyFill="1" applyBorder="1" applyAlignment="1" applyProtection="1"/>
    <xf numFmtId="195" fontId="0" fillId="13" borderId="40" xfId="0" applyNumberFormat="1" applyFill="1" applyBorder="1"/>
    <xf numFmtId="195" fontId="12" fillId="11" borderId="0" xfId="1" applyNumberFormat="1" applyFont="1" applyFill="1" applyBorder="1" applyAlignment="1" applyProtection="1"/>
    <xf numFmtId="3" fontId="61" fillId="6" borderId="0" xfId="0" applyNumberFormat="1" applyFont="1" applyFill="1" applyAlignment="1">
      <alignment horizontal="center" vertical="center"/>
    </xf>
    <xf numFmtId="0" fontId="84" fillId="12" borderId="0" xfId="0" applyNumberFormat="1" applyFont="1" applyFill="1"/>
    <xf numFmtId="212" fontId="84" fillId="11" borderId="10" xfId="1" applyNumberFormat="1" applyFont="1" applyFill="1" applyBorder="1"/>
    <xf numFmtId="3" fontId="12" fillId="6" borderId="0" xfId="0" applyNumberFormat="1" applyFont="1" applyFill="1"/>
    <xf numFmtId="195" fontId="80" fillId="0" borderId="0" xfId="1" applyNumberFormat="1" applyBorder="1"/>
    <xf numFmtId="195" fontId="80" fillId="0" borderId="0" xfId="1" applyNumberFormat="1" applyBorder="1" applyAlignment="1">
      <alignment horizontal="right"/>
    </xf>
    <xf numFmtId="3" fontId="12" fillId="6" borderId="0" xfId="467" applyNumberFormat="1" applyFont="1" applyFill="1" applyBorder="1" applyAlignment="1">
      <alignment horizontal="right" vertical="center" wrapText="1"/>
    </xf>
    <xf numFmtId="3" fontId="12" fillId="6" borderId="0" xfId="0" applyNumberFormat="1" applyFont="1" applyFill="1" applyAlignment="1">
      <alignment horizontal="right"/>
    </xf>
    <xf numFmtId="0" fontId="12" fillId="6" borderId="0" xfId="467" applyFont="1" applyFill="1" applyBorder="1" applyAlignment="1">
      <alignment horizontal="right" vertical="center" wrapText="1"/>
    </xf>
    <xf numFmtId="195" fontId="12" fillId="10" borderId="0" xfId="467" applyNumberFormat="1" applyFont="1" applyFill="1" applyBorder="1" applyAlignment="1">
      <alignment horizontal="center"/>
    </xf>
    <xf numFmtId="0" fontId="67" fillId="6" borderId="0" xfId="0" applyFont="1" applyFill="1" applyBorder="1"/>
    <xf numFmtId="0" fontId="51" fillId="6" borderId="0" xfId="467" applyFont="1" applyFill="1" applyBorder="1"/>
    <xf numFmtId="208" fontId="12" fillId="6" borderId="2" xfId="0" applyNumberFormat="1" applyFont="1" applyFill="1" applyBorder="1"/>
    <xf numFmtId="195" fontId="12" fillId="6" borderId="7" xfId="1" applyNumberFormat="1" applyFont="1" applyFill="1" applyBorder="1" applyAlignment="1" applyProtection="1">
      <alignment vertical="center" wrapText="1"/>
    </xf>
    <xf numFmtId="212" fontId="86" fillId="12" borderId="0" xfId="1" applyNumberFormat="1" applyFont="1" applyFill="1" applyBorder="1" applyAlignment="1">
      <alignment horizontal="left"/>
    </xf>
    <xf numFmtId="195" fontId="53" fillId="10" borderId="0" xfId="1" applyNumberFormat="1" applyFont="1" applyFill="1" applyBorder="1" applyAlignment="1" applyProtection="1"/>
    <xf numFmtId="212" fontId="84" fillId="17" borderId="10" xfId="0" applyNumberFormat="1" applyFont="1" applyFill="1" applyBorder="1"/>
    <xf numFmtId="0" fontId="84" fillId="17" borderId="14" xfId="0" applyFont="1" applyFill="1" applyBorder="1"/>
    <xf numFmtId="212" fontId="84" fillId="17" borderId="6" xfId="1" applyNumberFormat="1" applyFont="1" applyFill="1" applyBorder="1"/>
    <xf numFmtId="195" fontId="12" fillId="13" borderId="0" xfId="467" applyNumberFormat="1" applyFont="1" applyFill="1" applyBorder="1" applyAlignment="1">
      <alignment horizontal="center"/>
    </xf>
    <xf numFmtId="195" fontId="12" fillId="13" borderId="0" xfId="0" applyNumberFormat="1" applyFont="1" applyFill="1" applyBorder="1"/>
    <xf numFmtId="195" fontId="12" fillId="13" borderId="0" xfId="467" applyNumberFormat="1" applyFont="1" applyFill="1" applyBorder="1" applyAlignment="1">
      <alignment horizontal="center" vertical="center" wrapText="1"/>
    </xf>
    <xf numFmtId="195" fontId="12" fillId="13" borderId="0" xfId="1" applyNumberFormat="1" applyFont="1" applyFill="1" applyBorder="1" applyAlignment="1" applyProtection="1"/>
    <xf numFmtId="195" fontId="12" fillId="14" borderId="0" xfId="1" applyNumberFormat="1" applyFont="1" applyFill="1" applyBorder="1" applyAlignment="1" applyProtection="1"/>
    <xf numFmtId="0" fontId="12" fillId="10" borderId="0" xfId="467" applyFont="1" applyFill="1" applyBorder="1" applyAlignment="1" applyProtection="1">
      <alignment horizontal="left" vertical="center" wrapText="1" indent="1"/>
    </xf>
    <xf numFmtId="0" fontId="12" fillId="10" borderId="0" xfId="467" applyFont="1" applyFill="1" applyBorder="1" applyAlignment="1">
      <alignment horizontal="center" vertical="center" wrapText="1"/>
    </xf>
    <xf numFmtId="196" fontId="13" fillId="0" borderId="3" xfId="191" applyNumberFormat="1" applyFont="1" applyBorder="1" applyAlignment="1" applyProtection="1">
      <alignment horizontal="center" vertical="center" wrapText="1"/>
    </xf>
    <xf numFmtId="194" fontId="24" fillId="0" borderId="0" xfId="3" applyNumberFormat="1" applyFont="1" applyBorder="1" applyAlignment="1" applyProtection="1">
      <alignment horizontal="center" vertical="center"/>
    </xf>
    <xf numFmtId="0" fontId="28" fillId="6" borderId="7" xfId="331" applyFont="1" applyFill="1" applyBorder="1" applyAlignment="1">
      <alignment horizontal="center"/>
    </xf>
    <xf numFmtId="0" fontId="31" fillId="0" borderId="0" xfId="528" applyFont="1" applyBorder="1" applyAlignment="1">
      <alignment horizontal="left" wrapText="1"/>
    </xf>
    <xf numFmtId="0" fontId="33" fillId="0" borderId="0" xfId="528" applyFont="1" applyBorder="1" applyAlignment="1">
      <alignment horizontal="center" wrapText="1"/>
    </xf>
    <xf numFmtId="0" fontId="31" fillId="0" borderId="21" xfId="528" applyFont="1" applyBorder="1" applyAlignment="1">
      <alignment horizontal="left" wrapText="1"/>
    </xf>
    <xf numFmtId="0" fontId="33" fillId="0" borderId="0" xfId="528" applyFont="1" applyBorder="1" applyAlignment="1">
      <alignment horizontal="left" wrapText="1"/>
    </xf>
    <xf numFmtId="0" fontId="36" fillId="0" borderId="3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96" fontId="56" fillId="13" borderId="7" xfId="191" applyNumberFormat="1" applyFont="1" applyFill="1" applyBorder="1" applyAlignment="1" applyProtection="1">
      <alignment horizontal="center" vertical="center" wrapText="1"/>
    </xf>
    <xf numFmtId="196" fontId="74" fillId="8" borderId="3" xfId="191" applyNumberFormat="1" applyFont="1" applyFill="1" applyBorder="1" applyAlignment="1" applyProtection="1">
      <alignment horizontal="center" vertical="center" wrapText="1"/>
    </xf>
    <xf numFmtId="195" fontId="49" fillId="10" borderId="0" xfId="1" applyNumberFormat="1" applyFont="1" applyFill="1" applyBorder="1" applyAlignment="1" applyProtection="1"/>
    <xf numFmtId="0" fontId="49" fillId="0" borderId="10" xfId="0" applyFont="1" applyFill="1" applyBorder="1"/>
    <xf numFmtId="0" fontId="12" fillId="0" borderId="10" xfId="0" applyFont="1" applyFill="1" applyBorder="1"/>
    <xf numFmtId="195" fontId="12" fillId="0" borderId="10" xfId="1" applyNumberFormat="1" applyFont="1" applyFill="1" applyBorder="1" applyAlignment="1" applyProtection="1"/>
    <xf numFmtId="195" fontId="53" fillId="0" borderId="0" xfId="0" applyNumberFormat="1" applyFont="1" applyAlignment="1">
      <alignment wrapText="1"/>
    </xf>
    <xf numFmtId="195" fontId="0" fillId="12" borderId="40" xfId="1" applyNumberFormat="1" applyFont="1" applyFill="1" applyBorder="1" applyAlignment="1" applyProtection="1"/>
    <xf numFmtId="195" fontId="0" fillId="12" borderId="26" xfId="1" applyNumberFormat="1" applyFont="1" applyFill="1" applyBorder="1" applyAlignment="1" applyProtection="1"/>
    <xf numFmtId="195" fontId="70" fillId="10" borderId="0" xfId="1" applyNumberFormat="1" applyFont="1" applyFill="1" applyBorder="1" applyAlignment="1" applyProtection="1"/>
    <xf numFmtId="195" fontId="12" fillId="10" borderId="0" xfId="1" applyNumberFormat="1" applyFont="1" applyFill="1" applyBorder="1" applyAlignment="1" applyProtection="1"/>
  </cellXfs>
  <cellStyles count="586">
    <cellStyle name="=C:\WINNT\SYSTEM32\COMMAND.COM" xfId="4" xr:uid="{00000000-0005-0000-0000-000006000000}"/>
    <cellStyle name="Categoría del Piloto de Datos" xfId="5" xr:uid="{00000000-0005-0000-0000-000007000000}"/>
    <cellStyle name="Comma" xfId="1" builtinId="3"/>
    <cellStyle name="Comma 123" xfId="6" xr:uid="{00000000-0005-0000-0000-000008000000}"/>
    <cellStyle name="Comma 13" xfId="7" xr:uid="{00000000-0005-0000-0000-000009000000}"/>
    <cellStyle name="Comma 15" xfId="8" xr:uid="{00000000-0005-0000-0000-00000A000000}"/>
    <cellStyle name="Comma 2" xfId="9" xr:uid="{00000000-0005-0000-0000-00000B000000}"/>
    <cellStyle name="Comma 4 2" xfId="10" xr:uid="{00000000-0005-0000-0000-00000C000000}"/>
    <cellStyle name="Comma 4 2 4" xfId="11" xr:uid="{00000000-0005-0000-0000-00000D000000}"/>
    <cellStyle name="Comma_Worksheet in D: Mis documentos Clientes 2003 Holanda Informes Brenntag-Informe2002-2001" xfId="12" xr:uid="{00000000-0005-0000-0000-00000E000000}"/>
    <cellStyle name="Credit" xfId="13" xr:uid="{00000000-0005-0000-0000-00000F000000}"/>
    <cellStyle name="Credit subtotal" xfId="14" xr:uid="{00000000-0005-0000-0000-000010000000}"/>
    <cellStyle name="Credit Total" xfId="15" xr:uid="{00000000-0005-0000-0000-000011000000}"/>
    <cellStyle name="Credit_Libro1" xfId="16" xr:uid="{00000000-0005-0000-0000-000012000000}"/>
    <cellStyle name="Currency" xfId="2" builtinId="4"/>
    <cellStyle name="Debit" xfId="17" xr:uid="{00000000-0005-0000-0000-000013000000}"/>
    <cellStyle name="Debit subtotal" xfId="18" xr:uid="{00000000-0005-0000-0000-000014000000}"/>
    <cellStyle name="Debit Total" xfId="19" xr:uid="{00000000-0005-0000-0000-000015000000}"/>
    <cellStyle name="Debit_Libro1" xfId="20" xr:uid="{00000000-0005-0000-0000-000016000000}"/>
    <cellStyle name="Estilo 1" xfId="21" xr:uid="{00000000-0005-0000-0000-000017000000}"/>
    <cellStyle name="Euro" xfId="22" xr:uid="{00000000-0005-0000-0000-000018000000}"/>
    <cellStyle name="Euro 10" xfId="23" xr:uid="{00000000-0005-0000-0000-000019000000}"/>
    <cellStyle name="Euro 11" xfId="24" xr:uid="{00000000-0005-0000-0000-00001A000000}"/>
    <cellStyle name="Euro 12" xfId="25" xr:uid="{00000000-0005-0000-0000-00001B000000}"/>
    <cellStyle name="Euro 13" xfId="26" xr:uid="{00000000-0005-0000-0000-00001C000000}"/>
    <cellStyle name="Euro 14" xfId="27" xr:uid="{00000000-0005-0000-0000-00001D000000}"/>
    <cellStyle name="Euro 15" xfId="28" xr:uid="{00000000-0005-0000-0000-00001E000000}"/>
    <cellStyle name="Euro 16" xfId="29" xr:uid="{00000000-0005-0000-0000-00001F000000}"/>
    <cellStyle name="Euro 17" xfId="30" xr:uid="{00000000-0005-0000-0000-000020000000}"/>
    <cellStyle name="Euro 18" xfId="31" xr:uid="{00000000-0005-0000-0000-000021000000}"/>
    <cellStyle name="Euro 19" xfId="32" xr:uid="{00000000-0005-0000-0000-000022000000}"/>
    <cellStyle name="Euro 2" xfId="33" xr:uid="{00000000-0005-0000-0000-000023000000}"/>
    <cellStyle name="Euro 20" xfId="34" xr:uid="{00000000-0005-0000-0000-000024000000}"/>
    <cellStyle name="Euro 21" xfId="35" xr:uid="{00000000-0005-0000-0000-000025000000}"/>
    <cellStyle name="Euro 22" xfId="36" xr:uid="{00000000-0005-0000-0000-000026000000}"/>
    <cellStyle name="Euro 23" xfId="37" xr:uid="{00000000-0005-0000-0000-000027000000}"/>
    <cellStyle name="Euro 24" xfId="38" xr:uid="{00000000-0005-0000-0000-000028000000}"/>
    <cellStyle name="Euro 25" xfId="39" xr:uid="{00000000-0005-0000-0000-000029000000}"/>
    <cellStyle name="Euro 26" xfId="40" xr:uid="{00000000-0005-0000-0000-00002A000000}"/>
    <cellStyle name="Euro 27" xfId="41" xr:uid="{00000000-0005-0000-0000-00002B000000}"/>
    <cellStyle name="Euro 28" xfId="42" xr:uid="{00000000-0005-0000-0000-00002C000000}"/>
    <cellStyle name="Euro 29" xfId="43" xr:uid="{00000000-0005-0000-0000-00002D000000}"/>
    <cellStyle name="Euro 3" xfId="44" xr:uid="{00000000-0005-0000-0000-00002E000000}"/>
    <cellStyle name="Euro 30" xfId="45" xr:uid="{00000000-0005-0000-0000-00002F000000}"/>
    <cellStyle name="Euro 31" xfId="46" xr:uid="{00000000-0005-0000-0000-000030000000}"/>
    <cellStyle name="Euro 32" xfId="47" xr:uid="{00000000-0005-0000-0000-000031000000}"/>
    <cellStyle name="Euro 33" xfId="48" xr:uid="{00000000-0005-0000-0000-000032000000}"/>
    <cellStyle name="Euro 34" xfId="49" xr:uid="{00000000-0005-0000-0000-000033000000}"/>
    <cellStyle name="Euro 35" xfId="50" xr:uid="{00000000-0005-0000-0000-000034000000}"/>
    <cellStyle name="Euro 36" xfId="51" xr:uid="{00000000-0005-0000-0000-000035000000}"/>
    <cellStyle name="Euro 37" xfId="52" xr:uid="{00000000-0005-0000-0000-000036000000}"/>
    <cellStyle name="Euro 38" xfId="53" xr:uid="{00000000-0005-0000-0000-000037000000}"/>
    <cellStyle name="Euro 39" xfId="54" xr:uid="{00000000-0005-0000-0000-000038000000}"/>
    <cellStyle name="Euro 4" xfId="55" xr:uid="{00000000-0005-0000-0000-000039000000}"/>
    <cellStyle name="Euro 40" xfId="56" xr:uid="{00000000-0005-0000-0000-00003A000000}"/>
    <cellStyle name="Euro 41" xfId="57" xr:uid="{00000000-0005-0000-0000-00003B000000}"/>
    <cellStyle name="Euro 42" xfId="58" xr:uid="{00000000-0005-0000-0000-00003C000000}"/>
    <cellStyle name="Euro 43" xfId="59" xr:uid="{00000000-0005-0000-0000-00003D000000}"/>
    <cellStyle name="Euro 44" xfId="60" xr:uid="{00000000-0005-0000-0000-00003E000000}"/>
    <cellStyle name="Euro 45" xfId="61" xr:uid="{00000000-0005-0000-0000-00003F000000}"/>
    <cellStyle name="Euro 46" xfId="62" xr:uid="{00000000-0005-0000-0000-000040000000}"/>
    <cellStyle name="Euro 47" xfId="63" xr:uid="{00000000-0005-0000-0000-000041000000}"/>
    <cellStyle name="Euro 48" xfId="64" xr:uid="{00000000-0005-0000-0000-000042000000}"/>
    <cellStyle name="Euro 49" xfId="65" xr:uid="{00000000-0005-0000-0000-000043000000}"/>
    <cellStyle name="Euro 5" xfId="66" xr:uid="{00000000-0005-0000-0000-000044000000}"/>
    <cellStyle name="Euro 50" xfId="67" xr:uid="{00000000-0005-0000-0000-000045000000}"/>
    <cellStyle name="Euro 51" xfId="68" xr:uid="{00000000-0005-0000-0000-000046000000}"/>
    <cellStyle name="Euro 52" xfId="69" xr:uid="{00000000-0005-0000-0000-000047000000}"/>
    <cellStyle name="Euro 53" xfId="70" xr:uid="{00000000-0005-0000-0000-000048000000}"/>
    <cellStyle name="Euro 54" xfId="71" xr:uid="{00000000-0005-0000-0000-000049000000}"/>
    <cellStyle name="Euro 55" xfId="72" xr:uid="{00000000-0005-0000-0000-00004A000000}"/>
    <cellStyle name="Euro 56" xfId="73" xr:uid="{00000000-0005-0000-0000-00004B000000}"/>
    <cellStyle name="Euro 57" xfId="74" xr:uid="{00000000-0005-0000-0000-00004C000000}"/>
    <cellStyle name="Euro 58" xfId="75" xr:uid="{00000000-0005-0000-0000-00004D000000}"/>
    <cellStyle name="Euro 59" xfId="76" xr:uid="{00000000-0005-0000-0000-00004E000000}"/>
    <cellStyle name="Euro 6" xfId="77" xr:uid="{00000000-0005-0000-0000-00004F000000}"/>
    <cellStyle name="Euro 60" xfId="78" xr:uid="{00000000-0005-0000-0000-000050000000}"/>
    <cellStyle name="Euro 61" xfId="79" xr:uid="{00000000-0005-0000-0000-000051000000}"/>
    <cellStyle name="Euro 62" xfId="80" xr:uid="{00000000-0005-0000-0000-000052000000}"/>
    <cellStyle name="Euro 63" xfId="81" xr:uid="{00000000-0005-0000-0000-000053000000}"/>
    <cellStyle name="Euro 64" xfId="82" xr:uid="{00000000-0005-0000-0000-000054000000}"/>
    <cellStyle name="Euro 7" xfId="83" xr:uid="{00000000-0005-0000-0000-000055000000}"/>
    <cellStyle name="Euro 8" xfId="84" xr:uid="{00000000-0005-0000-0000-000056000000}"/>
    <cellStyle name="Euro 9" xfId="85" xr:uid="{00000000-0005-0000-0000-000057000000}"/>
    <cellStyle name="Euro_Cédulas 12-31-2009" xfId="86" xr:uid="{00000000-0005-0000-0000-000058000000}"/>
    <cellStyle name="Hipervínculo 2" xfId="87" xr:uid="{00000000-0005-0000-0000-000059000000}"/>
    <cellStyle name="Hipervínculo 3" xfId="88" xr:uid="{00000000-0005-0000-0000-00005A000000}"/>
    <cellStyle name="Hipervínculo 4" xfId="89" xr:uid="{00000000-0005-0000-0000-00005B000000}"/>
    <cellStyle name="Hipervínculo 5" xfId="90" xr:uid="{00000000-0005-0000-0000-00005C000000}"/>
    <cellStyle name="Hipervínculo 6" xfId="91" xr:uid="{00000000-0005-0000-0000-00005D000000}"/>
    <cellStyle name="Millares [0] 10" xfId="203" xr:uid="{00000000-0005-0000-0000-0000CD000000}"/>
    <cellStyle name="Millares [0] 11" xfId="204" xr:uid="{00000000-0005-0000-0000-0000CE000000}"/>
    <cellStyle name="Millares [0] 12" xfId="205" xr:uid="{00000000-0005-0000-0000-0000CF000000}"/>
    <cellStyle name="Millares [0] 13" xfId="206" xr:uid="{00000000-0005-0000-0000-0000D0000000}"/>
    <cellStyle name="Millares [0] 14" xfId="207" xr:uid="{00000000-0005-0000-0000-0000D1000000}"/>
    <cellStyle name="Millares [0] 15" xfId="208" xr:uid="{00000000-0005-0000-0000-0000D2000000}"/>
    <cellStyle name="Millares [0] 16" xfId="209" xr:uid="{00000000-0005-0000-0000-0000D3000000}"/>
    <cellStyle name="Millares [0] 17" xfId="210" xr:uid="{00000000-0005-0000-0000-0000D4000000}"/>
    <cellStyle name="Millares [0] 18" xfId="211" xr:uid="{00000000-0005-0000-0000-0000D5000000}"/>
    <cellStyle name="Millares [0] 19" xfId="212" xr:uid="{00000000-0005-0000-0000-0000D6000000}"/>
    <cellStyle name="Millares [0] 2" xfId="213" xr:uid="{00000000-0005-0000-0000-0000D7000000}"/>
    <cellStyle name="Millares [0] 20" xfId="214" xr:uid="{00000000-0005-0000-0000-0000D8000000}"/>
    <cellStyle name="Millares [0] 21" xfId="215" xr:uid="{00000000-0005-0000-0000-0000D9000000}"/>
    <cellStyle name="Millares [0] 22" xfId="216" xr:uid="{00000000-0005-0000-0000-0000DA000000}"/>
    <cellStyle name="Millares [0] 23" xfId="217" xr:uid="{00000000-0005-0000-0000-0000DB000000}"/>
    <cellStyle name="Millares [0] 24" xfId="218" xr:uid="{00000000-0005-0000-0000-0000DC000000}"/>
    <cellStyle name="Millares [0] 25" xfId="219" xr:uid="{00000000-0005-0000-0000-0000DD000000}"/>
    <cellStyle name="Millares [0] 26" xfId="220" xr:uid="{00000000-0005-0000-0000-0000DE000000}"/>
    <cellStyle name="Millares [0] 27" xfId="221" xr:uid="{00000000-0005-0000-0000-0000DF000000}"/>
    <cellStyle name="Millares [0] 28" xfId="222" xr:uid="{00000000-0005-0000-0000-0000E0000000}"/>
    <cellStyle name="Millares [0] 29" xfId="223" xr:uid="{00000000-0005-0000-0000-0000E1000000}"/>
    <cellStyle name="Millares [0] 3" xfId="224" xr:uid="{00000000-0005-0000-0000-0000E2000000}"/>
    <cellStyle name="Millares [0] 30" xfId="225" xr:uid="{00000000-0005-0000-0000-0000E3000000}"/>
    <cellStyle name="Millares [0] 31" xfId="226" xr:uid="{00000000-0005-0000-0000-0000E4000000}"/>
    <cellStyle name="Millares [0] 32" xfId="227" xr:uid="{00000000-0005-0000-0000-0000E5000000}"/>
    <cellStyle name="Millares [0] 33" xfId="228" xr:uid="{00000000-0005-0000-0000-0000E6000000}"/>
    <cellStyle name="Millares [0] 34" xfId="229" xr:uid="{00000000-0005-0000-0000-0000E7000000}"/>
    <cellStyle name="Millares [0] 35" xfId="230" xr:uid="{00000000-0005-0000-0000-0000E8000000}"/>
    <cellStyle name="Millares [0] 36" xfId="231" xr:uid="{00000000-0005-0000-0000-0000E9000000}"/>
    <cellStyle name="Millares [0] 37" xfId="232" xr:uid="{00000000-0005-0000-0000-0000EA000000}"/>
    <cellStyle name="Millares [0] 38" xfId="233" xr:uid="{00000000-0005-0000-0000-0000EB000000}"/>
    <cellStyle name="Millares [0] 39" xfId="234" xr:uid="{00000000-0005-0000-0000-0000EC000000}"/>
    <cellStyle name="Millares [0] 4" xfId="235" xr:uid="{00000000-0005-0000-0000-0000ED000000}"/>
    <cellStyle name="Millares [0] 40" xfId="236" xr:uid="{00000000-0005-0000-0000-0000EE000000}"/>
    <cellStyle name="Millares [0] 41" xfId="237" xr:uid="{00000000-0005-0000-0000-0000EF000000}"/>
    <cellStyle name="Millares [0] 42" xfId="238" xr:uid="{00000000-0005-0000-0000-0000F0000000}"/>
    <cellStyle name="Millares [0] 43" xfId="239" xr:uid="{00000000-0005-0000-0000-0000F1000000}"/>
    <cellStyle name="Millares [0] 44" xfId="240" xr:uid="{00000000-0005-0000-0000-0000F2000000}"/>
    <cellStyle name="Millares [0] 45" xfId="241" xr:uid="{00000000-0005-0000-0000-0000F3000000}"/>
    <cellStyle name="Millares [0] 46" xfId="242" xr:uid="{00000000-0005-0000-0000-0000F4000000}"/>
    <cellStyle name="Millares [0] 47" xfId="243" xr:uid="{00000000-0005-0000-0000-0000F5000000}"/>
    <cellStyle name="Millares [0] 48" xfId="244" xr:uid="{00000000-0005-0000-0000-0000F6000000}"/>
    <cellStyle name="Millares [0] 49" xfId="245" xr:uid="{00000000-0005-0000-0000-0000F7000000}"/>
    <cellStyle name="Millares [0] 5" xfId="246" xr:uid="{00000000-0005-0000-0000-0000F8000000}"/>
    <cellStyle name="Millares [0] 50" xfId="247" xr:uid="{00000000-0005-0000-0000-0000F9000000}"/>
    <cellStyle name="Millares [0] 51" xfId="248" xr:uid="{00000000-0005-0000-0000-0000FA000000}"/>
    <cellStyle name="Millares [0] 52" xfId="249" xr:uid="{00000000-0005-0000-0000-0000FB000000}"/>
    <cellStyle name="Millares [0] 53" xfId="250" xr:uid="{00000000-0005-0000-0000-0000FC000000}"/>
    <cellStyle name="Millares [0] 54" xfId="251" xr:uid="{00000000-0005-0000-0000-0000FD000000}"/>
    <cellStyle name="Millares [0] 55" xfId="252" xr:uid="{00000000-0005-0000-0000-0000FE000000}"/>
    <cellStyle name="Millares [0] 56" xfId="253" xr:uid="{00000000-0005-0000-0000-0000FF000000}"/>
    <cellStyle name="Millares [0] 57" xfId="254" xr:uid="{00000000-0005-0000-0000-000000010000}"/>
    <cellStyle name="Millares [0] 6" xfId="255" xr:uid="{00000000-0005-0000-0000-000001010000}"/>
    <cellStyle name="Millares [0] 7" xfId="256" xr:uid="{00000000-0005-0000-0000-000002010000}"/>
    <cellStyle name="Millares [0] 8" xfId="257" xr:uid="{00000000-0005-0000-0000-000003010000}"/>
    <cellStyle name="Millares [0] 9" xfId="258" xr:uid="{00000000-0005-0000-0000-000004010000}"/>
    <cellStyle name="Millares 10" xfId="92" xr:uid="{00000000-0005-0000-0000-00005E000000}"/>
    <cellStyle name="Millares 106" xfId="93" xr:uid="{00000000-0005-0000-0000-00005F000000}"/>
    <cellStyle name="Millares 11" xfId="94" xr:uid="{00000000-0005-0000-0000-000060000000}"/>
    <cellStyle name="Millares 12" xfId="95" xr:uid="{00000000-0005-0000-0000-000061000000}"/>
    <cellStyle name="Millares 13" xfId="96" xr:uid="{00000000-0005-0000-0000-000062000000}"/>
    <cellStyle name="Millares 14" xfId="97" xr:uid="{00000000-0005-0000-0000-000063000000}"/>
    <cellStyle name="Millares 15" xfId="98" xr:uid="{00000000-0005-0000-0000-000064000000}"/>
    <cellStyle name="Millares 16" xfId="99" xr:uid="{00000000-0005-0000-0000-000065000000}"/>
    <cellStyle name="Millares 16 2" xfId="100" xr:uid="{00000000-0005-0000-0000-000066000000}"/>
    <cellStyle name="Millares 16 2 2" xfId="101" xr:uid="{00000000-0005-0000-0000-000067000000}"/>
    <cellStyle name="Millares 17" xfId="102" xr:uid="{00000000-0005-0000-0000-000068000000}"/>
    <cellStyle name="Millares 17 2" xfId="103" xr:uid="{00000000-0005-0000-0000-000069000000}"/>
    <cellStyle name="Millares 17 2 2" xfId="104" xr:uid="{00000000-0005-0000-0000-00006A000000}"/>
    <cellStyle name="Millares 17_R8-001 Papeles de Trabajo 2009 betsy" xfId="105" xr:uid="{00000000-0005-0000-0000-00006B000000}"/>
    <cellStyle name="Millares 18" xfId="106" xr:uid="{00000000-0005-0000-0000-00006C000000}"/>
    <cellStyle name="Millares 18 2" xfId="107" xr:uid="{00000000-0005-0000-0000-00006D000000}"/>
    <cellStyle name="Millares 19" xfId="108" xr:uid="{00000000-0005-0000-0000-00006E000000}"/>
    <cellStyle name="Millares 2" xfId="109" xr:uid="{00000000-0005-0000-0000-00006F000000}"/>
    <cellStyle name="Millares 2 2" xfId="110" xr:uid="{00000000-0005-0000-0000-000070000000}"/>
    <cellStyle name="Millares 2 3" xfId="111" xr:uid="{00000000-0005-0000-0000-000071000000}"/>
    <cellStyle name="Millares 2_Cédulas 12-31-2009" xfId="124" xr:uid="{00000000-0005-0000-0000-00007E000000}"/>
    <cellStyle name="Millares 20" xfId="112" xr:uid="{00000000-0005-0000-0000-000072000000}"/>
    <cellStyle name="Millares 21" xfId="113" xr:uid="{00000000-0005-0000-0000-000073000000}"/>
    <cellStyle name="Millares 21 2" xfId="114" xr:uid="{00000000-0005-0000-0000-000074000000}"/>
    <cellStyle name="Millares 21_R8-001 Papeles de Trabajo 2009 betsy" xfId="115" xr:uid="{00000000-0005-0000-0000-000075000000}"/>
    <cellStyle name="Millares 22" xfId="116" xr:uid="{00000000-0005-0000-0000-000076000000}"/>
    <cellStyle name="Millares 23" xfId="117" xr:uid="{00000000-0005-0000-0000-000077000000}"/>
    <cellStyle name="Millares 24" xfId="118" xr:uid="{00000000-0005-0000-0000-000078000000}"/>
    <cellStyle name="Millares 25" xfId="119" xr:uid="{00000000-0005-0000-0000-000079000000}"/>
    <cellStyle name="Millares 26" xfId="120" xr:uid="{00000000-0005-0000-0000-00007A000000}"/>
    <cellStyle name="Millares 27" xfId="121" xr:uid="{00000000-0005-0000-0000-00007B000000}"/>
    <cellStyle name="Millares 28" xfId="122" xr:uid="{00000000-0005-0000-0000-00007C000000}"/>
    <cellStyle name="Millares 29" xfId="123" xr:uid="{00000000-0005-0000-0000-00007D000000}"/>
    <cellStyle name="Millares 3" xfId="125" xr:uid="{00000000-0005-0000-0000-00007F000000}"/>
    <cellStyle name="Millares 3 10" xfId="126" xr:uid="{00000000-0005-0000-0000-000080000000}"/>
    <cellStyle name="Millares 3 11" xfId="127" xr:uid="{00000000-0005-0000-0000-000081000000}"/>
    <cellStyle name="Millares 3 12" xfId="128" xr:uid="{00000000-0005-0000-0000-000082000000}"/>
    <cellStyle name="Millares 3 13" xfId="129" xr:uid="{00000000-0005-0000-0000-000083000000}"/>
    <cellStyle name="Millares 3 14" xfId="130" xr:uid="{00000000-0005-0000-0000-000084000000}"/>
    <cellStyle name="Millares 3 2" xfId="131" xr:uid="{00000000-0005-0000-0000-000085000000}"/>
    <cellStyle name="Millares 3 3" xfId="132" xr:uid="{00000000-0005-0000-0000-000086000000}"/>
    <cellStyle name="Millares 3 4" xfId="133" xr:uid="{00000000-0005-0000-0000-000087000000}"/>
    <cellStyle name="Millares 3 5" xfId="134" xr:uid="{00000000-0005-0000-0000-000088000000}"/>
    <cellStyle name="Millares 3 6" xfId="135" xr:uid="{00000000-0005-0000-0000-000089000000}"/>
    <cellStyle name="Millares 3 7" xfId="136" xr:uid="{00000000-0005-0000-0000-00008A000000}"/>
    <cellStyle name="Millares 3 8" xfId="137" xr:uid="{00000000-0005-0000-0000-00008B000000}"/>
    <cellStyle name="Millares 3 9" xfId="138" xr:uid="{00000000-0005-0000-0000-00008C000000}"/>
    <cellStyle name="Millares 3_Cédulas 12-31-2009" xfId="149" xr:uid="{00000000-0005-0000-0000-000097000000}"/>
    <cellStyle name="Millares 30" xfId="139" xr:uid="{00000000-0005-0000-0000-00008D000000}"/>
    <cellStyle name="Millares 31" xfId="140" xr:uid="{00000000-0005-0000-0000-00008E000000}"/>
    <cellStyle name="Millares 32" xfId="141" xr:uid="{00000000-0005-0000-0000-00008F000000}"/>
    <cellStyle name="Millares 33" xfId="142" xr:uid="{00000000-0005-0000-0000-000090000000}"/>
    <cellStyle name="Millares 34" xfId="143" xr:uid="{00000000-0005-0000-0000-000091000000}"/>
    <cellStyle name="Millares 35" xfId="144" xr:uid="{00000000-0005-0000-0000-000092000000}"/>
    <cellStyle name="Millares 36" xfId="145" xr:uid="{00000000-0005-0000-0000-000093000000}"/>
    <cellStyle name="Millares 37" xfId="146" xr:uid="{00000000-0005-0000-0000-000094000000}"/>
    <cellStyle name="Millares 38" xfId="147" xr:uid="{00000000-0005-0000-0000-000095000000}"/>
    <cellStyle name="Millares 39" xfId="148" xr:uid="{00000000-0005-0000-0000-000096000000}"/>
    <cellStyle name="Millares 4" xfId="150" xr:uid="{00000000-0005-0000-0000-000098000000}"/>
    <cellStyle name="Millares 4 2" xfId="151" xr:uid="{00000000-0005-0000-0000-000099000000}"/>
    <cellStyle name="Millares 4 2 2" xfId="152" xr:uid="{00000000-0005-0000-0000-00009A000000}"/>
    <cellStyle name="Millares 4 3" xfId="153" xr:uid="{00000000-0005-0000-0000-00009B000000}"/>
    <cellStyle name="Millares 4 4" xfId="154" xr:uid="{00000000-0005-0000-0000-00009C000000}"/>
    <cellStyle name="Millares 4 4 2" xfId="155" xr:uid="{00000000-0005-0000-0000-00009D000000}"/>
    <cellStyle name="Millares 4_DIRECTORIO OCTUBRE 2008 REAL (VERSION 3) (3)" xfId="167" xr:uid="{00000000-0005-0000-0000-0000A9000000}"/>
    <cellStyle name="Millares 40" xfId="156" xr:uid="{00000000-0005-0000-0000-00009E000000}"/>
    <cellStyle name="Millares 41" xfId="157" xr:uid="{00000000-0005-0000-0000-00009F000000}"/>
    <cellStyle name="Millares 42" xfId="158" xr:uid="{00000000-0005-0000-0000-0000A0000000}"/>
    <cellStyle name="Millares 43" xfId="159" xr:uid="{00000000-0005-0000-0000-0000A1000000}"/>
    <cellStyle name="Millares 44" xfId="160" xr:uid="{00000000-0005-0000-0000-0000A2000000}"/>
    <cellStyle name="Millares 45" xfId="161" xr:uid="{00000000-0005-0000-0000-0000A3000000}"/>
    <cellStyle name="Millares 46" xfId="162" xr:uid="{00000000-0005-0000-0000-0000A4000000}"/>
    <cellStyle name="Millares 47" xfId="163" xr:uid="{00000000-0005-0000-0000-0000A5000000}"/>
    <cellStyle name="Millares 48" xfId="164" xr:uid="{00000000-0005-0000-0000-0000A6000000}"/>
    <cellStyle name="Millares 49" xfId="165" xr:uid="{00000000-0005-0000-0000-0000A7000000}"/>
    <cellStyle name="Millares 49 2" xfId="166" xr:uid="{00000000-0005-0000-0000-0000A8000000}"/>
    <cellStyle name="Millares 5" xfId="168" xr:uid="{00000000-0005-0000-0000-0000AA000000}"/>
    <cellStyle name="Millares 50" xfId="169" xr:uid="{00000000-0005-0000-0000-0000AB000000}"/>
    <cellStyle name="Millares 50 2" xfId="170" xr:uid="{00000000-0005-0000-0000-0000AC000000}"/>
    <cellStyle name="Millares 51" xfId="171" xr:uid="{00000000-0005-0000-0000-0000AD000000}"/>
    <cellStyle name="Millares 51 2" xfId="172" xr:uid="{00000000-0005-0000-0000-0000AE000000}"/>
    <cellStyle name="Millares 52" xfId="173" xr:uid="{00000000-0005-0000-0000-0000AF000000}"/>
    <cellStyle name="Millares 53" xfId="174" xr:uid="{00000000-0005-0000-0000-0000B0000000}"/>
    <cellStyle name="Millares 54" xfId="175" xr:uid="{00000000-0005-0000-0000-0000B1000000}"/>
    <cellStyle name="Millares 55" xfId="176" xr:uid="{00000000-0005-0000-0000-0000B2000000}"/>
    <cellStyle name="Millares 56" xfId="177" xr:uid="{00000000-0005-0000-0000-0000B3000000}"/>
    <cellStyle name="Millares 57" xfId="178" xr:uid="{00000000-0005-0000-0000-0000B4000000}"/>
    <cellStyle name="Millares 58" xfId="179" xr:uid="{00000000-0005-0000-0000-0000B5000000}"/>
    <cellStyle name="Millares 59" xfId="180" xr:uid="{00000000-0005-0000-0000-0000B6000000}"/>
    <cellStyle name="Millares 6" xfId="181" xr:uid="{00000000-0005-0000-0000-0000B7000000}"/>
    <cellStyle name="Millares 60" xfId="182" xr:uid="{00000000-0005-0000-0000-0000B8000000}"/>
    <cellStyle name="Millares 61" xfId="183" xr:uid="{00000000-0005-0000-0000-0000B9000000}"/>
    <cellStyle name="Millares 62" xfId="184" xr:uid="{00000000-0005-0000-0000-0000BA000000}"/>
    <cellStyle name="Millares 63" xfId="185" xr:uid="{00000000-0005-0000-0000-0000BB000000}"/>
    <cellStyle name="Millares 63 2" xfId="186" xr:uid="{00000000-0005-0000-0000-0000BC000000}"/>
    <cellStyle name="Millares 64" xfId="187" xr:uid="{00000000-0005-0000-0000-0000BD000000}"/>
    <cellStyle name="Millares 65" xfId="188" xr:uid="{00000000-0005-0000-0000-0000BE000000}"/>
    <cellStyle name="Millares 65 2" xfId="189" xr:uid="{00000000-0005-0000-0000-0000BF000000}"/>
    <cellStyle name="Millares 66" xfId="190" xr:uid="{00000000-0005-0000-0000-0000C0000000}"/>
    <cellStyle name="Millares 67" xfId="191" xr:uid="{00000000-0005-0000-0000-0000C1000000}"/>
    <cellStyle name="Millares 68" xfId="192" xr:uid="{00000000-0005-0000-0000-0000C2000000}"/>
    <cellStyle name="Millares 69" xfId="193" xr:uid="{00000000-0005-0000-0000-0000C3000000}"/>
    <cellStyle name="Millares 7" xfId="194" xr:uid="{00000000-0005-0000-0000-0000C4000000}"/>
    <cellStyle name="Millares 7 2" xfId="195" xr:uid="{00000000-0005-0000-0000-0000C5000000}"/>
    <cellStyle name="Millares 7_Cédulas 12-31-2009" xfId="196" xr:uid="{00000000-0005-0000-0000-0000C6000000}"/>
    <cellStyle name="Millares 8" xfId="197" xr:uid="{00000000-0005-0000-0000-0000C7000000}"/>
    <cellStyle name="Millares 8 2" xfId="198" xr:uid="{00000000-0005-0000-0000-0000C8000000}"/>
    <cellStyle name="Millares 9" xfId="199" xr:uid="{00000000-0005-0000-0000-0000C9000000}"/>
    <cellStyle name="Millares 9 2" xfId="200" xr:uid="{00000000-0005-0000-0000-0000CA000000}"/>
    <cellStyle name="Millares 9 2 2" xfId="201" xr:uid="{00000000-0005-0000-0000-0000CB000000}"/>
    <cellStyle name="Millares 9_Cédulas 12-31-2009" xfId="202" xr:uid="{00000000-0005-0000-0000-0000CC000000}"/>
    <cellStyle name="Moneda 2" xfId="259" xr:uid="{00000000-0005-0000-0000-000005010000}"/>
    <cellStyle name="Moneda 3" xfId="260" xr:uid="{00000000-0005-0000-0000-000006010000}"/>
    <cellStyle name="No-definido" xfId="261" xr:uid="{00000000-0005-0000-0000-000007010000}"/>
    <cellStyle name="Normal" xfId="0" builtinId="0"/>
    <cellStyle name="Normal 10" xfId="262" xr:uid="{00000000-0005-0000-0000-000008010000}"/>
    <cellStyle name="Normal 10 2" xfId="263" xr:uid="{00000000-0005-0000-0000-000009010000}"/>
    <cellStyle name="Normal 10 3" xfId="264" xr:uid="{00000000-0005-0000-0000-00000A010000}"/>
    <cellStyle name="Normal 10 4" xfId="265" xr:uid="{00000000-0005-0000-0000-00000B010000}"/>
    <cellStyle name="Normal 10 5" xfId="266" xr:uid="{00000000-0005-0000-0000-00000C010000}"/>
    <cellStyle name="Normal 10 6" xfId="267" xr:uid="{00000000-0005-0000-0000-00000D010000}"/>
    <cellStyle name="Normal 10_R8-001 Papeles de Trabajo 2009 betsy" xfId="268" xr:uid="{00000000-0005-0000-0000-00000E010000}"/>
    <cellStyle name="Normal 11" xfId="269" xr:uid="{00000000-0005-0000-0000-00000F010000}"/>
    <cellStyle name="Normal 11 2" xfId="270" xr:uid="{00000000-0005-0000-0000-000010010000}"/>
    <cellStyle name="Normal 11 3" xfId="271" xr:uid="{00000000-0005-0000-0000-000011010000}"/>
    <cellStyle name="Normal 11 4" xfId="272" xr:uid="{00000000-0005-0000-0000-000012010000}"/>
    <cellStyle name="Normal 11 5" xfId="273" xr:uid="{00000000-0005-0000-0000-000013010000}"/>
    <cellStyle name="Normal 11 6" xfId="274" xr:uid="{00000000-0005-0000-0000-000014010000}"/>
    <cellStyle name="Normal 11 7" xfId="275" xr:uid="{00000000-0005-0000-0000-000015010000}"/>
    <cellStyle name="Normal 12" xfId="276" xr:uid="{00000000-0005-0000-0000-000016010000}"/>
    <cellStyle name="Normal 12 2" xfId="277" xr:uid="{00000000-0005-0000-0000-000017010000}"/>
    <cellStyle name="Normal 12 3" xfId="278" xr:uid="{00000000-0005-0000-0000-000018010000}"/>
    <cellStyle name="Normal 12 4" xfId="279" xr:uid="{00000000-0005-0000-0000-000019010000}"/>
    <cellStyle name="Normal 12 5" xfId="280" xr:uid="{00000000-0005-0000-0000-00001A010000}"/>
    <cellStyle name="Normal 12 6" xfId="281" xr:uid="{00000000-0005-0000-0000-00001B010000}"/>
    <cellStyle name="Normal 13" xfId="282" xr:uid="{00000000-0005-0000-0000-00001C010000}"/>
    <cellStyle name="Normal 13 2" xfId="283" xr:uid="{00000000-0005-0000-0000-00001D010000}"/>
    <cellStyle name="Normal 13 3" xfId="284" xr:uid="{00000000-0005-0000-0000-00001E010000}"/>
    <cellStyle name="Normal 13 4" xfId="285" xr:uid="{00000000-0005-0000-0000-00001F010000}"/>
    <cellStyle name="Normal 13 5" xfId="286" xr:uid="{00000000-0005-0000-0000-000020010000}"/>
    <cellStyle name="Normal 13 6" xfId="287" xr:uid="{00000000-0005-0000-0000-000021010000}"/>
    <cellStyle name="Normal 13_Cédulas 12-31-2009" xfId="288" xr:uid="{00000000-0005-0000-0000-000022010000}"/>
    <cellStyle name="Normal 14" xfId="289" xr:uid="{00000000-0005-0000-0000-000023010000}"/>
    <cellStyle name="Normal 14 2" xfId="290" xr:uid="{00000000-0005-0000-0000-000024010000}"/>
    <cellStyle name="Normal 14 3" xfId="291" xr:uid="{00000000-0005-0000-0000-000025010000}"/>
    <cellStyle name="Normal 14 4" xfId="292" xr:uid="{00000000-0005-0000-0000-000026010000}"/>
    <cellStyle name="Normal 14 5" xfId="293" xr:uid="{00000000-0005-0000-0000-000027010000}"/>
    <cellStyle name="Normal 14 6" xfId="294" xr:uid="{00000000-0005-0000-0000-000028010000}"/>
    <cellStyle name="Normal 15" xfId="295" xr:uid="{00000000-0005-0000-0000-000029010000}"/>
    <cellStyle name="Normal 15 2" xfId="296" xr:uid="{00000000-0005-0000-0000-00002A010000}"/>
    <cellStyle name="Normal 15 3" xfId="297" xr:uid="{00000000-0005-0000-0000-00002B010000}"/>
    <cellStyle name="Normal 15 4" xfId="298" xr:uid="{00000000-0005-0000-0000-00002C010000}"/>
    <cellStyle name="Normal 15 5" xfId="299" xr:uid="{00000000-0005-0000-0000-00002D010000}"/>
    <cellStyle name="Normal 15 6" xfId="300" xr:uid="{00000000-0005-0000-0000-00002E010000}"/>
    <cellStyle name="Normal 16" xfId="301" xr:uid="{00000000-0005-0000-0000-00002F010000}"/>
    <cellStyle name="Normal 16 2" xfId="302" xr:uid="{00000000-0005-0000-0000-000030010000}"/>
    <cellStyle name="Normal 16 3" xfId="303" xr:uid="{00000000-0005-0000-0000-000031010000}"/>
    <cellStyle name="Normal 16 4" xfId="304" xr:uid="{00000000-0005-0000-0000-000032010000}"/>
    <cellStyle name="Normal 16 5" xfId="305" xr:uid="{00000000-0005-0000-0000-000033010000}"/>
    <cellStyle name="Normal 16 6" xfId="306" xr:uid="{00000000-0005-0000-0000-000034010000}"/>
    <cellStyle name="Normal 17" xfId="307" xr:uid="{00000000-0005-0000-0000-000035010000}"/>
    <cellStyle name="Normal 17 2" xfId="308" xr:uid="{00000000-0005-0000-0000-000036010000}"/>
    <cellStyle name="Normal 17 3" xfId="309" xr:uid="{00000000-0005-0000-0000-000037010000}"/>
    <cellStyle name="Normal 17 4" xfId="310" xr:uid="{00000000-0005-0000-0000-000038010000}"/>
    <cellStyle name="Normal 17 5" xfId="311" xr:uid="{00000000-0005-0000-0000-000039010000}"/>
    <cellStyle name="Normal 17 6" xfId="312" xr:uid="{00000000-0005-0000-0000-00003A010000}"/>
    <cellStyle name="Normal 18" xfId="313" xr:uid="{00000000-0005-0000-0000-00003B010000}"/>
    <cellStyle name="Normal 18 2" xfId="314" xr:uid="{00000000-0005-0000-0000-00003C010000}"/>
    <cellStyle name="Normal 18 3" xfId="315" xr:uid="{00000000-0005-0000-0000-00003D010000}"/>
    <cellStyle name="Normal 18 4" xfId="316" xr:uid="{00000000-0005-0000-0000-00003E010000}"/>
    <cellStyle name="Normal 18 5" xfId="317" xr:uid="{00000000-0005-0000-0000-00003F010000}"/>
    <cellStyle name="Normal 18 6" xfId="318" xr:uid="{00000000-0005-0000-0000-000040010000}"/>
    <cellStyle name="Normal 19" xfId="319" xr:uid="{00000000-0005-0000-0000-000041010000}"/>
    <cellStyle name="Normal 19 2" xfId="320" xr:uid="{00000000-0005-0000-0000-000042010000}"/>
    <cellStyle name="Normal 19 3" xfId="321" xr:uid="{00000000-0005-0000-0000-000043010000}"/>
    <cellStyle name="Normal 19 4" xfId="322" xr:uid="{00000000-0005-0000-0000-000044010000}"/>
    <cellStyle name="Normal 19 5" xfId="323" xr:uid="{00000000-0005-0000-0000-000045010000}"/>
    <cellStyle name="Normal 19 6" xfId="324" xr:uid="{00000000-0005-0000-0000-000046010000}"/>
    <cellStyle name="Normal 2" xfId="325" xr:uid="{00000000-0005-0000-0000-000047010000}"/>
    <cellStyle name="Normal 2 10" xfId="326" xr:uid="{00000000-0005-0000-0000-000048010000}"/>
    <cellStyle name="Normal 2 2" xfId="327" xr:uid="{00000000-0005-0000-0000-000049010000}"/>
    <cellStyle name="Normal 2 2 2" xfId="328" xr:uid="{00000000-0005-0000-0000-00004A010000}"/>
    <cellStyle name="Normal 2 2_Cédulas 12-31-2009" xfId="329" xr:uid="{00000000-0005-0000-0000-00004B010000}"/>
    <cellStyle name="Normal 2 3" xfId="330" xr:uid="{00000000-0005-0000-0000-00004C010000}"/>
    <cellStyle name="Normal 2 3 2" xfId="331" xr:uid="{00000000-0005-0000-0000-00004D010000}"/>
    <cellStyle name="Normal 2 4" xfId="332" xr:uid="{00000000-0005-0000-0000-00004E010000}"/>
    <cellStyle name="Normal 2 5" xfId="333" xr:uid="{00000000-0005-0000-0000-00004F010000}"/>
    <cellStyle name="Normal 2 6" xfId="334" xr:uid="{00000000-0005-0000-0000-000050010000}"/>
    <cellStyle name="Normal 2 7" xfId="335" xr:uid="{00000000-0005-0000-0000-000051010000}"/>
    <cellStyle name="Normal 2_AF Y SUELDOS" xfId="392" xr:uid="{00000000-0005-0000-0000-00008A010000}"/>
    <cellStyle name="Normal 20" xfId="336" xr:uid="{00000000-0005-0000-0000-000052010000}"/>
    <cellStyle name="Normal 21" xfId="337" xr:uid="{00000000-0005-0000-0000-000053010000}"/>
    <cellStyle name="Normal 21 2" xfId="338" xr:uid="{00000000-0005-0000-0000-000054010000}"/>
    <cellStyle name="Normal 21 3" xfId="339" xr:uid="{00000000-0005-0000-0000-000055010000}"/>
    <cellStyle name="Normal 21 4" xfId="340" xr:uid="{00000000-0005-0000-0000-000056010000}"/>
    <cellStyle name="Normal 21 5" xfId="341" xr:uid="{00000000-0005-0000-0000-000057010000}"/>
    <cellStyle name="Normal 21 6" xfId="342" xr:uid="{00000000-0005-0000-0000-000058010000}"/>
    <cellStyle name="Normal 22" xfId="343" xr:uid="{00000000-0005-0000-0000-000059010000}"/>
    <cellStyle name="Normal 22 2" xfId="344" xr:uid="{00000000-0005-0000-0000-00005A010000}"/>
    <cellStyle name="Normal 22 3" xfId="345" xr:uid="{00000000-0005-0000-0000-00005B010000}"/>
    <cellStyle name="Normal 22 4" xfId="346" xr:uid="{00000000-0005-0000-0000-00005C010000}"/>
    <cellStyle name="Normal 22 5" xfId="347" xr:uid="{00000000-0005-0000-0000-00005D010000}"/>
    <cellStyle name="Normal 22 6" xfId="348" xr:uid="{00000000-0005-0000-0000-00005E010000}"/>
    <cellStyle name="Normal 23" xfId="349" xr:uid="{00000000-0005-0000-0000-00005F010000}"/>
    <cellStyle name="Normal 23 2" xfId="350" xr:uid="{00000000-0005-0000-0000-000060010000}"/>
    <cellStyle name="Normal 23 3" xfId="351" xr:uid="{00000000-0005-0000-0000-000061010000}"/>
    <cellStyle name="Normal 23 4" xfId="352" xr:uid="{00000000-0005-0000-0000-000062010000}"/>
    <cellStyle name="Normal 23 5" xfId="353" xr:uid="{00000000-0005-0000-0000-000063010000}"/>
    <cellStyle name="Normal 23 6" xfId="354" xr:uid="{00000000-0005-0000-0000-000064010000}"/>
    <cellStyle name="Normal 24" xfId="355" xr:uid="{00000000-0005-0000-0000-000065010000}"/>
    <cellStyle name="Normal 24 2" xfId="356" xr:uid="{00000000-0005-0000-0000-000066010000}"/>
    <cellStyle name="Normal 24 3" xfId="357" xr:uid="{00000000-0005-0000-0000-000067010000}"/>
    <cellStyle name="Normal 24 4" xfId="358" xr:uid="{00000000-0005-0000-0000-000068010000}"/>
    <cellStyle name="Normal 24 5" xfId="359" xr:uid="{00000000-0005-0000-0000-000069010000}"/>
    <cellStyle name="Normal 24 6" xfId="360" xr:uid="{00000000-0005-0000-0000-00006A010000}"/>
    <cellStyle name="Normal 25" xfId="361" xr:uid="{00000000-0005-0000-0000-00006B010000}"/>
    <cellStyle name="Normal 25 2" xfId="362" xr:uid="{00000000-0005-0000-0000-00006C010000}"/>
    <cellStyle name="Normal 25 3" xfId="363" xr:uid="{00000000-0005-0000-0000-00006D010000}"/>
    <cellStyle name="Normal 25 4" xfId="364" xr:uid="{00000000-0005-0000-0000-00006E010000}"/>
    <cellStyle name="Normal 25 5" xfId="365" xr:uid="{00000000-0005-0000-0000-00006F010000}"/>
    <cellStyle name="Normal 25 6" xfId="366" xr:uid="{00000000-0005-0000-0000-000070010000}"/>
    <cellStyle name="Normal 26" xfId="367" xr:uid="{00000000-0005-0000-0000-000071010000}"/>
    <cellStyle name="Normal 26 2" xfId="368" xr:uid="{00000000-0005-0000-0000-000072010000}"/>
    <cellStyle name="Normal 26 3" xfId="369" xr:uid="{00000000-0005-0000-0000-000073010000}"/>
    <cellStyle name="Normal 26 4" xfId="370" xr:uid="{00000000-0005-0000-0000-000074010000}"/>
    <cellStyle name="Normal 26 5" xfId="371" xr:uid="{00000000-0005-0000-0000-000075010000}"/>
    <cellStyle name="Normal 26 6" xfId="372" xr:uid="{00000000-0005-0000-0000-000076010000}"/>
    <cellStyle name="Normal 27" xfId="373" xr:uid="{00000000-0005-0000-0000-000077010000}"/>
    <cellStyle name="Normal 27 2" xfId="374" xr:uid="{00000000-0005-0000-0000-000078010000}"/>
    <cellStyle name="Normal 27 2 3" xfId="375" xr:uid="{00000000-0005-0000-0000-000079010000}"/>
    <cellStyle name="Normal 27 3" xfId="376" xr:uid="{00000000-0005-0000-0000-00007A010000}"/>
    <cellStyle name="Normal 27 4" xfId="377" xr:uid="{00000000-0005-0000-0000-00007B010000}"/>
    <cellStyle name="Normal 27 5" xfId="378" xr:uid="{00000000-0005-0000-0000-00007C010000}"/>
    <cellStyle name="Normal 27 6" xfId="379" xr:uid="{00000000-0005-0000-0000-00007D010000}"/>
    <cellStyle name="Normal 28" xfId="380" xr:uid="{00000000-0005-0000-0000-00007E010000}"/>
    <cellStyle name="Normal 28 2" xfId="381" xr:uid="{00000000-0005-0000-0000-00007F010000}"/>
    <cellStyle name="Normal 28 3" xfId="382" xr:uid="{00000000-0005-0000-0000-000080010000}"/>
    <cellStyle name="Normal 28 4" xfId="383" xr:uid="{00000000-0005-0000-0000-000081010000}"/>
    <cellStyle name="Normal 28 5" xfId="384" xr:uid="{00000000-0005-0000-0000-000082010000}"/>
    <cellStyle name="Normal 28 6" xfId="385" xr:uid="{00000000-0005-0000-0000-000083010000}"/>
    <cellStyle name="Normal 29" xfId="386" xr:uid="{00000000-0005-0000-0000-000084010000}"/>
    <cellStyle name="Normal 29 2" xfId="387" xr:uid="{00000000-0005-0000-0000-000085010000}"/>
    <cellStyle name="Normal 29 3" xfId="388" xr:uid="{00000000-0005-0000-0000-000086010000}"/>
    <cellStyle name="Normal 29 4" xfId="389" xr:uid="{00000000-0005-0000-0000-000087010000}"/>
    <cellStyle name="Normal 29 5" xfId="390" xr:uid="{00000000-0005-0000-0000-000088010000}"/>
    <cellStyle name="Normal 29 6" xfId="391" xr:uid="{00000000-0005-0000-0000-000089010000}"/>
    <cellStyle name="Normal 3" xfId="393" xr:uid="{00000000-0005-0000-0000-00008B010000}"/>
    <cellStyle name="Normal 3 10" xfId="394" xr:uid="{00000000-0005-0000-0000-00008C010000}"/>
    <cellStyle name="Normal 3 11" xfId="395" xr:uid="{00000000-0005-0000-0000-00008D010000}"/>
    <cellStyle name="Normal 3 12" xfId="396" xr:uid="{00000000-0005-0000-0000-00008E010000}"/>
    <cellStyle name="Normal 3 13" xfId="397" xr:uid="{00000000-0005-0000-0000-00008F010000}"/>
    <cellStyle name="Normal 3 2" xfId="398" xr:uid="{00000000-0005-0000-0000-000090010000}"/>
    <cellStyle name="Normal 3 3" xfId="399" xr:uid="{00000000-0005-0000-0000-000091010000}"/>
    <cellStyle name="Normal 3 4" xfId="400" xr:uid="{00000000-0005-0000-0000-000092010000}"/>
    <cellStyle name="Normal 3 5" xfId="401" xr:uid="{00000000-0005-0000-0000-000093010000}"/>
    <cellStyle name="Normal 3 6" xfId="402" xr:uid="{00000000-0005-0000-0000-000094010000}"/>
    <cellStyle name="Normal 3 7" xfId="403" xr:uid="{00000000-0005-0000-0000-000095010000}"/>
    <cellStyle name="Normal 3 8" xfId="404" xr:uid="{00000000-0005-0000-0000-000096010000}"/>
    <cellStyle name="Normal 3 9" xfId="405" xr:uid="{00000000-0005-0000-0000-000097010000}"/>
    <cellStyle name="Normal 3_Cédulas 12-31-2009" xfId="466" xr:uid="{00000000-0005-0000-0000-0000D4010000}"/>
    <cellStyle name="Normal 30" xfId="406" xr:uid="{00000000-0005-0000-0000-000098010000}"/>
    <cellStyle name="Normal 30 2" xfId="407" xr:uid="{00000000-0005-0000-0000-000099010000}"/>
    <cellStyle name="Normal 30 3" xfId="408" xr:uid="{00000000-0005-0000-0000-00009A010000}"/>
    <cellStyle name="Normal 30 4" xfId="409" xr:uid="{00000000-0005-0000-0000-00009B010000}"/>
    <cellStyle name="Normal 30 5" xfId="410" xr:uid="{00000000-0005-0000-0000-00009C010000}"/>
    <cellStyle name="Normal 30 6" xfId="411" xr:uid="{00000000-0005-0000-0000-00009D010000}"/>
    <cellStyle name="Normal 31" xfId="412" xr:uid="{00000000-0005-0000-0000-00009E010000}"/>
    <cellStyle name="Normal 31 2" xfId="413" xr:uid="{00000000-0005-0000-0000-00009F010000}"/>
    <cellStyle name="Normal 31 3" xfId="414" xr:uid="{00000000-0005-0000-0000-0000A0010000}"/>
    <cellStyle name="Normal 31 4" xfId="415" xr:uid="{00000000-0005-0000-0000-0000A1010000}"/>
    <cellStyle name="Normal 31 5" xfId="416" xr:uid="{00000000-0005-0000-0000-0000A2010000}"/>
    <cellStyle name="Normal 31 6" xfId="417" xr:uid="{00000000-0005-0000-0000-0000A3010000}"/>
    <cellStyle name="Normal 32" xfId="418" xr:uid="{00000000-0005-0000-0000-0000A4010000}"/>
    <cellStyle name="Normal 32 2" xfId="419" xr:uid="{00000000-0005-0000-0000-0000A5010000}"/>
    <cellStyle name="Normal 32 3" xfId="420" xr:uid="{00000000-0005-0000-0000-0000A6010000}"/>
    <cellStyle name="Normal 32 4" xfId="421" xr:uid="{00000000-0005-0000-0000-0000A7010000}"/>
    <cellStyle name="Normal 32 5" xfId="422" xr:uid="{00000000-0005-0000-0000-0000A8010000}"/>
    <cellStyle name="Normal 32 6" xfId="423" xr:uid="{00000000-0005-0000-0000-0000A9010000}"/>
    <cellStyle name="Normal 33" xfId="424" xr:uid="{00000000-0005-0000-0000-0000AA010000}"/>
    <cellStyle name="Normal 33 2" xfId="425" xr:uid="{00000000-0005-0000-0000-0000AB010000}"/>
    <cellStyle name="Normal 33 3" xfId="426" xr:uid="{00000000-0005-0000-0000-0000AC010000}"/>
    <cellStyle name="Normal 33 4" xfId="427" xr:uid="{00000000-0005-0000-0000-0000AD010000}"/>
    <cellStyle name="Normal 33 5" xfId="428" xr:uid="{00000000-0005-0000-0000-0000AE010000}"/>
    <cellStyle name="Normal 33 6" xfId="429" xr:uid="{00000000-0005-0000-0000-0000AF010000}"/>
    <cellStyle name="Normal 34" xfId="430" xr:uid="{00000000-0005-0000-0000-0000B0010000}"/>
    <cellStyle name="Normal 34 2" xfId="431" xr:uid="{00000000-0005-0000-0000-0000B1010000}"/>
    <cellStyle name="Normal 34 3" xfId="432" xr:uid="{00000000-0005-0000-0000-0000B2010000}"/>
    <cellStyle name="Normal 34 4" xfId="433" xr:uid="{00000000-0005-0000-0000-0000B3010000}"/>
    <cellStyle name="Normal 34 5" xfId="434" xr:uid="{00000000-0005-0000-0000-0000B4010000}"/>
    <cellStyle name="Normal 34 6" xfId="435" xr:uid="{00000000-0005-0000-0000-0000B5010000}"/>
    <cellStyle name="Normal 35" xfId="436" xr:uid="{00000000-0005-0000-0000-0000B6010000}"/>
    <cellStyle name="Normal 35 2" xfId="437" xr:uid="{00000000-0005-0000-0000-0000B7010000}"/>
    <cellStyle name="Normal 35 3" xfId="438" xr:uid="{00000000-0005-0000-0000-0000B8010000}"/>
    <cellStyle name="Normal 35 4" xfId="439" xr:uid="{00000000-0005-0000-0000-0000B9010000}"/>
    <cellStyle name="Normal 35 5" xfId="440" xr:uid="{00000000-0005-0000-0000-0000BA010000}"/>
    <cellStyle name="Normal 35 6" xfId="441" xr:uid="{00000000-0005-0000-0000-0000BB010000}"/>
    <cellStyle name="Normal 36" xfId="442" xr:uid="{00000000-0005-0000-0000-0000BC010000}"/>
    <cellStyle name="Normal 36 2" xfId="443" xr:uid="{00000000-0005-0000-0000-0000BD010000}"/>
    <cellStyle name="Normal 36 3" xfId="444" xr:uid="{00000000-0005-0000-0000-0000BE010000}"/>
    <cellStyle name="Normal 36 4" xfId="445" xr:uid="{00000000-0005-0000-0000-0000BF010000}"/>
    <cellStyle name="Normal 36 5" xfId="446" xr:uid="{00000000-0005-0000-0000-0000C0010000}"/>
    <cellStyle name="Normal 36 6" xfId="447" xr:uid="{00000000-0005-0000-0000-0000C1010000}"/>
    <cellStyle name="Normal 37" xfId="448" xr:uid="{00000000-0005-0000-0000-0000C2010000}"/>
    <cellStyle name="Normal 37 2" xfId="449" xr:uid="{00000000-0005-0000-0000-0000C3010000}"/>
    <cellStyle name="Normal 37 3" xfId="450" xr:uid="{00000000-0005-0000-0000-0000C4010000}"/>
    <cellStyle name="Normal 37 4" xfId="451" xr:uid="{00000000-0005-0000-0000-0000C5010000}"/>
    <cellStyle name="Normal 37 5" xfId="452" xr:uid="{00000000-0005-0000-0000-0000C6010000}"/>
    <cellStyle name="Normal 37 6" xfId="453" xr:uid="{00000000-0005-0000-0000-0000C7010000}"/>
    <cellStyle name="Normal 38" xfId="454" xr:uid="{00000000-0005-0000-0000-0000C8010000}"/>
    <cellStyle name="Normal 38 2" xfId="455" xr:uid="{00000000-0005-0000-0000-0000C9010000}"/>
    <cellStyle name="Normal 38 3" xfId="456" xr:uid="{00000000-0005-0000-0000-0000CA010000}"/>
    <cellStyle name="Normal 38 4" xfId="457" xr:uid="{00000000-0005-0000-0000-0000CB010000}"/>
    <cellStyle name="Normal 38 5" xfId="458" xr:uid="{00000000-0005-0000-0000-0000CC010000}"/>
    <cellStyle name="Normal 38 6" xfId="459" xr:uid="{00000000-0005-0000-0000-0000CD010000}"/>
    <cellStyle name="Normal 39" xfId="460" xr:uid="{00000000-0005-0000-0000-0000CE010000}"/>
    <cellStyle name="Normal 39 2" xfId="461" xr:uid="{00000000-0005-0000-0000-0000CF010000}"/>
    <cellStyle name="Normal 39 3" xfId="462" xr:uid="{00000000-0005-0000-0000-0000D0010000}"/>
    <cellStyle name="Normal 39 4" xfId="463" xr:uid="{00000000-0005-0000-0000-0000D1010000}"/>
    <cellStyle name="Normal 39 5" xfId="464" xr:uid="{00000000-0005-0000-0000-0000D2010000}"/>
    <cellStyle name="Normal 39 6" xfId="465" xr:uid="{00000000-0005-0000-0000-0000D3010000}"/>
    <cellStyle name="Normal 4" xfId="467" xr:uid="{00000000-0005-0000-0000-0000D5010000}"/>
    <cellStyle name="Normal 4 2" xfId="468" xr:uid="{00000000-0005-0000-0000-0000D6010000}"/>
    <cellStyle name="Normal 40" xfId="469" xr:uid="{00000000-0005-0000-0000-0000D7010000}"/>
    <cellStyle name="Normal 41" xfId="470" xr:uid="{00000000-0005-0000-0000-0000D8010000}"/>
    <cellStyle name="Normal 41 2" xfId="471" xr:uid="{00000000-0005-0000-0000-0000D9010000}"/>
    <cellStyle name="Normal 41 3" xfId="472" xr:uid="{00000000-0005-0000-0000-0000DA010000}"/>
    <cellStyle name="Normal 41 4" xfId="473" xr:uid="{00000000-0005-0000-0000-0000DB010000}"/>
    <cellStyle name="Normal 41 5" xfId="474" xr:uid="{00000000-0005-0000-0000-0000DC010000}"/>
    <cellStyle name="Normal 41 6" xfId="475" xr:uid="{00000000-0005-0000-0000-0000DD010000}"/>
    <cellStyle name="Normal 42" xfId="476" xr:uid="{00000000-0005-0000-0000-0000DE010000}"/>
    <cellStyle name="Normal 42 2" xfId="477" xr:uid="{00000000-0005-0000-0000-0000DF010000}"/>
    <cellStyle name="Normal 42 3" xfId="478" xr:uid="{00000000-0005-0000-0000-0000E0010000}"/>
    <cellStyle name="Normal 42 4" xfId="479" xr:uid="{00000000-0005-0000-0000-0000E1010000}"/>
    <cellStyle name="Normal 42 5" xfId="480" xr:uid="{00000000-0005-0000-0000-0000E2010000}"/>
    <cellStyle name="Normal 42 6" xfId="481" xr:uid="{00000000-0005-0000-0000-0000E3010000}"/>
    <cellStyle name="Normal 43" xfId="482" xr:uid="{00000000-0005-0000-0000-0000E4010000}"/>
    <cellStyle name="Normal 44" xfId="483" xr:uid="{00000000-0005-0000-0000-0000E5010000}"/>
    <cellStyle name="Normal 45" xfId="484" xr:uid="{00000000-0005-0000-0000-0000E6010000}"/>
    <cellStyle name="Normal 46" xfId="485" xr:uid="{00000000-0005-0000-0000-0000E7010000}"/>
    <cellStyle name="Normal 47" xfId="486" xr:uid="{00000000-0005-0000-0000-0000E8010000}"/>
    <cellStyle name="Normal 47 2" xfId="487" xr:uid="{00000000-0005-0000-0000-0000E9010000}"/>
    <cellStyle name="Normal 48" xfId="488" xr:uid="{00000000-0005-0000-0000-0000EA010000}"/>
    <cellStyle name="Normal 49" xfId="489" xr:uid="{00000000-0005-0000-0000-0000EB010000}"/>
    <cellStyle name="Normal 5" xfId="490" xr:uid="{00000000-0005-0000-0000-0000EC010000}"/>
    <cellStyle name="Normal 5 10" xfId="491" xr:uid="{00000000-0005-0000-0000-0000ED010000}"/>
    <cellStyle name="Normal 5 11" xfId="492" xr:uid="{00000000-0005-0000-0000-0000EE010000}"/>
    <cellStyle name="Normal 5 12" xfId="493" xr:uid="{00000000-0005-0000-0000-0000EF010000}"/>
    <cellStyle name="Normal 5 2" xfId="494" xr:uid="{00000000-0005-0000-0000-0000F0010000}"/>
    <cellStyle name="Normal 5 3" xfId="495" xr:uid="{00000000-0005-0000-0000-0000F1010000}"/>
    <cellStyle name="Normal 5 4" xfId="496" xr:uid="{00000000-0005-0000-0000-0000F2010000}"/>
    <cellStyle name="Normal 5 5" xfId="497" xr:uid="{00000000-0005-0000-0000-0000F3010000}"/>
    <cellStyle name="Normal 5 6" xfId="498" xr:uid="{00000000-0005-0000-0000-0000F4010000}"/>
    <cellStyle name="Normal 5 7" xfId="499" xr:uid="{00000000-0005-0000-0000-0000F5010000}"/>
    <cellStyle name="Normal 5 8" xfId="500" xr:uid="{00000000-0005-0000-0000-0000F6010000}"/>
    <cellStyle name="Normal 5 9" xfId="501" xr:uid="{00000000-0005-0000-0000-0000F7010000}"/>
    <cellStyle name="Normal 5_Prueba de Sueldos 2" xfId="513" xr:uid="{00000000-0005-0000-0000-000003020000}"/>
    <cellStyle name="Normal 50" xfId="502" xr:uid="{00000000-0005-0000-0000-0000F8010000}"/>
    <cellStyle name="Normal 51" xfId="503" xr:uid="{00000000-0005-0000-0000-0000F9010000}"/>
    <cellStyle name="Normal 51 2" xfId="504" xr:uid="{00000000-0005-0000-0000-0000FA010000}"/>
    <cellStyle name="Normal 52" xfId="505" xr:uid="{00000000-0005-0000-0000-0000FB010000}"/>
    <cellStyle name="Normal 53" xfId="506" xr:uid="{00000000-0005-0000-0000-0000FC010000}"/>
    <cellStyle name="Normal 54" xfId="507" xr:uid="{00000000-0005-0000-0000-0000FD010000}"/>
    <cellStyle name="Normal 55" xfId="508" xr:uid="{00000000-0005-0000-0000-0000FE010000}"/>
    <cellStyle name="Normal 56" xfId="509" xr:uid="{00000000-0005-0000-0000-0000FF010000}"/>
    <cellStyle name="Normal 57" xfId="510" xr:uid="{00000000-0005-0000-0000-000000020000}"/>
    <cellStyle name="Normal 58" xfId="511" xr:uid="{00000000-0005-0000-0000-000001020000}"/>
    <cellStyle name="Normal 59" xfId="512" xr:uid="{00000000-0005-0000-0000-000002020000}"/>
    <cellStyle name="Normal 6" xfId="514" xr:uid="{00000000-0005-0000-0000-000004020000}"/>
    <cellStyle name="Normal 6 2" xfId="515" xr:uid="{00000000-0005-0000-0000-000005020000}"/>
    <cellStyle name="Normal 6 3" xfId="516" xr:uid="{00000000-0005-0000-0000-000006020000}"/>
    <cellStyle name="Normal 6 4" xfId="517" xr:uid="{00000000-0005-0000-0000-000007020000}"/>
    <cellStyle name="Normal 6 5" xfId="518" xr:uid="{00000000-0005-0000-0000-000008020000}"/>
    <cellStyle name="Normal 6 6" xfId="519" xr:uid="{00000000-0005-0000-0000-000009020000}"/>
    <cellStyle name="Normal 6 7" xfId="520" xr:uid="{00000000-0005-0000-0000-00000A020000}"/>
    <cellStyle name="Normal 6 8" xfId="521" xr:uid="{00000000-0005-0000-0000-00000B020000}"/>
    <cellStyle name="Normal 6_Prueba de Sueldos 2" xfId="531" xr:uid="{00000000-0005-0000-0000-000015020000}"/>
    <cellStyle name="Normal 60" xfId="522" xr:uid="{00000000-0005-0000-0000-00000C020000}"/>
    <cellStyle name="Normal 61" xfId="523" xr:uid="{00000000-0005-0000-0000-00000D020000}"/>
    <cellStyle name="Normal 62" xfId="524" xr:uid="{00000000-0005-0000-0000-00000E020000}"/>
    <cellStyle name="Normal 63" xfId="525" xr:uid="{00000000-0005-0000-0000-00000F020000}"/>
    <cellStyle name="Normal 63 2" xfId="526" xr:uid="{00000000-0005-0000-0000-000010020000}"/>
    <cellStyle name="Normal 63_prestamos bancarios " xfId="527" xr:uid="{00000000-0005-0000-0000-000011020000}"/>
    <cellStyle name="Normal 64" xfId="528" xr:uid="{00000000-0005-0000-0000-000012020000}"/>
    <cellStyle name="Normal 65" xfId="529" xr:uid="{00000000-0005-0000-0000-000013020000}"/>
    <cellStyle name="Normal 66" xfId="530" xr:uid="{00000000-0005-0000-0000-000014020000}"/>
    <cellStyle name="Normal 7" xfId="532" xr:uid="{00000000-0005-0000-0000-000016020000}"/>
    <cellStyle name="Normal 7 2" xfId="533" xr:uid="{00000000-0005-0000-0000-000017020000}"/>
    <cellStyle name="Normal 7 3" xfId="534" xr:uid="{00000000-0005-0000-0000-000018020000}"/>
    <cellStyle name="Normal 7 4" xfId="535" xr:uid="{00000000-0005-0000-0000-000019020000}"/>
    <cellStyle name="Normal 7 5" xfId="536" xr:uid="{00000000-0005-0000-0000-00001A020000}"/>
    <cellStyle name="Normal 7 6" xfId="537" xr:uid="{00000000-0005-0000-0000-00001B020000}"/>
    <cellStyle name="Normal 8" xfId="538" xr:uid="{00000000-0005-0000-0000-00001C020000}"/>
    <cellStyle name="Normal 8 2" xfId="539" xr:uid="{00000000-0005-0000-0000-00001D020000}"/>
    <cellStyle name="Normal 8 3" xfId="540" xr:uid="{00000000-0005-0000-0000-00001E020000}"/>
    <cellStyle name="Normal 8 4" xfId="541" xr:uid="{00000000-0005-0000-0000-00001F020000}"/>
    <cellStyle name="Normal 8 5" xfId="542" xr:uid="{00000000-0005-0000-0000-000020020000}"/>
    <cellStyle name="Normal 8 6" xfId="543" xr:uid="{00000000-0005-0000-0000-000021020000}"/>
    <cellStyle name="Normal 8_R8-001 Papeles de Trabajo 2009 betsy" xfId="545" xr:uid="{00000000-0005-0000-0000-000023020000}"/>
    <cellStyle name="Normal 80" xfId="544" xr:uid="{00000000-0005-0000-0000-000022020000}"/>
    <cellStyle name="Normal 9" xfId="546" xr:uid="{00000000-0005-0000-0000-000024020000}"/>
    <cellStyle name="Normal 9 2" xfId="547" xr:uid="{00000000-0005-0000-0000-000025020000}"/>
    <cellStyle name="Normal 9 3" xfId="548" xr:uid="{00000000-0005-0000-0000-000026020000}"/>
    <cellStyle name="Normal 9 4" xfId="549" xr:uid="{00000000-0005-0000-0000-000027020000}"/>
    <cellStyle name="Normal 9 5" xfId="550" xr:uid="{00000000-0005-0000-0000-000028020000}"/>
    <cellStyle name="Normal 9 6" xfId="551" xr:uid="{00000000-0005-0000-0000-000029020000}"/>
    <cellStyle name="Normal 9_Cédulas 12-31-2009" xfId="552" xr:uid="{00000000-0005-0000-0000-00002A020000}"/>
    <cellStyle name="Percent" xfId="3" builtinId="5"/>
    <cellStyle name="PESO" xfId="553" xr:uid="{00000000-0005-0000-0000-00002B020000}"/>
    <cellStyle name="PESO 2" xfId="554" xr:uid="{00000000-0005-0000-0000-00002C020000}"/>
    <cellStyle name="PESO 3" xfId="555" xr:uid="{00000000-0005-0000-0000-00002D020000}"/>
    <cellStyle name="PESO 4" xfId="556" xr:uid="{00000000-0005-0000-0000-00002E020000}"/>
    <cellStyle name="PESO 5" xfId="557" xr:uid="{00000000-0005-0000-0000-00002F020000}"/>
    <cellStyle name="PESO 6" xfId="558" xr:uid="{00000000-0005-0000-0000-000030020000}"/>
    <cellStyle name="PESO_Cédulas 12-31-2009" xfId="559" xr:uid="{00000000-0005-0000-0000-000031020000}"/>
    <cellStyle name="Piloto de Datos Ángulo" xfId="564" xr:uid="{00000000-0005-0000-0000-000036020000}"/>
    <cellStyle name="Piloto de Datos Campo" xfId="560" xr:uid="{00000000-0005-0000-0000-000032020000}"/>
    <cellStyle name="Piloto de Datos Resultado" xfId="561" xr:uid="{00000000-0005-0000-0000-000033020000}"/>
    <cellStyle name="Piloto de Datos Título" xfId="562" xr:uid="{00000000-0005-0000-0000-000034020000}"/>
    <cellStyle name="Piloto de Datos Valor" xfId="563" xr:uid="{00000000-0005-0000-0000-000035020000}"/>
    <cellStyle name="Porcentaje 2" xfId="565" xr:uid="{00000000-0005-0000-0000-000037020000}"/>
    <cellStyle name="Porcentual 10" xfId="566" xr:uid="{00000000-0005-0000-0000-000038020000}"/>
    <cellStyle name="Porcentual 2" xfId="567" xr:uid="{00000000-0005-0000-0000-000039020000}"/>
    <cellStyle name="Porcentual 2 2" xfId="568" xr:uid="{00000000-0005-0000-0000-00003A020000}"/>
    <cellStyle name="Porcentual 2 2 2" xfId="569" xr:uid="{00000000-0005-0000-0000-00003B020000}"/>
    <cellStyle name="Porcentual 2 3" xfId="570" xr:uid="{00000000-0005-0000-0000-00003C020000}"/>
    <cellStyle name="Porcentual 3" xfId="571" xr:uid="{00000000-0005-0000-0000-00003D020000}"/>
    <cellStyle name="Porcentual 3 2" xfId="572" xr:uid="{00000000-0005-0000-0000-00003E020000}"/>
    <cellStyle name="Porcentual 3 3" xfId="573" xr:uid="{00000000-0005-0000-0000-00003F020000}"/>
    <cellStyle name="Porcentual 3 4" xfId="574" xr:uid="{00000000-0005-0000-0000-000040020000}"/>
    <cellStyle name="Porcentual 4" xfId="575" xr:uid="{00000000-0005-0000-0000-000041020000}"/>
    <cellStyle name="Porcentual 5" xfId="576" xr:uid="{00000000-0005-0000-0000-000042020000}"/>
    <cellStyle name="Porcentual 6" xfId="577" xr:uid="{00000000-0005-0000-0000-000043020000}"/>
    <cellStyle name="Porcentual 7" xfId="578" xr:uid="{00000000-0005-0000-0000-000044020000}"/>
    <cellStyle name="Porcentual 8" xfId="579" xr:uid="{00000000-0005-0000-0000-000045020000}"/>
    <cellStyle name="Porcentual 8 2" xfId="580" xr:uid="{00000000-0005-0000-0000-000046020000}"/>
    <cellStyle name="Porcentual 9" xfId="581" xr:uid="{00000000-0005-0000-0000-000047020000}"/>
    <cellStyle name="STYLE1" xfId="582" xr:uid="{00000000-0005-0000-0000-000048020000}"/>
    <cellStyle name="STYLE2" xfId="583" xr:uid="{00000000-0005-0000-0000-000049020000}"/>
    <cellStyle name="STYLE3" xfId="584" xr:uid="{00000000-0005-0000-0000-00004A020000}"/>
    <cellStyle name="STYLE4" xfId="585" xr:uid="{00000000-0005-0000-0000-00004B02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92D05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C9211E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Escritorio/CPAALMEIDA/telconet/home/stefita/Escritorio/CPAALMEIDA/telconet/Users/malmeida/AppData/Local/Microsoft/Windows/Temporary%20Internet%20Files/Content.Outlook/UNUCO3KS/Plantilla%20Telconet%20y%20Subsidiarias%202015%20-%20copia.xlsx?EB8E4A83" TargetMode="External"/><Relationship Id="rId1" Type="http://schemas.openxmlformats.org/officeDocument/2006/relationships/externalLinkPath" Target="file:///\\EB8E4A83\Plantilla%20Telconet%20y%20Subsidiarias%202015%20-%20cop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do%20Telconet%20&amp;%20Subsidiarias%202019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F - ERI"/>
      <sheetName val="EF Informe"/>
      <sheetName val="PyG Informe"/>
      <sheetName val="Estado de Cambios en el Patr."/>
      <sheetName val="Diario 2015 (a)"/>
      <sheetName val="Diarios Cxc Cxp relac (c)"/>
      <sheetName val="Ventas-Compras (d)"/>
      <sheetName val="Asientos - para Consolidado"/>
      <sheetName val="PNC"/>
      <sheetName val="Hoja2"/>
      <sheetName val="Variación Patrimonio 2017-2016"/>
      <sheetName val="Variación Patrimonio 2018-2017"/>
      <sheetName val="Inversiones"/>
      <sheetName val="Participaciones"/>
      <sheetName val="Saldos interco."/>
      <sheetName val="Planilla final"/>
      <sheetName val="AD ESF"/>
      <sheetName val="AD ERI"/>
      <sheetName val="ESF19"/>
      <sheetName val="ERI19"/>
      <sheetName val="ECP19"/>
      <sheetName val="PAT19"/>
      <sheetName val="EFE19"/>
      <sheetName val="Planilla Final 2017"/>
      <sheetName val="Participaciones 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9">
          <cell r="C9">
            <v>1812247</v>
          </cell>
        </row>
      </sheetData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5"/>
  <sheetViews>
    <sheetView topLeftCell="A46" zoomScale="80" zoomScaleNormal="80" workbookViewId="0">
      <selection activeCell="J18" sqref="J18"/>
    </sheetView>
  </sheetViews>
  <sheetFormatPr defaultColWidth="11.7109375" defaultRowHeight="15"/>
  <cols>
    <col min="1" max="1" width="47.7109375" customWidth="1"/>
    <col min="2" max="2" width="17.7109375" hidden="1" customWidth="1"/>
    <col min="3" max="3" width="23.140625" hidden="1" customWidth="1"/>
    <col min="4" max="14" width="17.7109375" hidden="1" customWidth="1"/>
    <col min="15" max="15" width="9.5703125" hidden="1" customWidth="1"/>
    <col min="16" max="17" width="14.140625" hidden="1" customWidth="1"/>
    <col min="18" max="18" width="28" hidden="1" customWidth="1"/>
    <col min="19" max="19" width="23.42578125" customWidth="1"/>
    <col min="20" max="20" width="20.42578125" customWidth="1"/>
    <col min="21" max="21" width="21.140625" customWidth="1"/>
    <col min="22" max="22" width="18" customWidth="1"/>
    <col min="23" max="24" width="16.85546875" customWidth="1"/>
    <col min="25" max="25" width="12.5703125" customWidth="1"/>
    <col min="26" max="26" width="15.85546875" customWidth="1"/>
    <col min="27" max="27" width="16.28515625" customWidth="1"/>
    <col min="28" max="30" width="14.28515625" customWidth="1"/>
    <col min="31" max="31" width="18" customWidth="1"/>
    <col min="32" max="32" width="8.28515625" customWidth="1"/>
    <col min="33" max="33" width="15.85546875" customWidth="1"/>
    <col min="34" max="34" width="15.28515625" customWidth="1"/>
    <col min="35" max="35" width="17.42578125" customWidth="1"/>
    <col min="36" max="36" width="17.42578125" hidden="1" customWidth="1"/>
    <col min="37" max="37" width="19" hidden="1" customWidth="1"/>
    <col min="38" max="38" width="14.28515625" customWidth="1"/>
    <col min="39" max="39" width="14.42578125" customWidth="1"/>
    <col min="41" max="41" width="14" customWidth="1"/>
    <col min="42" max="42" width="13.28515625" customWidth="1"/>
  </cols>
  <sheetData>
    <row r="1" spans="1:41">
      <c r="A1" s="1" t="s">
        <v>0</v>
      </c>
      <c r="C1" s="1"/>
      <c r="E1" s="1"/>
      <c r="F1" s="1"/>
      <c r="G1" s="2"/>
      <c r="H1" s="2"/>
      <c r="I1" s="2"/>
      <c r="J1" s="2"/>
      <c r="K1" s="2"/>
      <c r="L1" s="2"/>
      <c r="M1" s="2"/>
      <c r="N1" s="2"/>
      <c r="P1" s="3"/>
      <c r="Q1" s="2"/>
      <c r="R1" s="2"/>
      <c r="T1" s="4"/>
      <c r="AJ1" s="2"/>
      <c r="AK1" s="2"/>
    </row>
    <row r="2" spans="1:41">
      <c r="A2" s="5" t="s">
        <v>1</v>
      </c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2"/>
      <c r="Q2" s="2"/>
      <c r="R2" s="2"/>
      <c r="T2" s="6"/>
      <c r="AJ2" s="2"/>
      <c r="AK2" s="2"/>
    </row>
    <row r="3" spans="1:41" ht="24.75" customHeight="1">
      <c r="A3" s="7"/>
      <c r="C3" s="7"/>
      <c r="F3" s="8"/>
      <c r="G3" s="4"/>
      <c r="P3" s="1059" t="s">
        <v>2</v>
      </c>
      <c r="Q3" s="1059"/>
      <c r="V3" s="4"/>
      <c r="AG3" s="1059" t="s">
        <v>2</v>
      </c>
      <c r="AH3" s="1059"/>
    </row>
    <row r="4" spans="1:41" ht="78" customHeight="1">
      <c r="A4" s="9" t="s">
        <v>3</v>
      </c>
      <c r="B4" s="10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16</v>
      </c>
      <c r="AF4" s="10" t="s">
        <v>17</v>
      </c>
      <c r="AG4" s="10" t="s">
        <v>18</v>
      </c>
      <c r="AH4" s="10" t="s">
        <v>19</v>
      </c>
      <c r="AI4" s="10" t="s">
        <v>33</v>
      </c>
      <c r="AJ4" s="10" t="s">
        <v>5</v>
      </c>
      <c r="AK4" s="10" t="s">
        <v>34</v>
      </c>
    </row>
    <row r="5" spans="1:41" s="16" customFormat="1" ht="15.75" customHeight="1">
      <c r="A5" s="11" t="s">
        <v>35</v>
      </c>
      <c r="B5" s="12">
        <v>2767055</v>
      </c>
      <c r="C5" s="13">
        <f t="shared" ref="C5:C25" si="0">D5-B5</f>
        <v>0</v>
      </c>
      <c r="D5" s="12">
        <v>2767055</v>
      </c>
      <c r="E5" s="12">
        <v>11901</v>
      </c>
      <c r="F5" s="12">
        <v>2651.43</v>
      </c>
      <c r="G5" s="12">
        <v>67392.38</v>
      </c>
      <c r="H5" s="12">
        <v>914.33</v>
      </c>
      <c r="I5" s="12">
        <v>0</v>
      </c>
      <c r="J5" s="12">
        <v>0</v>
      </c>
      <c r="K5" s="12">
        <v>10000</v>
      </c>
      <c r="L5" s="12">
        <v>0</v>
      </c>
      <c r="M5" s="12">
        <v>800</v>
      </c>
      <c r="N5" s="14">
        <f t="shared" ref="N5:N25" si="1">SUM(D5:M5)</f>
        <v>2860714.14</v>
      </c>
      <c r="O5" s="15"/>
      <c r="P5" s="12"/>
      <c r="Q5" s="12"/>
      <c r="R5" s="12">
        <f t="shared" ref="R5:R25" si="2">N5+P5-Q5</f>
        <v>2860714.14</v>
      </c>
      <c r="S5" s="12">
        <v>1607132</v>
      </c>
      <c r="T5" s="12">
        <v>42926</v>
      </c>
      <c r="U5" s="12">
        <v>6856</v>
      </c>
      <c r="V5" s="12">
        <v>2227</v>
      </c>
      <c r="W5" s="12">
        <v>3845</v>
      </c>
      <c r="X5" s="12">
        <v>0</v>
      </c>
      <c r="Y5" s="12">
        <v>0</v>
      </c>
      <c r="Z5" s="12">
        <v>10000</v>
      </c>
      <c r="AA5" s="12">
        <v>0</v>
      </c>
      <c r="AB5" s="12">
        <v>5631</v>
      </c>
      <c r="AC5" s="12">
        <v>10301</v>
      </c>
      <c r="AD5" s="12">
        <v>53644</v>
      </c>
      <c r="AE5" s="14">
        <f t="shared" ref="AE5:AE25" si="3">SUM(S5:AD5)</f>
        <v>1742562</v>
      </c>
      <c r="AF5" s="15"/>
      <c r="AG5" s="12"/>
      <c r="AH5" s="12"/>
      <c r="AI5" s="12">
        <f t="shared" ref="AI5:AI25" si="4">AE5+AG5-AH5</f>
        <v>1742562</v>
      </c>
      <c r="AJ5" s="12">
        <f t="shared" ref="AJ5:AJ26" si="5">AI5-AK5</f>
        <v>-1118152</v>
      </c>
      <c r="AK5" s="12">
        <v>2860714</v>
      </c>
    </row>
    <row r="6" spans="1:41" s="16" customFormat="1" ht="27.75" customHeight="1">
      <c r="A6" s="11" t="s">
        <v>36</v>
      </c>
      <c r="B6" s="12">
        <v>1874777</v>
      </c>
      <c r="C6" s="13">
        <f t="shared" si="0"/>
        <v>0</v>
      </c>
      <c r="D6" s="12">
        <v>1874777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4">
        <f t="shared" si="1"/>
        <v>1874777</v>
      </c>
      <c r="O6" s="15"/>
      <c r="P6" s="12"/>
      <c r="Q6" s="12"/>
      <c r="R6" s="12">
        <f t="shared" si="2"/>
        <v>1874777</v>
      </c>
      <c r="S6" s="12">
        <v>2644455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4">
        <f t="shared" si="3"/>
        <v>2644455</v>
      </c>
      <c r="AF6" s="15"/>
      <c r="AG6" s="12"/>
      <c r="AH6" s="12"/>
      <c r="AI6" s="12">
        <f t="shared" si="4"/>
        <v>2644455</v>
      </c>
      <c r="AJ6" s="12">
        <f t="shared" si="5"/>
        <v>769678</v>
      </c>
      <c r="AK6" s="12">
        <v>1874777</v>
      </c>
    </row>
    <row r="7" spans="1:41" s="16" customFormat="1" ht="26.25" customHeight="1">
      <c r="A7" s="11" t="s">
        <v>37</v>
      </c>
      <c r="B7" s="12">
        <v>4274933</v>
      </c>
      <c r="C7" s="13">
        <f t="shared" si="0"/>
        <v>0</v>
      </c>
      <c r="D7" s="12">
        <v>4274933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4">
        <f t="shared" si="1"/>
        <v>4274933</v>
      </c>
      <c r="O7" s="15"/>
      <c r="P7" s="12"/>
      <c r="Q7" s="12"/>
      <c r="R7" s="12">
        <f t="shared" si="2"/>
        <v>4274933</v>
      </c>
      <c r="S7" s="12">
        <v>102620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4">
        <f t="shared" si="3"/>
        <v>102620</v>
      </c>
      <c r="AF7" s="15"/>
      <c r="AG7" s="12"/>
      <c r="AH7" s="12"/>
      <c r="AI7" s="12">
        <f t="shared" si="4"/>
        <v>102620</v>
      </c>
      <c r="AJ7" s="12">
        <f t="shared" si="5"/>
        <v>-4172313</v>
      </c>
      <c r="AK7" s="12">
        <v>4274933</v>
      </c>
    </row>
    <row r="8" spans="1:41" s="16" customFormat="1" ht="15.75" customHeight="1">
      <c r="A8" s="11" t="s">
        <v>38</v>
      </c>
      <c r="B8" s="12">
        <v>18677464</v>
      </c>
      <c r="C8" s="13">
        <f t="shared" si="0"/>
        <v>0</v>
      </c>
      <c r="D8" s="12">
        <v>18677464</v>
      </c>
      <c r="E8" s="12">
        <v>0</v>
      </c>
      <c r="F8" s="12">
        <v>0</v>
      </c>
      <c r="G8" s="12">
        <v>0</v>
      </c>
      <c r="H8" s="12">
        <f>13716.03-435.11</f>
        <v>13280.92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4">
        <f t="shared" si="1"/>
        <v>18690744.920000002</v>
      </c>
      <c r="O8" s="15"/>
      <c r="P8" s="12"/>
      <c r="Q8" s="12"/>
      <c r="R8" s="12">
        <f t="shared" si="2"/>
        <v>18690744.920000002</v>
      </c>
      <c r="S8" s="17">
        <v>10565005</v>
      </c>
      <c r="T8" s="12">
        <v>4461516</v>
      </c>
      <c r="U8" s="12">
        <v>273861</v>
      </c>
      <c r="V8" s="12">
        <v>0</v>
      </c>
      <c r="W8" s="12">
        <v>18892</v>
      </c>
      <c r="X8" s="12">
        <v>0</v>
      </c>
      <c r="Y8" s="12">
        <v>0</v>
      </c>
      <c r="Z8" s="12">
        <v>0</v>
      </c>
      <c r="AA8" s="12">
        <v>0</v>
      </c>
      <c r="AB8" s="12">
        <v>41672</v>
      </c>
      <c r="AC8" s="12">
        <f>81977-46414</f>
        <v>35563</v>
      </c>
      <c r="AD8" s="12">
        <v>166895</v>
      </c>
      <c r="AE8" s="14">
        <f t="shared" si="3"/>
        <v>15563404</v>
      </c>
      <c r="AF8" s="15" t="s">
        <v>39</v>
      </c>
      <c r="AG8" s="12"/>
      <c r="AH8" s="12">
        <f>+'Diarios Cxc Cxp relac (c)'!E36</f>
        <v>0</v>
      </c>
      <c r="AI8" s="12">
        <f t="shared" si="4"/>
        <v>15563404</v>
      </c>
      <c r="AJ8" s="12">
        <f t="shared" si="5"/>
        <v>-3127341</v>
      </c>
      <c r="AK8" s="12">
        <v>18690745</v>
      </c>
      <c r="AL8" s="16">
        <v>2620913.81</v>
      </c>
      <c r="AM8" s="18">
        <f>T8-AL8</f>
        <v>1840602.19</v>
      </c>
    </row>
    <row r="9" spans="1:41" s="24" customFormat="1">
      <c r="A9" s="19" t="s">
        <v>40</v>
      </c>
      <c r="B9" s="20">
        <v>7836813</v>
      </c>
      <c r="C9" s="21">
        <f t="shared" si="0"/>
        <v>505882</v>
      </c>
      <c r="D9" s="20">
        <v>8342695</v>
      </c>
      <c r="E9" s="20">
        <v>116867</v>
      </c>
      <c r="F9" s="20">
        <f>900.42+10742.79</f>
        <v>11643.210000000001</v>
      </c>
      <c r="G9" s="20">
        <v>1646872.1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2">
        <f t="shared" si="1"/>
        <v>10118077.310000001</v>
      </c>
      <c r="O9" s="23" t="s">
        <v>41</v>
      </c>
      <c r="P9" s="20"/>
      <c r="Q9" s="20">
        <f>+'Asientos - para Consolidado'!E69+'Asientos - para Consolidado'!E66+'Asientos - para Consolidado'!E67+'Asientos - para Consolidado'!E68+'Asientos - para Consolidado'!E70</f>
        <v>6488095.8899999997</v>
      </c>
      <c r="R9" s="20">
        <f t="shared" si="2"/>
        <v>3629981.4200000009</v>
      </c>
      <c r="S9" s="20">
        <v>32908556</v>
      </c>
      <c r="T9" s="20">
        <v>2044176</v>
      </c>
      <c r="U9" s="20">
        <v>717537</v>
      </c>
      <c r="V9" s="20">
        <v>990080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10000</v>
      </c>
      <c r="AE9" s="22">
        <f t="shared" si="3"/>
        <v>36670349</v>
      </c>
      <c r="AF9" s="23" t="s">
        <v>39</v>
      </c>
      <c r="AG9" s="20"/>
      <c r="AH9" s="20">
        <f>+'Diarios Cxc Cxp relac (c)'!E33</f>
        <v>8986223</v>
      </c>
      <c r="AI9" s="20">
        <f t="shared" si="4"/>
        <v>27684126</v>
      </c>
      <c r="AJ9" s="20">
        <f t="shared" si="5"/>
        <v>24054145</v>
      </c>
      <c r="AK9" s="20">
        <v>3629981</v>
      </c>
    </row>
    <row r="10" spans="1:41" s="16" customFormat="1" ht="15.75" customHeight="1">
      <c r="A10" s="11" t="s">
        <v>42</v>
      </c>
      <c r="B10" s="12">
        <v>7558486</v>
      </c>
      <c r="C10" s="13">
        <f t="shared" si="0"/>
        <v>-505882</v>
      </c>
      <c r="D10" s="12">
        <v>7052604</v>
      </c>
      <c r="E10" s="12">
        <v>0</v>
      </c>
      <c r="F10" s="12">
        <v>0</v>
      </c>
      <c r="G10" s="12">
        <v>0</v>
      </c>
      <c r="H10" s="12">
        <v>13467.8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4">
        <f t="shared" si="1"/>
        <v>7066071.7999999998</v>
      </c>
      <c r="O10" s="15" t="s">
        <v>41</v>
      </c>
      <c r="P10" s="12"/>
      <c r="Q10" s="12"/>
      <c r="R10" s="12">
        <f t="shared" si="2"/>
        <v>7066071.7999999998</v>
      </c>
      <c r="S10" s="12">
        <v>5481731</v>
      </c>
      <c r="T10" s="12">
        <v>4477</v>
      </c>
      <c r="U10" s="12">
        <v>0</v>
      </c>
      <c r="V10" s="12">
        <v>0</v>
      </c>
      <c r="W10" s="12"/>
      <c r="X10" s="12">
        <v>0</v>
      </c>
      <c r="Y10" s="12">
        <v>0</v>
      </c>
      <c r="Z10" s="12">
        <v>0</v>
      </c>
      <c r="AA10" s="12">
        <v>0</v>
      </c>
      <c r="AB10" s="12">
        <v>448</v>
      </c>
      <c r="AC10" s="12">
        <f>35886+1569+4835</f>
        <v>42290</v>
      </c>
      <c r="AD10" s="12">
        <v>9502</v>
      </c>
      <c r="AE10" s="14">
        <f t="shared" si="3"/>
        <v>5538448</v>
      </c>
      <c r="AF10" s="15" t="s">
        <v>39</v>
      </c>
      <c r="AG10" s="12"/>
      <c r="AH10" s="12">
        <f>'Diarios Cxc Cxp relac (c)'!E35</f>
        <v>0</v>
      </c>
      <c r="AI10" s="12">
        <f t="shared" si="4"/>
        <v>5538448</v>
      </c>
      <c r="AJ10" s="12">
        <f t="shared" si="5"/>
        <v>-1527624</v>
      </c>
      <c r="AK10" s="12">
        <v>7066072</v>
      </c>
    </row>
    <row r="11" spans="1:41" s="16" customFormat="1" ht="15.75" customHeight="1">
      <c r="A11" s="11" t="s">
        <v>43</v>
      </c>
      <c r="B11" s="12">
        <v>1085701</v>
      </c>
      <c r="C11" s="13">
        <f t="shared" si="0"/>
        <v>0</v>
      </c>
      <c r="D11" s="12">
        <v>1085701</v>
      </c>
      <c r="E11" s="12">
        <v>0</v>
      </c>
      <c r="F11" s="12">
        <f>557539.9+7.5</f>
        <v>557547.4</v>
      </c>
      <c r="G11" s="12">
        <v>130431.64</v>
      </c>
      <c r="H11" s="12">
        <f>13300.66+68836.97</f>
        <v>82137.63</v>
      </c>
      <c r="I11" s="12">
        <v>0</v>
      </c>
      <c r="J11" s="12">
        <f>6821.11+1167.48</f>
        <v>7988.59</v>
      </c>
      <c r="K11" s="12">
        <v>0</v>
      </c>
      <c r="L11" s="12">
        <v>0</v>
      </c>
      <c r="M11" s="12">
        <v>0</v>
      </c>
      <c r="N11" s="14">
        <f t="shared" si="1"/>
        <v>1863806.26</v>
      </c>
      <c r="O11" s="15"/>
      <c r="P11" s="12"/>
      <c r="Q11" s="12"/>
      <c r="R11" s="12">
        <f t="shared" si="2"/>
        <v>1863806.26</v>
      </c>
      <c r="S11" s="17">
        <v>480186</v>
      </c>
      <c r="T11" s="12">
        <v>0</v>
      </c>
      <c r="U11" s="12">
        <v>60656</v>
      </c>
      <c r="V11" s="12">
        <v>134914</v>
      </c>
      <c r="W11" s="12">
        <v>123577</v>
      </c>
      <c r="X11" s="12">
        <v>0</v>
      </c>
      <c r="Y11" s="12">
        <v>7989</v>
      </c>
      <c r="Z11" s="12">
        <v>0</v>
      </c>
      <c r="AA11" s="12">
        <v>0</v>
      </c>
      <c r="AB11" s="12">
        <v>242520</v>
      </c>
      <c r="AC11" s="12">
        <v>74937</v>
      </c>
      <c r="AD11" s="12" t="s">
        <v>44</v>
      </c>
      <c r="AE11" s="14">
        <f t="shared" si="3"/>
        <v>1124779</v>
      </c>
      <c r="AF11" s="15"/>
      <c r="AG11" s="12"/>
      <c r="AH11" s="12"/>
      <c r="AI11" s="12">
        <f t="shared" si="4"/>
        <v>1124779</v>
      </c>
      <c r="AJ11" s="12">
        <f t="shared" si="5"/>
        <v>-739027</v>
      </c>
      <c r="AK11" s="12">
        <v>1863806</v>
      </c>
    </row>
    <row r="12" spans="1:41" ht="15.75" customHeight="1">
      <c r="A12" s="25" t="s">
        <v>45</v>
      </c>
      <c r="B12" s="26">
        <v>2140316</v>
      </c>
      <c r="C12" s="27">
        <f t="shared" si="0"/>
        <v>0</v>
      </c>
      <c r="D12" s="26">
        <v>2140316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8">
        <f t="shared" si="1"/>
        <v>2140316</v>
      </c>
      <c r="O12" s="29"/>
      <c r="P12" s="26"/>
      <c r="Q12" s="26"/>
      <c r="R12" s="26">
        <f t="shared" si="2"/>
        <v>2140316</v>
      </c>
      <c r="S12" s="26">
        <v>625964</v>
      </c>
      <c r="T12" s="26">
        <v>0</v>
      </c>
      <c r="U12" s="26">
        <v>152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16068</v>
      </c>
      <c r="AC12" s="26">
        <v>0</v>
      </c>
      <c r="AD12" s="26">
        <v>0</v>
      </c>
      <c r="AE12" s="28">
        <f t="shared" si="3"/>
        <v>642184</v>
      </c>
      <c r="AF12" s="29"/>
      <c r="AG12" s="26"/>
      <c r="AH12" s="26"/>
      <c r="AI12" s="26">
        <f t="shared" si="4"/>
        <v>642184</v>
      </c>
      <c r="AJ12" s="26">
        <f t="shared" si="5"/>
        <v>-1498133</v>
      </c>
      <c r="AK12" s="26">
        <v>2140317</v>
      </c>
    </row>
    <row r="13" spans="1:41" s="16" customFormat="1" ht="15.75" customHeight="1">
      <c r="A13" s="11" t="s">
        <v>46</v>
      </c>
      <c r="B13" s="12">
        <v>19594268</v>
      </c>
      <c r="C13" s="13">
        <f t="shared" si="0"/>
        <v>0</v>
      </c>
      <c r="D13" s="12">
        <v>19594268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4">
        <f t="shared" si="1"/>
        <v>19594268</v>
      </c>
      <c r="O13" s="15"/>
      <c r="P13" s="12"/>
      <c r="Q13" s="12"/>
      <c r="R13" s="12">
        <f t="shared" si="2"/>
        <v>19594268</v>
      </c>
      <c r="S13" s="12">
        <v>14883321</v>
      </c>
      <c r="T13" s="12">
        <v>0</v>
      </c>
      <c r="U13" s="12">
        <v>1706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11306</v>
      </c>
      <c r="AC13" s="12">
        <v>0</v>
      </c>
      <c r="AD13" s="12">
        <v>0</v>
      </c>
      <c r="AE13" s="14">
        <f t="shared" si="3"/>
        <v>14896333</v>
      </c>
      <c r="AF13" s="15"/>
      <c r="AG13" s="12"/>
      <c r="AH13" s="12">
        <f>'Ventas-Compras (d)'!E30</f>
        <v>11306</v>
      </c>
      <c r="AI13" s="12">
        <f t="shared" si="4"/>
        <v>14885027</v>
      </c>
      <c r="AJ13" s="12">
        <f t="shared" si="5"/>
        <v>-4709241</v>
      </c>
      <c r="AK13" s="12">
        <v>19594268</v>
      </c>
    </row>
    <row r="14" spans="1:41" ht="15.75" customHeight="1">
      <c r="A14" s="25" t="s">
        <v>47</v>
      </c>
      <c r="B14" s="26">
        <v>11189237</v>
      </c>
      <c r="C14" s="27">
        <f t="shared" si="0"/>
        <v>0</v>
      </c>
      <c r="D14" s="26">
        <v>11189237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8">
        <f t="shared" si="1"/>
        <v>11189237</v>
      </c>
      <c r="O14" s="29"/>
      <c r="P14" s="26"/>
      <c r="Q14" s="26"/>
      <c r="R14" s="26">
        <f t="shared" si="2"/>
        <v>11189237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8">
        <f t="shared" si="3"/>
        <v>0</v>
      </c>
      <c r="AF14" s="29"/>
      <c r="AG14" s="26"/>
      <c r="AH14" s="26"/>
      <c r="AI14" s="26">
        <f t="shared" si="4"/>
        <v>0</v>
      </c>
      <c r="AJ14" s="26">
        <f t="shared" si="5"/>
        <v>-11189237</v>
      </c>
      <c r="AK14" s="26">
        <v>11189237</v>
      </c>
    </row>
    <row r="15" spans="1:41" ht="15.75" customHeight="1">
      <c r="A15" s="25" t="s">
        <v>48</v>
      </c>
      <c r="B15" s="26">
        <v>0</v>
      </c>
      <c r="C15" s="27">
        <f t="shared" si="0"/>
        <v>0</v>
      </c>
      <c r="D15" s="26">
        <v>0</v>
      </c>
      <c r="E15" s="26"/>
      <c r="F15" s="26"/>
      <c r="G15" s="26"/>
      <c r="H15" s="26"/>
      <c r="I15" s="26"/>
      <c r="J15" s="26"/>
      <c r="K15" s="26"/>
      <c r="L15" s="26"/>
      <c r="M15" s="26"/>
      <c r="N15" s="28">
        <f t="shared" si="1"/>
        <v>0</v>
      </c>
      <c r="O15" s="29"/>
      <c r="P15" s="26"/>
      <c r="Q15" s="26"/>
      <c r="R15" s="26">
        <f t="shared" si="2"/>
        <v>0</v>
      </c>
      <c r="S15" s="26">
        <v>40694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8">
        <f t="shared" si="3"/>
        <v>40694</v>
      </c>
      <c r="AF15" s="29" t="s">
        <v>39</v>
      </c>
      <c r="AG15" s="26"/>
      <c r="AH15" s="26">
        <f>'Diarios Cxc Cxp relac (c)'!E34</f>
        <v>40694</v>
      </c>
      <c r="AI15" s="26">
        <f t="shared" si="4"/>
        <v>0</v>
      </c>
      <c r="AJ15" s="26">
        <f t="shared" si="5"/>
        <v>0</v>
      </c>
      <c r="AK15" s="26">
        <v>0</v>
      </c>
    </row>
    <row r="16" spans="1:41" s="16" customFormat="1" ht="15.75" customHeight="1">
      <c r="A16" s="11" t="s">
        <v>49</v>
      </c>
      <c r="B16" s="12">
        <v>2899664</v>
      </c>
      <c r="C16" s="13">
        <f t="shared" si="0"/>
        <v>0</v>
      </c>
      <c r="D16" s="12">
        <v>2899664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4">
        <f t="shared" si="1"/>
        <v>2899664</v>
      </c>
      <c r="O16" s="15"/>
      <c r="P16" s="12"/>
      <c r="Q16" s="12"/>
      <c r="R16" s="12">
        <f t="shared" si="2"/>
        <v>2899664</v>
      </c>
      <c r="S16" s="12">
        <v>3212434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4">
        <f t="shared" si="3"/>
        <v>3212434</v>
      </c>
      <c r="AF16" s="15"/>
      <c r="AG16" s="12"/>
      <c r="AH16" s="12"/>
      <c r="AI16" s="12">
        <f t="shared" si="4"/>
        <v>3212434</v>
      </c>
      <c r="AJ16" s="12">
        <f t="shared" si="5"/>
        <v>312770</v>
      </c>
      <c r="AK16" s="12">
        <v>2899664</v>
      </c>
      <c r="AO16" s="18">
        <f>S16-AI16</f>
        <v>0</v>
      </c>
    </row>
    <row r="17" spans="1:39" ht="15.75" customHeight="1">
      <c r="A17" s="25" t="s">
        <v>50</v>
      </c>
      <c r="B17" s="26">
        <v>57179789</v>
      </c>
      <c r="C17" s="27">
        <f t="shared" si="0"/>
        <v>-1084012</v>
      </c>
      <c r="D17" s="26">
        <v>56095777</v>
      </c>
      <c r="E17" s="26">
        <v>0</v>
      </c>
      <c r="F17" s="26">
        <f>152350+3565270.86</f>
        <v>3717620.86</v>
      </c>
      <c r="G17" s="26">
        <v>471133.12</v>
      </c>
      <c r="H17" s="26">
        <f>110964+150978.89+358100.26-353189.6</f>
        <v>266853.55000000005</v>
      </c>
      <c r="I17" s="26">
        <v>400660.97</v>
      </c>
      <c r="J17" s="26">
        <v>0</v>
      </c>
      <c r="K17" s="26">
        <v>0</v>
      </c>
      <c r="L17" s="26">
        <f>1140.17</f>
        <v>1140.17</v>
      </c>
      <c r="M17" s="26">
        <v>0</v>
      </c>
      <c r="N17" s="28">
        <f t="shared" si="1"/>
        <v>60953185.669999994</v>
      </c>
      <c r="O17" s="29" t="s">
        <v>51</v>
      </c>
      <c r="P17" s="26">
        <f>+'Asientos - para Consolidado'!D33</f>
        <v>881973.00000000605</v>
      </c>
      <c r="Q17" s="26"/>
      <c r="R17" s="26">
        <f t="shared" si="2"/>
        <v>61835158.670000002</v>
      </c>
      <c r="S17" s="26">
        <v>66573020</v>
      </c>
      <c r="T17" s="26">
        <v>44671913</v>
      </c>
      <c r="U17" s="26">
        <v>3233810</v>
      </c>
      <c r="V17" s="26">
        <v>33545</v>
      </c>
      <c r="W17" s="26">
        <v>218631</v>
      </c>
      <c r="X17" s="26">
        <v>373713</v>
      </c>
      <c r="Y17" s="26">
        <v>0</v>
      </c>
      <c r="Z17" s="26">
        <v>0</v>
      </c>
      <c r="AA17" s="26">
        <v>1140</v>
      </c>
      <c r="AB17" s="26">
        <v>1718909</v>
      </c>
      <c r="AC17" s="26">
        <v>367967</v>
      </c>
      <c r="AD17" s="26">
        <v>209213</v>
      </c>
      <c r="AE17" s="28">
        <f t="shared" si="3"/>
        <v>117401861</v>
      </c>
      <c r="AF17" s="29" t="s">
        <v>52</v>
      </c>
      <c r="AG17" s="26">
        <f>'Diario 2015 (a)'!C10</f>
        <v>881973.00000000605</v>
      </c>
      <c r="AH17" s="26"/>
      <c r="AI17" s="26">
        <f t="shared" si="4"/>
        <v>118283834</v>
      </c>
      <c r="AJ17" s="26">
        <f t="shared" si="5"/>
        <v>56448675</v>
      </c>
      <c r="AK17" s="26">
        <v>61835159</v>
      </c>
    </row>
    <row r="18" spans="1:39" s="16" customFormat="1" ht="15.75" customHeight="1">
      <c r="A18" s="11" t="s">
        <v>53</v>
      </c>
      <c r="B18" s="12">
        <v>1073683</v>
      </c>
      <c r="C18" s="13">
        <f t="shared" si="0"/>
        <v>-213217</v>
      </c>
      <c r="D18" s="12">
        <v>860466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4">
        <f t="shared" si="1"/>
        <v>860466</v>
      </c>
      <c r="O18" s="15"/>
      <c r="P18" s="12"/>
      <c r="Q18" s="12"/>
      <c r="R18" s="12">
        <f t="shared" si="2"/>
        <v>860466</v>
      </c>
      <c r="S18" s="12">
        <v>661755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/>
      <c r="AD18" s="12">
        <v>0</v>
      </c>
      <c r="AE18" s="14">
        <f t="shared" si="3"/>
        <v>661755</v>
      </c>
      <c r="AF18" s="15"/>
      <c r="AG18" s="12"/>
      <c r="AH18" s="12"/>
      <c r="AI18" s="12">
        <f t="shared" si="4"/>
        <v>661755</v>
      </c>
      <c r="AJ18" s="12">
        <f t="shared" si="5"/>
        <v>-198711</v>
      </c>
      <c r="AK18" s="12">
        <v>860466</v>
      </c>
    </row>
    <row r="19" spans="1:39" ht="15.75" customHeight="1">
      <c r="A19" s="25" t="s">
        <v>54</v>
      </c>
      <c r="B19" s="26">
        <v>12927724</v>
      </c>
      <c r="C19" s="27">
        <f t="shared" si="0"/>
        <v>0</v>
      </c>
      <c r="D19" s="26">
        <v>12927724</v>
      </c>
      <c r="E19" s="26">
        <f>6749770-6747316</f>
        <v>2454</v>
      </c>
      <c r="F19" s="26">
        <v>0</v>
      </c>
      <c r="G19" s="26">
        <v>552.25</v>
      </c>
      <c r="H19" s="26">
        <f>5778.16-5778.16</f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f t="shared" si="1"/>
        <v>12930730.25</v>
      </c>
      <c r="O19" s="29" t="s">
        <v>41</v>
      </c>
      <c r="P19" s="26"/>
      <c r="Q19" s="26">
        <f>+'Asientos - para Consolidado'!E71</f>
        <v>940330</v>
      </c>
      <c r="R19" s="26">
        <f t="shared" si="2"/>
        <v>11990400.25</v>
      </c>
      <c r="S19" s="26">
        <v>11586243</v>
      </c>
      <c r="T19" s="30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117971</v>
      </c>
      <c r="AD19" s="26">
        <v>0</v>
      </c>
      <c r="AE19" s="28">
        <f t="shared" si="3"/>
        <v>11704214</v>
      </c>
      <c r="AF19" s="29" t="s">
        <v>51</v>
      </c>
      <c r="AG19" s="26"/>
      <c r="AH19" s="26" t="e">
        <f>#REF!</f>
        <v>#REF!</v>
      </c>
      <c r="AI19" s="26" t="e">
        <f t="shared" si="4"/>
        <v>#REF!</v>
      </c>
      <c r="AJ19" s="26" t="e">
        <f t="shared" si="5"/>
        <v>#REF!</v>
      </c>
      <c r="AK19" s="26">
        <v>11990400</v>
      </c>
      <c r="AM19" s="4">
        <f>AK19+AK25</f>
        <v>12384735</v>
      </c>
    </row>
    <row r="20" spans="1:39">
      <c r="A20" s="25" t="s">
        <v>55</v>
      </c>
      <c r="B20" s="26">
        <v>29438688</v>
      </c>
      <c r="C20" s="27">
        <f t="shared" si="0"/>
        <v>-2307659</v>
      </c>
      <c r="D20" s="26">
        <v>27131029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8">
        <f t="shared" si="1"/>
        <v>27131029</v>
      </c>
      <c r="O20" s="29" t="s">
        <v>41</v>
      </c>
      <c r="P20" s="26"/>
      <c r="Q20" s="26">
        <f>+'Asientos - para Consolidado'!E72</f>
        <v>27269564.260000002</v>
      </c>
      <c r="R20" s="26">
        <f t="shared" si="2"/>
        <v>-138535.26000000164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8">
        <f t="shared" si="3"/>
        <v>0</v>
      </c>
      <c r="AF20" s="29"/>
      <c r="AG20" s="26"/>
      <c r="AH20" s="26"/>
      <c r="AI20" s="26">
        <f t="shared" si="4"/>
        <v>0</v>
      </c>
      <c r="AJ20" s="26">
        <f t="shared" si="5"/>
        <v>138535</v>
      </c>
      <c r="AK20" s="26">
        <v>-138535</v>
      </c>
      <c r="AM20" s="4">
        <f>AK20+AK23</f>
        <v>40281700</v>
      </c>
    </row>
    <row r="21" spans="1:39">
      <c r="A21" s="25" t="s">
        <v>56</v>
      </c>
      <c r="B21" s="26">
        <v>0</v>
      </c>
      <c r="C21" s="27">
        <f t="shared" si="0"/>
        <v>1297229</v>
      </c>
      <c r="D21" s="26">
        <v>1297229</v>
      </c>
      <c r="E21" s="26"/>
      <c r="F21" s="26"/>
      <c r="G21" s="26"/>
      <c r="H21" s="26"/>
      <c r="I21" s="26"/>
      <c r="J21" s="26"/>
      <c r="K21" s="26"/>
      <c r="L21" s="26"/>
      <c r="M21" s="26"/>
      <c r="N21" s="28">
        <f t="shared" si="1"/>
        <v>1297229</v>
      </c>
      <c r="O21" s="29"/>
      <c r="P21" s="26"/>
      <c r="Q21" s="26"/>
      <c r="R21" s="26">
        <f t="shared" si="2"/>
        <v>1297229</v>
      </c>
      <c r="S21" s="26">
        <v>1422229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8">
        <f t="shared" si="3"/>
        <v>1422229</v>
      </c>
      <c r="AF21" s="29"/>
      <c r="AG21" s="26"/>
      <c r="AH21" s="26"/>
      <c r="AI21" s="26">
        <f t="shared" si="4"/>
        <v>1422229</v>
      </c>
      <c r="AJ21" s="26">
        <f t="shared" si="5"/>
        <v>125000</v>
      </c>
      <c r="AK21" s="26">
        <v>1297229</v>
      </c>
    </row>
    <row r="22" spans="1:39">
      <c r="A22" s="25" t="s">
        <v>57</v>
      </c>
      <c r="B22" s="26">
        <v>10163519</v>
      </c>
      <c r="C22" s="27">
        <f t="shared" si="0"/>
        <v>0</v>
      </c>
      <c r="D22" s="26">
        <v>10163519</v>
      </c>
      <c r="E22" s="26">
        <v>100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8">
        <f t="shared" si="1"/>
        <v>10163619</v>
      </c>
      <c r="O22" s="29" t="s">
        <v>58</v>
      </c>
      <c r="P22" s="26"/>
      <c r="Q22" s="26">
        <f>+'Asientos - para Consolidado'!E17+'Asientos - para Consolidado'!E35+'Asientos - para Consolidado'!E80</f>
        <v>4846189.339999998</v>
      </c>
      <c r="R22" s="26">
        <f t="shared" si="2"/>
        <v>5317429.660000002</v>
      </c>
      <c r="S22" s="26">
        <v>44513438</v>
      </c>
      <c r="T22" s="26">
        <v>100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8">
        <f t="shared" si="3"/>
        <v>44513538</v>
      </c>
      <c r="AF22" s="29" t="s">
        <v>59</v>
      </c>
      <c r="AG22" s="26" t="e">
        <f>#REF!</f>
        <v>#REF!</v>
      </c>
      <c r="AH22" s="26" t="e">
        <f>'Diario 2015 (a)'!D12+#REF!</f>
        <v>#REF!</v>
      </c>
      <c r="AI22" s="26" t="e">
        <f t="shared" si="4"/>
        <v>#REF!</v>
      </c>
      <c r="AJ22" s="26" t="e">
        <f t="shared" si="5"/>
        <v>#REF!</v>
      </c>
      <c r="AK22" s="26">
        <v>5317430</v>
      </c>
    </row>
    <row r="23" spans="1:39">
      <c r="A23" s="25" t="s">
        <v>60</v>
      </c>
      <c r="B23" s="31">
        <v>0</v>
      </c>
      <c r="C23" s="27">
        <f t="shared" si="0"/>
        <v>0</v>
      </c>
      <c r="D23" s="31">
        <v>0</v>
      </c>
      <c r="E23" s="31">
        <v>40420235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28">
        <f t="shared" si="1"/>
        <v>40420235</v>
      </c>
      <c r="O23" s="29"/>
      <c r="P23" s="26"/>
      <c r="Q23" s="26"/>
      <c r="R23" s="26">
        <f t="shared" si="2"/>
        <v>40420235</v>
      </c>
      <c r="S23" s="31">
        <v>0</v>
      </c>
      <c r="T23" s="31">
        <v>883849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C23" s="26">
        <v>0</v>
      </c>
      <c r="AD23" s="26">
        <v>0</v>
      </c>
      <c r="AE23" s="28">
        <f t="shared" si="3"/>
        <v>883849</v>
      </c>
      <c r="AF23" s="29"/>
      <c r="AG23" s="26"/>
      <c r="AH23" s="26"/>
      <c r="AI23" s="26">
        <f t="shared" si="4"/>
        <v>883849</v>
      </c>
      <c r="AJ23" s="26">
        <f t="shared" si="5"/>
        <v>-39536386</v>
      </c>
      <c r="AK23" s="26">
        <v>40420235</v>
      </c>
    </row>
    <row r="24" spans="1:39">
      <c r="A24" s="25" t="s">
        <v>61</v>
      </c>
      <c r="B24" s="31">
        <v>105895</v>
      </c>
      <c r="C24" s="27">
        <f t="shared" si="0"/>
        <v>0</v>
      </c>
      <c r="D24" s="31">
        <v>105895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28">
        <f t="shared" si="1"/>
        <v>105895</v>
      </c>
      <c r="O24" s="29"/>
      <c r="P24" s="26"/>
      <c r="Q24" s="26"/>
      <c r="R24" s="26">
        <f t="shared" si="2"/>
        <v>105895</v>
      </c>
      <c r="S24" s="31">
        <v>105894</v>
      </c>
      <c r="T24" s="26">
        <v>0</v>
      </c>
      <c r="U24" s="26">
        <v>373443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2963501</v>
      </c>
      <c r="AC24" s="26">
        <v>0</v>
      </c>
      <c r="AD24" s="26">
        <v>0</v>
      </c>
      <c r="AE24" s="28">
        <f t="shared" si="3"/>
        <v>3442838</v>
      </c>
      <c r="AF24" s="29"/>
      <c r="AG24" s="26"/>
      <c r="AH24" s="26"/>
      <c r="AI24" s="26">
        <f t="shared" si="4"/>
        <v>3442838</v>
      </c>
      <c r="AJ24" s="26">
        <f t="shared" si="5"/>
        <v>3336943</v>
      </c>
      <c r="AK24" s="26">
        <v>105895</v>
      </c>
    </row>
    <row r="25" spans="1:39">
      <c r="A25" s="25" t="s">
        <v>62</v>
      </c>
      <c r="B25" s="32">
        <v>0</v>
      </c>
      <c r="C25" s="27">
        <f t="shared" si="0"/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3">
        <f t="shared" si="1"/>
        <v>0</v>
      </c>
      <c r="O25" s="29" t="s">
        <v>51</v>
      </c>
      <c r="P25" s="26">
        <f>+'Asientos - para Consolidado'!D31</f>
        <v>394335.36694421433</v>
      </c>
      <c r="Q25" s="26"/>
      <c r="R25" s="32">
        <f t="shared" si="2"/>
        <v>394335.36694421433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3">
        <f t="shared" si="3"/>
        <v>0</v>
      </c>
      <c r="AF25" s="29" t="s">
        <v>52</v>
      </c>
      <c r="AG25" s="26">
        <f>'Diario 2015 (a)'!C8</f>
        <v>394335.36694421398</v>
      </c>
      <c r="AH25" s="26"/>
      <c r="AI25" s="32">
        <f t="shared" si="4"/>
        <v>394335.36694421398</v>
      </c>
      <c r="AJ25" s="32">
        <f t="shared" si="5"/>
        <v>0.36694421397987753</v>
      </c>
      <c r="AK25" s="32">
        <v>394335</v>
      </c>
    </row>
    <row r="26" spans="1:39">
      <c r="A26" s="34" t="s">
        <v>63</v>
      </c>
      <c r="B26" s="35">
        <f>SUM(B5:B25)</f>
        <v>190788012</v>
      </c>
      <c r="C26" s="34"/>
      <c r="D26" s="35">
        <f t="shared" ref="D26:N26" si="6">SUM(D5:D25)</f>
        <v>188480353</v>
      </c>
      <c r="E26" s="35">
        <f t="shared" si="6"/>
        <v>40551557</v>
      </c>
      <c r="F26" s="35">
        <f t="shared" si="6"/>
        <v>4289462.9000000004</v>
      </c>
      <c r="G26" s="35">
        <f t="shared" si="6"/>
        <v>2316381.4899999998</v>
      </c>
      <c r="H26" s="35">
        <f t="shared" si="6"/>
        <v>376654.23000000004</v>
      </c>
      <c r="I26" s="35">
        <f t="shared" si="6"/>
        <v>400660.97</v>
      </c>
      <c r="J26" s="35">
        <f t="shared" si="6"/>
        <v>7988.59</v>
      </c>
      <c r="K26" s="35">
        <f t="shared" si="6"/>
        <v>10000</v>
      </c>
      <c r="L26" s="35">
        <f t="shared" si="6"/>
        <v>1140.17</v>
      </c>
      <c r="M26" s="35">
        <f t="shared" si="6"/>
        <v>800</v>
      </c>
      <c r="N26" s="35">
        <f t="shared" si="6"/>
        <v>236434998.34999999</v>
      </c>
      <c r="O26" s="29"/>
      <c r="P26" s="35"/>
      <c r="Q26" s="35"/>
      <c r="R26" s="35">
        <f t="shared" ref="R26:AE26" si="7">SUM(R5:R25)</f>
        <v>198167127.22694421</v>
      </c>
      <c r="S26" s="26">
        <f t="shared" si="7"/>
        <v>197414677</v>
      </c>
      <c r="T26" s="35">
        <f t="shared" si="7"/>
        <v>52108957</v>
      </c>
      <c r="U26" s="35">
        <f t="shared" si="7"/>
        <v>4668021</v>
      </c>
      <c r="V26" s="35">
        <f t="shared" si="7"/>
        <v>1160766</v>
      </c>
      <c r="W26" s="35">
        <f t="shared" si="7"/>
        <v>364945</v>
      </c>
      <c r="X26" s="35">
        <f t="shared" si="7"/>
        <v>373713</v>
      </c>
      <c r="Y26" s="35">
        <f t="shared" si="7"/>
        <v>7989</v>
      </c>
      <c r="Z26" s="35">
        <f t="shared" si="7"/>
        <v>10000</v>
      </c>
      <c r="AA26" s="35">
        <f t="shared" si="7"/>
        <v>1140</v>
      </c>
      <c r="AB26" s="35">
        <f t="shared" si="7"/>
        <v>5000055</v>
      </c>
      <c r="AC26" s="35">
        <f t="shared" si="7"/>
        <v>649029</v>
      </c>
      <c r="AD26" s="35">
        <f t="shared" si="7"/>
        <v>449254</v>
      </c>
      <c r="AE26" s="35">
        <f t="shared" si="7"/>
        <v>262208546</v>
      </c>
      <c r="AF26" s="29"/>
      <c r="AG26" s="35" t="s">
        <v>44</v>
      </c>
      <c r="AH26" s="35" t="s">
        <v>44</v>
      </c>
      <c r="AI26" s="35" t="e">
        <f>SUM(AI5:AI25)</f>
        <v>#REF!</v>
      </c>
      <c r="AJ26" s="35" t="e">
        <f t="shared" si="5"/>
        <v>#REF!</v>
      </c>
      <c r="AK26" s="35">
        <f>SUM(AK5:AK25)</f>
        <v>198167128</v>
      </c>
    </row>
    <row r="27" spans="1:39">
      <c r="A27" s="25" t="s">
        <v>64</v>
      </c>
      <c r="B27" s="35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9"/>
      <c r="P27" s="35"/>
      <c r="Q27" s="35"/>
      <c r="R27" s="35"/>
      <c r="S27" s="26">
        <v>260402</v>
      </c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28">
        <f t="shared" ref="AE27:AE46" si="8">SUM(S27:AD27)</f>
        <v>260402</v>
      </c>
      <c r="AF27" s="29"/>
      <c r="AG27" s="35">
        <v>0</v>
      </c>
      <c r="AH27" s="35">
        <v>0</v>
      </c>
      <c r="AI27" s="26">
        <f t="shared" ref="AI27:AI46" si="9">AE27-AG27+AH27</f>
        <v>260402</v>
      </c>
      <c r="AJ27" s="35"/>
      <c r="AK27" s="35"/>
    </row>
    <row r="28" spans="1:39" s="16" customFormat="1">
      <c r="A28" s="11" t="s">
        <v>65</v>
      </c>
      <c r="B28" s="12">
        <v>25932582</v>
      </c>
      <c r="C28" s="13">
        <f>D28-B28</f>
        <v>0</v>
      </c>
      <c r="D28" s="12">
        <v>25932582</v>
      </c>
      <c r="E28" s="12">
        <v>0</v>
      </c>
      <c r="F28" s="12">
        <v>0</v>
      </c>
      <c r="G28" s="12">
        <v>1776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4">
        <f>SUM(D28:M28)</f>
        <v>25934358</v>
      </c>
      <c r="O28" s="15"/>
      <c r="P28" s="12"/>
      <c r="Q28" s="12"/>
      <c r="R28" s="12">
        <f>N28-P28+Q28</f>
        <v>25934358</v>
      </c>
      <c r="S28" s="12">
        <v>13413675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4">
        <f t="shared" si="8"/>
        <v>13413675</v>
      </c>
      <c r="AF28" s="15"/>
      <c r="AG28" s="12"/>
      <c r="AH28" s="12"/>
      <c r="AI28" s="36">
        <f t="shared" si="9"/>
        <v>13413675</v>
      </c>
      <c r="AJ28" s="12">
        <f>AI28-AK28</f>
        <v>-12520683</v>
      </c>
      <c r="AK28" s="12">
        <v>25934358</v>
      </c>
    </row>
    <row r="29" spans="1:39" s="16" customFormat="1">
      <c r="A29" s="11" t="s">
        <v>66</v>
      </c>
      <c r="B29" s="12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4"/>
      <c r="O29" s="15"/>
      <c r="P29" s="12"/>
      <c r="Q29" s="12"/>
      <c r="R29" s="12"/>
      <c r="S29" s="12">
        <v>11459310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4">
        <f t="shared" si="8"/>
        <v>11459310</v>
      </c>
      <c r="AF29" s="15"/>
      <c r="AG29" s="12"/>
      <c r="AH29" s="12"/>
      <c r="AI29" s="36">
        <f t="shared" si="9"/>
        <v>11459310</v>
      </c>
      <c r="AJ29" s="12"/>
      <c r="AK29" s="12"/>
    </row>
    <row r="30" spans="1:39" s="16" customFormat="1" ht="15.75" customHeight="1">
      <c r="A30" s="11" t="s">
        <v>67</v>
      </c>
      <c r="B30" s="12">
        <v>22920758</v>
      </c>
      <c r="C30" s="13">
        <f t="shared" ref="C30:C38" si="10">D30-B30</f>
        <v>0</v>
      </c>
      <c r="D30" s="12">
        <v>22920758</v>
      </c>
      <c r="E30" s="12">
        <v>1677372</v>
      </c>
      <c r="F30" s="12">
        <f>76243.49+333</f>
        <v>76576.490000000005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4">
        <f t="shared" ref="N30:N38" si="11">SUM(D30:M30)</f>
        <v>24674706.489999998</v>
      </c>
      <c r="O30" s="15"/>
      <c r="P30" s="12"/>
      <c r="Q30" s="12"/>
      <c r="R30" s="12">
        <f t="shared" ref="R30:R38" si="12">N30-P30+Q30</f>
        <v>24674706.489999998</v>
      </c>
      <c r="S30" s="17">
        <v>18438625</v>
      </c>
      <c r="T30" s="12">
        <v>2041083</v>
      </c>
      <c r="U30" s="12">
        <v>42437</v>
      </c>
      <c r="V30" s="12">
        <v>0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24357</v>
      </c>
      <c r="AC30" s="12">
        <v>10173</v>
      </c>
      <c r="AD30" s="12">
        <v>55288</v>
      </c>
      <c r="AE30" s="14">
        <f t="shared" si="8"/>
        <v>20611963</v>
      </c>
      <c r="AF30" s="15" t="s">
        <v>39</v>
      </c>
      <c r="AG30" s="12">
        <f>+'Diarios Cxc Cxp relac (c)'!D32</f>
        <v>175918</v>
      </c>
      <c r="AH30" s="12"/>
      <c r="AI30" s="36">
        <f t="shared" si="9"/>
        <v>20436045</v>
      </c>
      <c r="AJ30" s="12">
        <f t="shared" ref="AJ30:AJ38" si="13">AI30-AK30</f>
        <v>-4238661</v>
      </c>
      <c r="AK30" s="12">
        <v>24674706</v>
      </c>
    </row>
    <row r="31" spans="1:39" s="24" customFormat="1" ht="15.75" customHeight="1">
      <c r="A31" s="19" t="s">
        <v>68</v>
      </c>
      <c r="B31" s="20">
        <v>1315987</v>
      </c>
      <c r="C31" s="21">
        <f t="shared" si="10"/>
        <v>0</v>
      </c>
      <c r="D31" s="20">
        <v>1315987</v>
      </c>
      <c r="E31" s="20">
        <v>2113253</v>
      </c>
      <c r="F31" s="20">
        <f>256939.18</f>
        <v>256939.18</v>
      </c>
      <c r="G31" s="20">
        <v>1374067</v>
      </c>
      <c r="H31" s="20">
        <v>505881.68</v>
      </c>
      <c r="I31" s="20">
        <v>0</v>
      </c>
      <c r="J31" s="20">
        <v>793.6</v>
      </c>
      <c r="K31" s="20">
        <v>0</v>
      </c>
      <c r="L31" s="20">
        <v>0</v>
      </c>
      <c r="M31" s="20">
        <v>0</v>
      </c>
      <c r="N31" s="22">
        <f t="shared" si="11"/>
        <v>5566921.459999999</v>
      </c>
      <c r="O31" s="23" t="s">
        <v>41</v>
      </c>
      <c r="P31" s="20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20"/>
      <c r="R31" s="20">
        <f t="shared" si="12"/>
        <v>805430.56999999937</v>
      </c>
      <c r="S31" s="20">
        <v>1314903</v>
      </c>
      <c r="T31" s="20">
        <v>4733</v>
      </c>
      <c r="U31" s="20">
        <v>0</v>
      </c>
      <c r="V31" s="20">
        <v>180603</v>
      </c>
      <c r="W31" s="20">
        <v>1296079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125748</v>
      </c>
      <c r="AD31" s="20">
        <v>901366</v>
      </c>
      <c r="AE31" s="22">
        <f t="shared" si="8"/>
        <v>3823432</v>
      </c>
      <c r="AF31" s="23" t="s">
        <v>69</v>
      </c>
      <c r="AG31" s="20" t="e">
        <f>#REF!+'Diarios Cxc Cxp relac (c)'!D29</f>
        <v>#REF!</v>
      </c>
      <c r="AH31" s="20"/>
      <c r="AI31" s="20" t="e">
        <f t="shared" si="9"/>
        <v>#REF!</v>
      </c>
      <c r="AJ31" s="20" t="e">
        <f t="shared" si="13"/>
        <v>#REF!</v>
      </c>
      <c r="AK31" s="20">
        <v>805431</v>
      </c>
    </row>
    <row r="32" spans="1:39" s="16" customFormat="1" ht="15.75" customHeight="1">
      <c r="A32" s="11" t="s">
        <v>70</v>
      </c>
      <c r="B32" s="12"/>
      <c r="C32" s="13">
        <f t="shared" si="1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4">
        <f t="shared" si="11"/>
        <v>0</v>
      </c>
      <c r="O32" s="15"/>
      <c r="P32" s="12"/>
      <c r="Q32" s="12"/>
      <c r="R32" s="12">
        <f t="shared" si="12"/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4">
        <f t="shared" si="8"/>
        <v>0</v>
      </c>
      <c r="AF32" s="15"/>
      <c r="AG32" s="12"/>
      <c r="AH32" s="12"/>
      <c r="AI32" s="12">
        <f t="shared" si="9"/>
        <v>0</v>
      </c>
      <c r="AJ32" s="12">
        <f t="shared" si="13"/>
        <v>0</v>
      </c>
      <c r="AK32" s="12">
        <v>0</v>
      </c>
    </row>
    <row r="33" spans="1:38" s="16" customFormat="1" ht="15.75" customHeight="1">
      <c r="A33" s="11" t="s">
        <v>71</v>
      </c>
      <c r="B33" s="12">
        <v>2513028</v>
      </c>
      <c r="C33" s="13">
        <f t="shared" si="10"/>
        <v>0</v>
      </c>
      <c r="D33" s="12">
        <v>2513028</v>
      </c>
      <c r="E33" s="12">
        <v>0</v>
      </c>
      <c r="F33" s="12">
        <v>3416.78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4">
        <f t="shared" si="11"/>
        <v>2516444.7799999998</v>
      </c>
      <c r="O33" s="15"/>
      <c r="P33" s="12"/>
      <c r="Q33" s="12"/>
      <c r="R33" s="12">
        <f t="shared" si="12"/>
        <v>2516444.7799999998</v>
      </c>
      <c r="S33" s="12">
        <v>4228478</v>
      </c>
      <c r="T33" s="12">
        <v>0</v>
      </c>
      <c r="U33" s="12">
        <v>39874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6555</v>
      </c>
      <c r="AD33" s="12">
        <v>0</v>
      </c>
      <c r="AE33" s="14">
        <f t="shared" si="8"/>
        <v>4274907</v>
      </c>
      <c r="AF33" s="15"/>
      <c r="AG33" s="12"/>
      <c r="AH33" s="12"/>
      <c r="AI33" s="12">
        <f t="shared" si="9"/>
        <v>4274907</v>
      </c>
      <c r="AJ33" s="12">
        <f t="shared" si="13"/>
        <v>1758462</v>
      </c>
      <c r="AK33" s="12">
        <v>2516445</v>
      </c>
    </row>
    <row r="34" spans="1:38" ht="15.75" customHeight="1">
      <c r="A34" s="25" t="s">
        <v>72</v>
      </c>
      <c r="B34" s="26">
        <v>887149</v>
      </c>
      <c r="C34" s="27">
        <f t="shared" si="10"/>
        <v>0</v>
      </c>
      <c r="D34" s="26">
        <v>887149</v>
      </c>
      <c r="E34" s="26">
        <v>0</v>
      </c>
      <c r="F34" s="26">
        <v>0</v>
      </c>
      <c r="G34" s="26">
        <v>0</v>
      </c>
      <c r="H34" s="26">
        <v>39069.9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8">
        <f t="shared" si="11"/>
        <v>926218.9</v>
      </c>
      <c r="O34" s="29"/>
      <c r="P34" s="26"/>
      <c r="Q34" s="26"/>
      <c r="R34" s="26">
        <f t="shared" si="12"/>
        <v>926218.9</v>
      </c>
      <c r="S34" s="26">
        <v>4870701</v>
      </c>
      <c r="T34" s="26">
        <v>0</v>
      </c>
      <c r="U34" s="26">
        <v>19615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551</v>
      </c>
      <c r="AC34" s="26">
        <f>26629+15462+477</f>
        <v>42568</v>
      </c>
      <c r="AD34" s="26">
        <v>22494</v>
      </c>
      <c r="AE34" s="28">
        <f t="shared" si="8"/>
        <v>4955929</v>
      </c>
      <c r="AF34" s="29" t="s">
        <v>73</v>
      </c>
      <c r="AG34" s="26"/>
      <c r="AH34" s="26" t="e">
        <f>+#REF!</f>
        <v>#REF!</v>
      </c>
      <c r="AI34" s="26" t="e">
        <f t="shared" si="9"/>
        <v>#REF!</v>
      </c>
      <c r="AJ34" s="26" t="e">
        <f t="shared" si="13"/>
        <v>#REF!</v>
      </c>
      <c r="AK34" s="26">
        <v>926219</v>
      </c>
    </row>
    <row r="35" spans="1:38" ht="15.75" customHeight="1">
      <c r="A35" s="25" t="s">
        <v>74</v>
      </c>
      <c r="B35" s="26">
        <v>10350691</v>
      </c>
      <c r="C35" s="27">
        <f t="shared" si="10"/>
        <v>0</v>
      </c>
      <c r="D35" s="26">
        <v>10350691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8">
        <f t="shared" si="11"/>
        <v>10350691</v>
      </c>
      <c r="O35" s="29"/>
      <c r="P35" s="26"/>
      <c r="Q35" s="26"/>
      <c r="R35" s="26">
        <f t="shared" si="12"/>
        <v>10350691</v>
      </c>
      <c r="S35" s="26">
        <v>1953502</v>
      </c>
      <c r="T35" s="26">
        <v>6540980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8">
        <f t="shared" si="8"/>
        <v>8494482</v>
      </c>
      <c r="AF35" s="29"/>
      <c r="AG35" s="26"/>
      <c r="AH35" s="26"/>
      <c r="AI35" s="26">
        <f t="shared" si="9"/>
        <v>8494482</v>
      </c>
      <c r="AJ35" s="26">
        <f t="shared" si="13"/>
        <v>-1856209</v>
      </c>
      <c r="AK35" s="26">
        <v>10350691</v>
      </c>
    </row>
    <row r="36" spans="1:38" ht="15.75" customHeight="1">
      <c r="A36" s="25" t="s">
        <v>75</v>
      </c>
      <c r="B36" s="26">
        <v>4600587</v>
      </c>
      <c r="C36" s="27">
        <f t="shared" si="10"/>
        <v>0</v>
      </c>
      <c r="D36" s="26">
        <v>4600587</v>
      </c>
      <c r="E36" s="26">
        <v>0</v>
      </c>
      <c r="F36" s="26">
        <v>4059.05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8">
        <f t="shared" si="11"/>
        <v>4604646.05</v>
      </c>
      <c r="O36" s="29"/>
      <c r="P36" s="26"/>
      <c r="Q36" s="26"/>
      <c r="R36" s="26">
        <f t="shared" si="12"/>
        <v>4604646.05</v>
      </c>
      <c r="S36" s="26">
        <v>4524107</v>
      </c>
      <c r="T36" s="26">
        <v>0</v>
      </c>
      <c r="U36" s="26">
        <v>14447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6596</v>
      </c>
      <c r="AC36" s="26">
        <f>11535+2782</f>
        <v>14317</v>
      </c>
      <c r="AD36" s="26">
        <v>0</v>
      </c>
      <c r="AE36" s="28">
        <f t="shared" si="8"/>
        <v>4559467</v>
      </c>
      <c r="AF36" s="29"/>
      <c r="AG36" s="26"/>
      <c r="AH36" s="26"/>
      <c r="AI36" s="26">
        <f t="shared" si="9"/>
        <v>4559467</v>
      </c>
      <c r="AJ36" s="26">
        <f t="shared" si="13"/>
        <v>-45179</v>
      </c>
      <c r="AK36" s="26">
        <v>4604646</v>
      </c>
    </row>
    <row r="37" spans="1:38" s="16" customFormat="1" ht="15.75" customHeight="1">
      <c r="A37" s="11" t="s">
        <v>76</v>
      </c>
      <c r="B37" s="37">
        <v>3530956</v>
      </c>
      <c r="C37" s="13">
        <f t="shared" si="10"/>
        <v>0</v>
      </c>
      <c r="D37" s="37">
        <v>3530956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14">
        <f t="shared" si="11"/>
        <v>3530956</v>
      </c>
      <c r="O37" s="15"/>
      <c r="P37" s="12"/>
      <c r="Q37" s="12"/>
      <c r="R37" s="12">
        <f t="shared" si="12"/>
        <v>3530956</v>
      </c>
      <c r="S37" s="37">
        <v>4183053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4">
        <f t="shared" si="8"/>
        <v>4183053</v>
      </c>
      <c r="AF37" s="15"/>
      <c r="AG37" s="12"/>
      <c r="AH37" s="12"/>
      <c r="AI37" s="12">
        <f t="shared" si="9"/>
        <v>4183053</v>
      </c>
      <c r="AJ37" s="12">
        <f t="shared" si="13"/>
        <v>652097</v>
      </c>
      <c r="AK37" s="12">
        <v>3530956</v>
      </c>
    </row>
    <row r="38" spans="1:38" s="16" customFormat="1" ht="15.75" customHeight="1">
      <c r="A38" s="11" t="s">
        <v>77</v>
      </c>
      <c r="B38" s="37">
        <v>18309239</v>
      </c>
      <c r="C38" s="13">
        <f t="shared" si="10"/>
        <v>0</v>
      </c>
      <c r="D38" s="37">
        <v>18309239</v>
      </c>
      <c r="E38" s="37">
        <v>0</v>
      </c>
      <c r="F38" s="37">
        <v>0</v>
      </c>
      <c r="G38" s="37">
        <v>0</v>
      </c>
      <c r="H38" s="37">
        <v>25674.22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14">
        <f t="shared" si="11"/>
        <v>18334913.219999999</v>
      </c>
      <c r="O38" s="15"/>
      <c r="P38" s="12"/>
      <c r="Q38" s="12"/>
      <c r="R38" s="12">
        <f t="shared" si="12"/>
        <v>18334913.219999999</v>
      </c>
      <c r="S38" s="37">
        <v>9674932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4">
        <f t="shared" si="8"/>
        <v>9674932</v>
      </c>
      <c r="AF38" s="15"/>
      <c r="AG38" s="12"/>
      <c r="AH38" s="12"/>
      <c r="AI38" s="36">
        <f t="shared" si="9"/>
        <v>9674932</v>
      </c>
      <c r="AJ38" s="12">
        <f t="shared" si="13"/>
        <v>-8659981</v>
      </c>
      <c r="AK38" s="12">
        <v>18334913</v>
      </c>
    </row>
    <row r="39" spans="1:38" s="16" customFormat="1" ht="15.75" customHeight="1">
      <c r="A39" s="11" t="s">
        <v>78</v>
      </c>
      <c r="B39" s="37"/>
      <c r="C39" s="13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14"/>
      <c r="O39" s="15"/>
      <c r="P39" s="12"/>
      <c r="Q39" s="12"/>
      <c r="R39" s="12"/>
      <c r="S39" s="37">
        <v>6710516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4">
        <f t="shared" si="8"/>
        <v>6710516</v>
      </c>
      <c r="AF39" s="15"/>
      <c r="AG39" s="12"/>
      <c r="AH39" s="12"/>
      <c r="AI39" s="36">
        <f t="shared" si="9"/>
        <v>6710516</v>
      </c>
      <c r="AJ39" s="12"/>
      <c r="AK39" s="12"/>
    </row>
    <row r="40" spans="1:38" s="16" customFormat="1" ht="15.75" customHeight="1">
      <c r="A40" s="11" t="s">
        <v>79</v>
      </c>
      <c r="B40" s="37"/>
      <c r="C40" s="13">
        <f t="shared" ref="C40:C46" si="14">D40-B40</f>
        <v>0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14">
        <f t="shared" ref="N40:N46" si="15">SUM(D40:M40)</f>
        <v>0</v>
      </c>
      <c r="O40" s="15"/>
      <c r="P40" s="12"/>
      <c r="Q40" s="12"/>
      <c r="R40" s="12">
        <f t="shared" ref="R40:R46" si="16">N40-P40+Q40</f>
        <v>0</v>
      </c>
      <c r="S40" s="37">
        <v>2203673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4">
        <f t="shared" si="8"/>
        <v>2203673</v>
      </c>
      <c r="AF40" s="15"/>
      <c r="AG40" s="12"/>
      <c r="AH40" s="12"/>
      <c r="AI40" s="36">
        <f t="shared" si="9"/>
        <v>2203673</v>
      </c>
      <c r="AJ40" s="12">
        <f t="shared" ref="AJ40:AJ53" si="17">AI40-AK40</f>
        <v>2203673</v>
      </c>
      <c r="AK40" s="12">
        <v>0</v>
      </c>
    </row>
    <row r="41" spans="1:38" ht="15.75" customHeight="1">
      <c r="A41" s="25" t="s">
        <v>80</v>
      </c>
      <c r="B41" s="31">
        <v>14282894</v>
      </c>
      <c r="C41" s="27">
        <f t="shared" si="14"/>
        <v>0</v>
      </c>
      <c r="D41" s="31">
        <v>14282894</v>
      </c>
      <c r="E41" s="31">
        <v>0</v>
      </c>
      <c r="F41" s="31">
        <v>2666934.9300000002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28">
        <f t="shared" si="15"/>
        <v>16949828.93</v>
      </c>
      <c r="O41" s="29" t="s">
        <v>41</v>
      </c>
      <c r="P41" s="26">
        <f>+'Asientos - para Consolidado'!D57</f>
        <v>2666934.9300000002</v>
      </c>
      <c r="Q41" s="26"/>
      <c r="R41" s="26">
        <f t="shared" si="16"/>
        <v>14282894</v>
      </c>
      <c r="S41" s="31">
        <v>10628880</v>
      </c>
      <c r="T41" s="26">
        <v>0</v>
      </c>
      <c r="U41" s="31">
        <v>2566935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31">
        <v>3477854</v>
      </c>
      <c r="AC41" s="26">
        <v>507600</v>
      </c>
      <c r="AD41" s="26">
        <v>0</v>
      </c>
      <c r="AE41" s="28">
        <f t="shared" si="8"/>
        <v>17181269</v>
      </c>
      <c r="AF41" s="29" t="s">
        <v>39</v>
      </c>
      <c r="AG41" s="26">
        <f>+'Diarios Cxc Cxp relac (c)'!D30</f>
        <v>3985455</v>
      </c>
      <c r="AH41" s="26"/>
      <c r="AI41" s="26">
        <f t="shared" si="9"/>
        <v>13195814</v>
      </c>
      <c r="AJ41" s="26">
        <f t="shared" si="17"/>
        <v>-1087080</v>
      </c>
      <c r="AK41" s="26">
        <v>14282894</v>
      </c>
    </row>
    <row r="42" spans="1:38" ht="15.75" customHeight="1">
      <c r="A42" s="25" t="s">
        <v>81</v>
      </c>
      <c r="B42" s="31"/>
      <c r="C42" s="27">
        <f t="shared" si="14"/>
        <v>0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8">
        <f t="shared" si="15"/>
        <v>0</v>
      </c>
      <c r="O42" s="29"/>
      <c r="P42" s="26"/>
      <c r="Q42" s="26"/>
      <c r="R42" s="26">
        <f t="shared" si="16"/>
        <v>0</v>
      </c>
      <c r="S42" s="31">
        <v>3182459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16045</v>
      </c>
      <c r="AC42" s="26">
        <v>0</v>
      </c>
      <c r="AD42" s="26">
        <v>0</v>
      </c>
      <c r="AE42" s="28">
        <f t="shared" si="8"/>
        <v>3198504</v>
      </c>
      <c r="AF42" s="29" t="s">
        <v>39</v>
      </c>
      <c r="AG42" s="26">
        <f>+'Diarios Cxc Cxp relac (c)'!D31</f>
        <v>0</v>
      </c>
      <c r="AH42" s="26"/>
      <c r="AI42" s="26">
        <f t="shared" si="9"/>
        <v>3198504</v>
      </c>
      <c r="AJ42" s="26">
        <f t="shared" si="17"/>
        <v>3198504</v>
      </c>
      <c r="AK42" s="26">
        <v>0</v>
      </c>
    </row>
    <row r="43" spans="1:38" ht="15.75" customHeight="1">
      <c r="A43" s="25" t="s">
        <v>82</v>
      </c>
      <c r="B43" s="31"/>
      <c r="C43" s="27">
        <f t="shared" si="14"/>
        <v>0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8">
        <f t="shared" si="15"/>
        <v>0</v>
      </c>
      <c r="O43" s="29"/>
      <c r="P43" s="26"/>
      <c r="Q43" s="26"/>
      <c r="R43" s="26">
        <f t="shared" si="16"/>
        <v>0</v>
      </c>
      <c r="S43" s="31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31">
        <v>0</v>
      </c>
      <c r="AC43" s="26">
        <v>0</v>
      </c>
      <c r="AD43" s="26">
        <v>0</v>
      </c>
      <c r="AE43" s="28">
        <f t="shared" si="8"/>
        <v>0</v>
      </c>
      <c r="AF43" s="29"/>
      <c r="AG43" s="26"/>
      <c r="AH43" s="26"/>
      <c r="AI43" s="26">
        <f t="shared" si="9"/>
        <v>0</v>
      </c>
      <c r="AJ43" s="26">
        <f t="shared" si="17"/>
        <v>0</v>
      </c>
      <c r="AK43" s="26">
        <v>0</v>
      </c>
    </row>
    <row r="44" spans="1:38" ht="15.75" customHeight="1">
      <c r="A44" s="25" t="s">
        <v>83</v>
      </c>
      <c r="B44" s="31">
        <v>3513316</v>
      </c>
      <c r="C44" s="27">
        <f t="shared" si="14"/>
        <v>924346</v>
      </c>
      <c r="D44" s="31">
        <v>4437662</v>
      </c>
      <c r="E44" s="31">
        <v>0</v>
      </c>
      <c r="F44" s="31">
        <v>0</v>
      </c>
      <c r="G44" s="31">
        <v>0</v>
      </c>
      <c r="H44" s="31">
        <f>21025.63+12925.72</f>
        <v>33951.35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28">
        <f t="shared" si="15"/>
        <v>4471613.3499999996</v>
      </c>
      <c r="O44" s="29"/>
      <c r="P44" s="26"/>
      <c r="Q44" s="26"/>
      <c r="R44" s="26">
        <f t="shared" si="16"/>
        <v>4471613.3499999996</v>
      </c>
      <c r="S44" s="31">
        <v>5140510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31">
        <v>0</v>
      </c>
      <c r="AC44" s="31">
        <v>45037</v>
      </c>
      <c r="AD44" s="26">
        <v>0</v>
      </c>
      <c r="AE44" s="28">
        <f t="shared" si="8"/>
        <v>5185547</v>
      </c>
      <c r="AF44" s="29"/>
      <c r="AG44" s="26"/>
      <c r="AH44" s="26"/>
      <c r="AI44" s="26">
        <f t="shared" si="9"/>
        <v>5185547</v>
      </c>
      <c r="AJ44" s="26">
        <f t="shared" si="17"/>
        <v>713933</v>
      </c>
      <c r="AK44" s="26">
        <v>4471614</v>
      </c>
    </row>
    <row r="45" spans="1:38" s="16" customFormat="1" ht="15.75" customHeight="1">
      <c r="A45" s="11" t="s">
        <v>84</v>
      </c>
      <c r="B45" s="37">
        <v>13213506</v>
      </c>
      <c r="C45" s="13">
        <f t="shared" si="14"/>
        <v>0</v>
      </c>
      <c r="D45" s="37">
        <v>13213506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14">
        <f t="shared" si="15"/>
        <v>13213506</v>
      </c>
      <c r="O45" s="15"/>
      <c r="P45" s="12"/>
      <c r="Q45" s="12"/>
      <c r="R45" s="12">
        <f t="shared" si="16"/>
        <v>13213506</v>
      </c>
      <c r="S45" s="37">
        <v>20813206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37">
        <v>0</v>
      </c>
      <c r="AC45" s="12">
        <v>0</v>
      </c>
      <c r="AD45" s="12">
        <v>0</v>
      </c>
      <c r="AE45" s="14">
        <f t="shared" si="8"/>
        <v>20813206</v>
      </c>
      <c r="AF45" s="15"/>
      <c r="AG45" s="12"/>
      <c r="AH45" s="12"/>
      <c r="AI45" s="12">
        <f t="shared" si="9"/>
        <v>20813206</v>
      </c>
      <c r="AJ45" s="12">
        <f t="shared" si="17"/>
        <v>7599700</v>
      </c>
      <c r="AK45" s="12">
        <v>13213506</v>
      </c>
    </row>
    <row r="46" spans="1:38" ht="15.75" customHeight="1">
      <c r="A46" s="25" t="s">
        <v>85</v>
      </c>
      <c r="B46" s="32">
        <v>3572443</v>
      </c>
      <c r="C46" s="27">
        <f t="shared" si="14"/>
        <v>2334259</v>
      </c>
      <c r="D46" s="32">
        <v>5906702</v>
      </c>
      <c r="E46" s="32">
        <v>0</v>
      </c>
      <c r="F46" s="32">
        <v>0</v>
      </c>
      <c r="G46" s="32">
        <v>31406.06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3">
        <f t="shared" si="15"/>
        <v>5938108.0599999996</v>
      </c>
      <c r="O46" s="29"/>
      <c r="P46" s="26"/>
      <c r="Q46" s="26"/>
      <c r="R46" s="32">
        <f t="shared" si="16"/>
        <v>5938108.0599999996</v>
      </c>
      <c r="S46" s="32">
        <v>3572443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3">
        <f t="shared" si="8"/>
        <v>3572443</v>
      </c>
      <c r="AF46" s="29"/>
      <c r="AG46" s="26"/>
      <c r="AH46" s="26"/>
      <c r="AI46" s="32">
        <f t="shared" si="9"/>
        <v>3572443</v>
      </c>
      <c r="AJ46" s="32">
        <f t="shared" si="17"/>
        <v>-2365666</v>
      </c>
      <c r="AK46" s="32">
        <v>5938109</v>
      </c>
    </row>
    <row r="47" spans="1:38" ht="15.75" customHeight="1">
      <c r="A47" s="34" t="s">
        <v>86</v>
      </c>
      <c r="B47" s="38">
        <f>SUM(B28:B46)</f>
        <v>124943136</v>
      </c>
      <c r="C47" s="39"/>
      <c r="D47" s="38">
        <f t="shared" ref="D47:N47" si="18">SUM(D28:D46)</f>
        <v>128201741</v>
      </c>
      <c r="E47" s="38">
        <f t="shared" si="18"/>
        <v>3790625</v>
      </c>
      <c r="F47" s="38">
        <f t="shared" si="18"/>
        <v>3007926.43</v>
      </c>
      <c r="G47" s="38">
        <f t="shared" si="18"/>
        <v>1407249.06</v>
      </c>
      <c r="H47" s="38">
        <f t="shared" si="18"/>
        <v>604577.14999999991</v>
      </c>
      <c r="I47" s="38">
        <f t="shared" si="18"/>
        <v>0</v>
      </c>
      <c r="J47" s="38">
        <f t="shared" si="18"/>
        <v>793.6</v>
      </c>
      <c r="K47" s="38">
        <f t="shared" si="18"/>
        <v>0</v>
      </c>
      <c r="L47" s="38">
        <f t="shared" si="18"/>
        <v>0</v>
      </c>
      <c r="M47" s="38">
        <f t="shared" si="18"/>
        <v>0</v>
      </c>
      <c r="N47" s="38">
        <f t="shared" si="18"/>
        <v>137012912.23999998</v>
      </c>
      <c r="O47" s="29"/>
      <c r="P47" s="35"/>
      <c r="Q47" s="35"/>
      <c r="R47" s="38">
        <f>SUM(R28:R46)</f>
        <v>129584486.41999999</v>
      </c>
      <c r="S47" s="38">
        <f>SUM(S27:S46)</f>
        <v>126573375</v>
      </c>
      <c r="T47" s="38">
        <f t="shared" ref="T47:AD47" si="19">SUM(T28:T46)</f>
        <v>8586796</v>
      </c>
      <c r="U47" s="38">
        <f t="shared" si="19"/>
        <v>2683308</v>
      </c>
      <c r="V47" s="38">
        <f t="shared" si="19"/>
        <v>180603</v>
      </c>
      <c r="W47" s="38">
        <f t="shared" si="19"/>
        <v>1296079</v>
      </c>
      <c r="X47" s="38">
        <f t="shared" si="19"/>
        <v>0</v>
      </c>
      <c r="Y47" s="38">
        <f t="shared" si="19"/>
        <v>0</v>
      </c>
      <c r="Z47" s="38">
        <f t="shared" si="19"/>
        <v>0</v>
      </c>
      <c r="AA47" s="38">
        <f t="shared" si="19"/>
        <v>0</v>
      </c>
      <c r="AB47" s="38">
        <f t="shared" si="19"/>
        <v>3525403</v>
      </c>
      <c r="AC47" s="38">
        <f t="shared" si="19"/>
        <v>751998</v>
      </c>
      <c r="AD47" s="38">
        <f t="shared" si="19"/>
        <v>979148</v>
      </c>
      <c r="AE47" s="38">
        <f>SUM(AE27:AE46)</f>
        <v>144576710</v>
      </c>
      <c r="AF47" s="29"/>
      <c r="AG47" s="35"/>
      <c r="AH47" s="35"/>
      <c r="AI47" s="38" t="e">
        <f>SUM(AI27:AI46)</f>
        <v>#REF!</v>
      </c>
      <c r="AJ47" s="38" t="e">
        <f t="shared" si="17"/>
        <v>#REF!</v>
      </c>
      <c r="AK47" s="38">
        <f>SUM(AK28:AK46)</f>
        <v>129584488</v>
      </c>
    </row>
    <row r="48" spans="1:38" ht="15.75" customHeight="1">
      <c r="A48" s="25" t="s">
        <v>87</v>
      </c>
      <c r="B48" s="26">
        <v>23879352</v>
      </c>
      <c r="C48" s="27">
        <f t="shared" ref="C48:C53" si="20">D48-B48</f>
        <v>0</v>
      </c>
      <c r="D48" s="26">
        <v>23879352</v>
      </c>
      <c r="E48" s="40">
        <v>5000</v>
      </c>
      <c r="F48" s="40">
        <v>105000</v>
      </c>
      <c r="G48" s="40">
        <v>10000</v>
      </c>
      <c r="H48" s="26">
        <v>1000</v>
      </c>
      <c r="I48" s="26">
        <v>1000</v>
      </c>
      <c r="J48" s="26">
        <v>5000</v>
      </c>
      <c r="K48" s="26">
        <v>10000</v>
      </c>
      <c r="L48" s="26">
        <v>800</v>
      </c>
      <c r="M48" s="26">
        <v>800</v>
      </c>
      <c r="N48" s="28">
        <f t="shared" ref="N48:N53" si="21">SUM(D48:M48)</f>
        <v>24017952</v>
      </c>
      <c r="O48" s="29" t="s">
        <v>51</v>
      </c>
      <c r="P48" s="26">
        <f>+'Asientos - para Consolidado'!D24</f>
        <v>138600</v>
      </c>
      <c r="Q48" s="26"/>
      <c r="R48" s="26">
        <f t="shared" ref="R48:R53" si="22">N48-P48+Q48</f>
        <v>23879352</v>
      </c>
      <c r="S48" s="26">
        <v>30006697</v>
      </c>
      <c r="T48" s="40">
        <v>5000</v>
      </c>
      <c r="U48" s="40">
        <v>1105000</v>
      </c>
      <c r="V48" s="40">
        <v>10000</v>
      </c>
      <c r="W48" s="26">
        <v>1000</v>
      </c>
      <c r="X48" s="26">
        <v>1000</v>
      </c>
      <c r="Y48" s="26">
        <v>5000</v>
      </c>
      <c r="Z48" s="26">
        <v>10000</v>
      </c>
      <c r="AA48" s="26">
        <v>800</v>
      </c>
      <c r="AB48" s="26">
        <v>800</v>
      </c>
      <c r="AC48" s="26">
        <v>3661400</v>
      </c>
      <c r="AD48" s="26">
        <v>10000</v>
      </c>
      <c r="AE48" s="28">
        <f t="shared" ref="AE48:AE57" si="23">SUM(S48:AD48)</f>
        <v>34816697</v>
      </c>
      <c r="AF48" s="29" t="s">
        <v>59</v>
      </c>
      <c r="AG48" s="26" t="e">
        <f>'Diario 2015 (a)'!C2+#REF!</f>
        <v>#REF!</v>
      </c>
      <c r="AH48" s="26"/>
      <c r="AI48" s="26" t="e">
        <f t="shared" ref="AI48:AI57" si="24">AE48-AG48+AH48</f>
        <v>#REF!</v>
      </c>
      <c r="AJ48" s="26" t="e">
        <f t="shared" si="17"/>
        <v>#REF!</v>
      </c>
      <c r="AK48" s="26">
        <v>23879352</v>
      </c>
      <c r="AL48" s="4" t="e">
        <f t="shared" ref="AL48:AL53" si="25">+S48-AI48</f>
        <v>#REF!</v>
      </c>
    </row>
    <row r="49" spans="1:43" ht="15.75" customHeight="1">
      <c r="A49" s="25" t="s">
        <v>88</v>
      </c>
      <c r="B49" s="26">
        <v>705936</v>
      </c>
      <c r="C49" s="27">
        <f t="shared" si="20"/>
        <v>0</v>
      </c>
      <c r="D49" s="26">
        <v>705936</v>
      </c>
      <c r="E49" s="40">
        <v>37184314</v>
      </c>
      <c r="F49" s="40">
        <f>1000000+260413.02</f>
        <v>1260413.02</v>
      </c>
      <c r="G49" s="40">
        <v>0</v>
      </c>
      <c r="H49" s="26">
        <v>49015</v>
      </c>
      <c r="I49" s="26">
        <v>330450</v>
      </c>
      <c r="J49" s="26">
        <v>0</v>
      </c>
      <c r="K49" s="26">
        <v>0</v>
      </c>
      <c r="L49" s="26">
        <v>0</v>
      </c>
      <c r="M49" s="26">
        <v>0</v>
      </c>
      <c r="N49" s="28">
        <f t="shared" si="21"/>
        <v>39530128.020000003</v>
      </c>
      <c r="O49" s="29" t="s">
        <v>89</v>
      </c>
      <c r="P49" s="26">
        <f>+'Asientos - para Consolidado'!D16+'Asientos - para Consolidado'!D25+'Asientos - para Consolidado'!D62</f>
        <v>38824192</v>
      </c>
      <c r="Q49" s="26"/>
      <c r="R49" s="26">
        <f t="shared" si="22"/>
        <v>705936.02000000328</v>
      </c>
      <c r="S49" s="26">
        <v>920</v>
      </c>
      <c r="T49" s="40">
        <v>42340052</v>
      </c>
      <c r="U49" s="40">
        <v>877313</v>
      </c>
      <c r="V49" s="26">
        <v>0</v>
      </c>
      <c r="W49" s="26">
        <v>49015</v>
      </c>
      <c r="X49" s="26">
        <v>330450</v>
      </c>
      <c r="Y49" s="26">
        <v>0</v>
      </c>
      <c r="Z49" s="26">
        <v>0</v>
      </c>
      <c r="AA49" s="26">
        <v>0</v>
      </c>
      <c r="AB49" s="26">
        <v>1833417</v>
      </c>
      <c r="AC49" s="26">
        <v>406800</v>
      </c>
      <c r="AD49" s="26">
        <v>0</v>
      </c>
      <c r="AE49" s="28">
        <f t="shared" si="23"/>
        <v>45837967</v>
      </c>
      <c r="AF49" s="29" t="s">
        <v>59</v>
      </c>
      <c r="AG49" s="26" t="e">
        <f>'Diario 2015 (a)'!C3+#REF!</f>
        <v>#REF!</v>
      </c>
      <c r="AH49" s="26"/>
      <c r="AI49" s="26" t="e">
        <f t="shared" si="24"/>
        <v>#REF!</v>
      </c>
      <c r="AJ49" s="26" t="e">
        <f t="shared" si="17"/>
        <v>#REF!</v>
      </c>
      <c r="AK49" s="26">
        <v>705936</v>
      </c>
      <c r="AL49" s="4" t="e">
        <f t="shared" si="25"/>
        <v>#REF!</v>
      </c>
      <c r="AO49" s="41">
        <f>AK26-AK47-AK58</f>
        <v>0</v>
      </c>
    </row>
    <row r="50" spans="1:43" ht="15.75" customHeight="1">
      <c r="A50" s="25" t="s">
        <v>90</v>
      </c>
      <c r="B50" s="26">
        <v>2640253</v>
      </c>
      <c r="C50" s="27">
        <f t="shared" si="20"/>
        <v>0</v>
      </c>
      <c r="D50" s="26">
        <v>2640253</v>
      </c>
      <c r="E50" s="40">
        <v>0</v>
      </c>
      <c r="F50" s="40">
        <v>0</v>
      </c>
      <c r="G50" s="40">
        <v>74426.570000000007</v>
      </c>
      <c r="H50" s="26">
        <v>500</v>
      </c>
      <c r="I50" s="26">
        <v>109633.48</v>
      </c>
      <c r="J50" s="26">
        <v>0</v>
      </c>
      <c r="K50" s="26">
        <v>0</v>
      </c>
      <c r="L50" s="26">
        <v>0</v>
      </c>
      <c r="M50" s="26">
        <v>0</v>
      </c>
      <c r="N50" s="28">
        <f t="shared" si="21"/>
        <v>2824813.05</v>
      </c>
      <c r="O50" s="29" t="s">
        <v>51</v>
      </c>
      <c r="P50" s="26">
        <f>+'Asientos - para Consolidado'!D26</f>
        <v>184560.05</v>
      </c>
      <c r="Q50" s="26"/>
      <c r="R50" s="26">
        <f t="shared" si="22"/>
        <v>2640253</v>
      </c>
      <c r="S50" s="26">
        <v>4662954</v>
      </c>
      <c r="T50" s="26">
        <v>0</v>
      </c>
      <c r="U50" s="26">
        <v>0</v>
      </c>
      <c r="V50" s="40">
        <v>74426</v>
      </c>
      <c r="W50" s="26">
        <v>500</v>
      </c>
      <c r="X50" s="26">
        <v>109633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8">
        <f t="shared" si="23"/>
        <v>4847513</v>
      </c>
      <c r="AF50" s="29" t="s">
        <v>52</v>
      </c>
      <c r="AG50" s="26">
        <f>'Diario 2015 (a)'!C4</f>
        <v>184560.05</v>
      </c>
      <c r="AH50" s="26"/>
      <c r="AI50" s="26">
        <f t="shared" si="24"/>
        <v>4662952.95</v>
      </c>
      <c r="AJ50" s="26">
        <f t="shared" si="17"/>
        <v>2022699.9500000002</v>
      </c>
      <c r="AK50" s="26">
        <v>2640253</v>
      </c>
      <c r="AL50" s="4">
        <f t="shared" si="25"/>
        <v>1.0499999998137355</v>
      </c>
    </row>
    <row r="51" spans="1:43" ht="15.75" customHeight="1">
      <c r="A51" s="25" t="s">
        <v>91</v>
      </c>
      <c r="B51" s="26">
        <v>34797</v>
      </c>
      <c r="C51" s="27">
        <f t="shared" si="20"/>
        <v>0</v>
      </c>
      <c r="D51" s="26">
        <v>34797</v>
      </c>
      <c r="E51" s="40">
        <v>0</v>
      </c>
      <c r="F51" s="40">
        <v>0</v>
      </c>
      <c r="G51" s="40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8">
        <f t="shared" si="21"/>
        <v>34797</v>
      </c>
      <c r="O51" s="29"/>
      <c r="P51" s="26"/>
      <c r="Q51" s="26"/>
      <c r="R51" s="26">
        <f t="shared" si="22"/>
        <v>34797</v>
      </c>
      <c r="S51" s="26">
        <v>34797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8">
        <f t="shared" si="23"/>
        <v>34797</v>
      </c>
      <c r="AF51" s="29"/>
      <c r="AG51" s="26"/>
      <c r="AH51" s="26"/>
      <c r="AI51" s="26">
        <f t="shared" si="24"/>
        <v>34797</v>
      </c>
      <c r="AJ51" s="26">
        <f t="shared" si="17"/>
        <v>0</v>
      </c>
      <c r="AK51" s="26">
        <v>34797</v>
      </c>
      <c r="AL51" s="4">
        <f t="shared" si="25"/>
        <v>0</v>
      </c>
    </row>
    <row r="52" spans="1:43" ht="15.75" customHeight="1">
      <c r="A52" s="25" t="s">
        <v>92</v>
      </c>
      <c r="B52" s="26">
        <v>227072</v>
      </c>
      <c r="C52" s="27">
        <f t="shared" si="20"/>
        <v>0</v>
      </c>
      <c r="D52" s="26">
        <v>227072</v>
      </c>
      <c r="E52" s="40">
        <v>0</v>
      </c>
      <c r="F52" s="40">
        <v>0</v>
      </c>
      <c r="G52" s="40">
        <v>0</v>
      </c>
      <c r="H52" s="26">
        <v>0</v>
      </c>
      <c r="I52" s="26">
        <v>0</v>
      </c>
      <c r="J52" s="26">
        <v>1226.1199999999999</v>
      </c>
      <c r="K52" s="26">
        <v>0</v>
      </c>
      <c r="L52" s="26">
        <v>340.17</v>
      </c>
      <c r="M52" s="26">
        <v>0</v>
      </c>
      <c r="N52" s="28">
        <f t="shared" si="21"/>
        <v>228638.29</v>
      </c>
      <c r="O52" s="29" t="s">
        <v>51</v>
      </c>
      <c r="P52" s="26">
        <f>+'Asientos - para Consolidado'!D27</f>
        <v>1566.29</v>
      </c>
      <c r="Q52" s="26"/>
      <c r="R52" s="26">
        <f t="shared" si="22"/>
        <v>227072</v>
      </c>
      <c r="S52" s="26">
        <v>227072</v>
      </c>
      <c r="T52" s="26">
        <v>0</v>
      </c>
      <c r="U52" s="26">
        <v>0</v>
      </c>
      <c r="V52" s="40">
        <v>0</v>
      </c>
      <c r="W52" s="26">
        <v>0</v>
      </c>
      <c r="X52" s="26">
        <v>0</v>
      </c>
      <c r="Y52" s="26">
        <v>1226</v>
      </c>
      <c r="Z52" s="26">
        <v>0</v>
      </c>
      <c r="AA52" s="26">
        <v>340</v>
      </c>
      <c r="AB52" s="26">
        <v>0</v>
      </c>
      <c r="AC52" s="26">
        <v>274690</v>
      </c>
      <c r="AD52" s="26">
        <v>0</v>
      </c>
      <c r="AE52" s="28">
        <f t="shared" si="23"/>
        <v>503328</v>
      </c>
      <c r="AF52" s="29" t="s">
        <v>52</v>
      </c>
      <c r="AG52" s="26" t="e">
        <f>'Diario 2015 (a)'!C5+#REF!</f>
        <v>#REF!</v>
      </c>
      <c r="AH52" s="26"/>
      <c r="AI52" s="26" t="e">
        <f t="shared" si="24"/>
        <v>#REF!</v>
      </c>
      <c r="AJ52" s="26" t="e">
        <f t="shared" si="17"/>
        <v>#REF!</v>
      </c>
      <c r="AK52" s="26">
        <v>227072</v>
      </c>
      <c r="AL52" s="4" t="e">
        <f t="shared" si="25"/>
        <v>#REF!</v>
      </c>
      <c r="AO52" s="4">
        <f>SUM(AK52:AK56)</f>
        <v>31964783</v>
      </c>
    </row>
    <row r="53" spans="1:43" ht="15.75" customHeight="1">
      <c r="A53" s="25" t="s">
        <v>93</v>
      </c>
      <c r="B53" s="26">
        <v>-3202431</v>
      </c>
      <c r="C53" s="27">
        <f t="shared" si="20"/>
        <v>0</v>
      </c>
      <c r="D53" s="26">
        <v>-3202431</v>
      </c>
      <c r="E53" s="40">
        <v>0</v>
      </c>
      <c r="F53" s="40">
        <v>0</v>
      </c>
      <c r="G53" s="40">
        <v>0</v>
      </c>
      <c r="H53" s="26">
        <v>82150.45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8">
        <f t="shared" si="21"/>
        <v>-3120280.55</v>
      </c>
      <c r="O53" s="29" t="s">
        <v>51</v>
      </c>
      <c r="P53" s="26">
        <f>+'Asientos - para Consolidado'!D28</f>
        <v>82150.45</v>
      </c>
      <c r="Q53" s="26"/>
      <c r="R53" s="26">
        <f t="shared" si="22"/>
        <v>-3202431</v>
      </c>
      <c r="S53" s="26">
        <v>-3202431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-56932</v>
      </c>
      <c r="AD53" s="26">
        <v>0</v>
      </c>
      <c r="AE53" s="28">
        <f t="shared" si="23"/>
        <v>-3259363</v>
      </c>
      <c r="AF53" s="29" t="s">
        <v>59</v>
      </c>
      <c r="AG53" s="26">
        <f>'Diario 2015 (a)'!C6</f>
        <v>82150.45</v>
      </c>
      <c r="AH53" s="26" t="e">
        <f>#REF!</f>
        <v>#REF!</v>
      </c>
      <c r="AI53" s="26" t="e">
        <f t="shared" si="24"/>
        <v>#REF!</v>
      </c>
      <c r="AJ53" s="26" t="e">
        <f t="shared" si="17"/>
        <v>#REF!</v>
      </c>
      <c r="AK53" s="26">
        <v>-3202431</v>
      </c>
      <c r="AL53" s="4" t="e">
        <f t="shared" si="25"/>
        <v>#REF!</v>
      </c>
      <c r="AP53" s="6"/>
    </row>
    <row r="54" spans="1:43" ht="15.75" customHeight="1">
      <c r="A54" s="25" t="s">
        <v>94</v>
      </c>
      <c r="B54" s="26"/>
      <c r="C54" s="27"/>
      <c r="D54" s="26"/>
      <c r="E54" s="40"/>
      <c r="F54" s="40"/>
      <c r="G54" s="40"/>
      <c r="H54" s="26"/>
      <c r="I54" s="26"/>
      <c r="J54" s="26"/>
      <c r="K54" s="26"/>
      <c r="L54" s="26"/>
      <c r="M54" s="26"/>
      <c r="N54" s="28"/>
      <c r="O54" s="29"/>
      <c r="P54" s="26"/>
      <c r="Q54" s="26"/>
      <c r="R54" s="26"/>
      <c r="S54" s="26">
        <f>1849659-495802</f>
        <v>1353857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8">
        <f t="shared" si="23"/>
        <v>1353857</v>
      </c>
      <c r="AF54" s="29"/>
      <c r="AG54" s="26"/>
      <c r="AH54" s="26"/>
      <c r="AI54" s="26">
        <f t="shared" si="24"/>
        <v>1353857</v>
      </c>
      <c r="AJ54" s="26"/>
      <c r="AK54" s="26"/>
      <c r="AL54" s="4"/>
      <c r="AP54" s="6"/>
    </row>
    <row r="55" spans="1:43" ht="15.75" customHeight="1">
      <c r="A55" s="25" t="s">
        <v>95</v>
      </c>
      <c r="B55" s="26">
        <f>41559897-13418852</f>
        <v>28141045</v>
      </c>
      <c r="C55" s="27">
        <f>D55-B55</f>
        <v>-5585599</v>
      </c>
      <c r="D55" s="26">
        <v>22555446</v>
      </c>
      <c r="E55" s="40">
        <v>0</v>
      </c>
      <c r="F55" s="40">
        <v>-41629.31</v>
      </c>
      <c r="G55" s="40">
        <v>895753.95</v>
      </c>
      <c r="H55" s="26">
        <f>387853.68-258715.33</f>
        <v>129138.35</v>
      </c>
      <c r="I55" s="26">
        <v>-26948.34</v>
      </c>
      <c r="J55" s="26">
        <v>968.87</v>
      </c>
      <c r="K55" s="26">
        <v>0</v>
      </c>
      <c r="L55" s="26">
        <v>0</v>
      </c>
      <c r="M55" s="26">
        <v>0</v>
      </c>
      <c r="N55" s="28">
        <f>SUM(D55:M55)</f>
        <v>23512729.520000003</v>
      </c>
      <c r="O55" s="29" t="s">
        <v>96</v>
      </c>
      <c r="P55" s="26">
        <f>+'Asientos - para Consolidado'!D29+'Asientos - para Consolidado'!D32</f>
        <v>1785831.8836487459</v>
      </c>
      <c r="Q55" s="26">
        <f>+'Asientos - para Consolidado'!E34</f>
        <v>1044878.7099375</v>
      </c>
      <c r="R55" s="26">
        <f>N55-P55+Q55</f>
        <v>22771776.346288759</v>
      </c>
      <c r="S55" s="17">
        <f>31666289+495802-200</f>
        <v>32161891</v>
      </c>
      <c r="T55" s="40">
        <v>2254833</v>
      </c>
      <c r="U55" s="40">
        <v>-16937</v>
      </c>
      <c r="V55" s="40">
        <v>911628</v>
      </c>
      <c r="W55" s="26">
        <v>-488265</v>
      </c>
      <c r="X55" s="26">
        <v>-53896</v>
      </c>
      <c r="Y55" s="26">
        <v>1763</v>
      </c>
      <c r="Z55" s="26">
        <v>0</v>
      </c>
      <c r="AA55" s="26">
        <v>0</v>
      </c>
      <c r="AB55" s="26">
        <v>-15422</v>
      </c>
      <c r="AC55" s="26">
        <v>-3886526</v>
      </c>
      <c r="AD55" s="26">
        <v>-144335</v>
      </c>
      <c r="AE55" s="28">
        <f t="shared" si="23"/>
        <v>30724734</v>
      </c>
      <c r="AF55" s="29" t="s">
        <v>97</v>
      </c>
      <c r="AG55" s="26" t="e">
        <f>'Diario 2015 (a)'!C7+'Diario 2015 (a)'!C9+#REF!</f>
        <v>#REF!</v>
      </c>
      <c r="AH55" s="26" t="e">
        <f>'Diario 2015 (a)'!D11+#REF!+'Diarios Cxc Cxp relac (c)'!E37</f>
        <v>#REF!</v>
      </c>
      <c r="AI55" s="26" t="e">
        <f t="shared" si="24"/>
        <v>#REF!</v>
      </c>
      <c r="AJ55" s="26" t="e">
        <f>AI55-AK55</f>
        <v>#REF!</v>
      </c>
      <c r="AK55" s="26">
        <v>22771776</v>
      </c>
      <c r="AL55" s="4" t="e">
        <f>S55-AI55</f>
        <v>#REF!</v>
      </c>
      <c r="AM55" s="4"/>
      <c r="AO55" s="4"/>
      <c r="AP55" s="6"/>
    </row>
    <row r="56" spans="1:43" ht="15.75" customHeight="1">
      <c r="A56" s="25" t="s">
        <v>98</v>
      </c>
      <c r="B56" s="31">
        <v>13418852</v>
      </c>
      <c r="C56" s="27">
        <f>D56-B56</f>
        <v>19335</v>
      </c>
      <c r="D56" s="31">
        <f>D76</f>
        <v>13438187</v>
      </c>
      <c r="E56" s="42">
        <v>-428382</v>
      </c>
      <c r="F56" s="42">
        <v>-42247.24</v>
      </c>
      <c r="G56" s="42">
        <v>-71048.58</v>
      </c>
      <c r="H56" s="31">
        <v>-489726.71993750002</v>
      </c>
      <c r="I56" s="31">
        <v>-13474.17</v>
      </c>
      <c r="J56" s="31">
        <v>0</v>
      </c>
      <c r="K56" s="31">
        <v>0</v>
      </c>
      <c r="L56" s="31">
        <v>0</v>
      </c>
      <c r="M56" s="31">
        <v>0</v>
      </c>
      <c r="N56" s="28">
        <f>SUM(D56:M56)</f>
        <v>12393308.2900625</v>
      </c>
      <c r="O56" s="29" t="s">
        <v>69</v>
      </c>
      <c r="P56" s="26">
        <f>+'Asientos - para Consolidado'!D43+'Asientos - para Consolidado'!D79</f>
        <v>669524.34</v>
      </c>
      <c r="Q56" s="26">
        <f>+'Asientos - para Consolidado'!E44</f>
        <v>444582</v>
      </c>
      <c r="R56" s="26">
        <f>N56-P56+Q56</f>
        <v>12168365.9500625</v>
      </c>
      <c r="S56" s="43">
        <v>5595545</v>
      </c>
      <c r="T56" s="42">
        <v>-1077724</v>
      </c>
      <c r="U56" s="42">
        <v>19337</v>
      </c>
      <c r="V56" s="42">
        <v>-15891</v>
      </c>
      <c r="W56" s="31">
        <v>-493384</v>
      </c>
      <c r="X56" s="31">
        <v>-13474</v>
      </c>
      <c r="Y56" s="26">
        <v>0</v>
      </c>
      <c r="Z56" s="26">
        <v>0</v>
      </c>
      <c r="AA56" s="26">
        <v>0</v>
      </c>
      <c r="AB56" s="31">
        <v>-344143</v>
      </c>
      <c r="AC56" s="26">
        <v>-502401</v>
      </c>
      <c r="AD56" s="26">
        <f>AD76</f>
        <v>-395559</v>
      </c>
      <c r="AE56" s="28">
        <f t="shared" si="23"/>
        <v>2772306</v>
      </c>
      <c r="AF56" s="29" t="s">
        <v>51</v>
      </c>
      <c r="AG56" s="44" t="e">
        <f>#REF!+#REF!+(AG60-AH61-AH64-AH65)</f>
        <v>#REF!</v>
      </c>
      <c r="AH56" s="26" t="e">
        <f>#REF!</f>
        <v>#REF!</v>
      </c>
      <c r="AI56" s="26" t="e">
        <f t="shared" si="24"/>
        <v>#REF!</v>
      </c>
      <c r="AJ56" s="26" t="e">
        <f>AI56-AK56</f>
        <v>#REF!</v>
      </c>
      <c r="AK56" s="26">
        <v>12168366</v>
      </c>
      <c r="AL56" s="4" t="e">
        <f>AI56-S56</f>
        <v>#REF!</v>
      </c>
      <c r="AM56" s="45" t="e">
        <f>+AI56-AI81</f>
        <v>#REF!</v>
      </c>
      <c r="AP56" s="6"/>
      <c r="AQ56" s="4"/>
    </row>
    <row r="57" spans="1:43" ht="15.75" customHeight="1">
      <c r="A57" s="25" t="s">
        <v>99</v>
      </c>
      <c r="B57" s="32">
        <v>0</v>
      </c>
      <c r="C57" s="27">
        <f>D57-B57</f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3">
        <f>SUM(D57:M57)</f>
        <v>0</v>
      </c>
      <c r="O57" s="29" t="s">
        <v>51</v>
      </c>
      <c r="P57" s="26"/>
      <c r="Q57" s="26">
        <f>+'Asientos - para Consolidado'!E36</f>
        <v>9357519.0706554651</v>
      </c>
      <c r="R57" s="32">
        <f>N57-P57+Q57</f>
        <v>9357519.0706554651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3">
        <f t="shared" si="23"/>
        <v>0</v>
      </c>
      <c r="AF57" s="29" t="s">
        <v>59</v>
      </c>
      <c r="AG57" s="26" t="e">
        <f>#REF!</f>
        <v>#REF!</v>
      </c>
      <c r="AH57" s="26" t="e">
        <f>'Diario 2015 (a)'!D13+#REF!</f>
        <v>#REF!</v>
      </c>
      <c r="AI57" s="32" t="e">
        <f t="shared" si="24"/>
        <v>#REF!</v>
      </c>
      <c r="AJ57" s="32" t="e">
        <f>AI57-AK57</f>
        <v>#REF!</v>
      </c>
      <c r="AK57" s="32">
        <v>9357519</v>
      </c>
      <c r="AL57" s="4" t="e">
        <f>AL55-AL56</f>
        <v>#REF!</v>
      </c>
    </row>
    <row r="58" spans="1:43" ht="15.75" customHeight="1">
      <c r="A58" s="34" t="s">
        <v>100</v>
      </c>
      <c r="B58" s="46">
        <f>SUM(B48:B57)</f>
        <v>65844876</v>
      </c>
      <c r="C58" s="39"/>
      <c r="D58" s="46">
        <f t="shared" ref="D58:N58" si="26">SUM(D48:D57)</f>
        <v>60278612</v>
      </c>
      <c r="E58" s="46">
        <f t="shared" si="26"/>
        <v>36760932</v>
      </c>
      <c r="F58" s="46">
        <f t="shared" si="26"/>
        <v>1281536.47</v>
      </c>
      <c r="G58" s="46">
        <f t="shared" si="26"/>
        <v>909131.94000000006</v>
      </c>
      <c r="H58" s="46">
        <f t="shared" si="26"/>
        <v>-227922.9199375</v>
      </c>
      <c r="I58" s="46">
        <f t="shared" si="26"/>
        <v>400660.97</v>
      </c>
      <c r="J58" s="46">
        <f t="shared" si="26"/>
        <v>7194.99</v>
      </c>
      <c r="K58" s="46">
        <f t="shared" si="26"/>
        <v>10000</v>
      </c>
      <c r="L58" s="46">
        <f t="shared" si="26"/>
        <v>1140.17</v>
      </c>
      <c r="M58" s="46">
        <f t="shared" si="26"/>
        <v>800</v>
      </c>
      <c r="N58" s="46">
        <f t="shared" si="26"/>
        <v>99422085.620062515</v>
      </c>
      <c r="O58" s="47"/>
      <c r="P58" s="46"/>
      <c r="Q58" s="46"/>
      <c r="R58" s="46">
        <f t="shared" ref="R58:AE58" si="27">SUM(R48:R57)</f>
        <v>68582640.38700673</v>
      </c>
      <c r="S58" s="46">
        <f t="shared" si="27"/>
        <v>70841302</v>
      </c>
      <c r="T58" s="46">
        <f t="shared" si="27"/>
        <v>43522161</v>
      </c>
      <c r="U58" s="46">
        <f t="shared" si="27"/>
        <v>1984713</v>
      </c>
      <c r="V58" s="46">
        <f t="shared" si="27"/>
        <v>980163</v>
      </c>
      <c r="W58" s="46">
        <f t="shared" si="27"/>
        <v>-931134</v>
      </c>
      <c r="X58" s="46">
        <f t="shared" si="27"/>
        <v>373713</v>
      </c>
      <c r="Y58" s="46">
        <f t="shared" si="27"/>
        <v>7989</v>
      </c>
      <c r="Z58" s="46">
        <f t="shared" si="27"/>
        <v>10000</v>
      </c>
      <c r="AA58" s="46">
        <f t="shared" si="27"/>
        <v>1140</v>
      </c>
      <c r="AB58" s="46">
        <f t="shared" si="27"/>
        <v>1474652</v>
      </c>
      <c r="AC58" s="46">
        <f t="shared" si="27"/>
        <v>-102969</v>
      </c>
      <c r="AD58" s="46">
        <f t="shared" si="27"/>
        <v>-529894</v>
      </c>
      <c r="AE58" s="46">
        <f t="shared" si="27"/>
        <v>117631836</v>
      </c>
      <c r="AF58" s="47"/>
      <c r="AG58" s="46"/>
      <c r="AH58" s="46"/>
      <c r="AI58" s="46" t="e">
        <f>SUM(AI48:AI57)</f>
        <v>#REF!</v>
      </c>
      <c r="AJ58" s="46" t="e">
        <f>AI58-AK58</f>
        <v>#REF!</v>
      </c>
      <c r="AK58" s="46">
        <f>SUM(AK48:AK57)</f>
        <v>68582640</v>
      </c>
    </row>
    <row r="59" spans="1:43" ht="15.75" customHeight="1">
      <c r="A59" s="34"/>
      <c r="B59" s="46"/>
      <c r="C59" s="39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7"/>
      <c r="AG59" s="46"/>
      <c r="AI59" s="46"/>
      <c r="AJ59" s="46"/>
      <c r="AK59" s="46"/>
      <c r="AL59" s="4" t="e">
        <f>+AI58+AI47</f>
        <v>#REF!</v>
      </c>
      <c r="AM59" s="4" t="e">
        <f>+AL59-AI26</f>
        <v>#REF!</v>
      </c>
    </row>
    <row r="60" spans="1:43" ht="15.75" customHeight="1">
      <c r="A60" s="25" t="s">
        <v>101</v>
      </c>
      <c r="B60" s="48">
        <v>124607414</v>
      </c>
      <c r="C60" s="27">
        <f>D60-B60</f>
        <v>0</v>
      </c>
      <c r="D60" s="48">
        <v>124607414</v>
      </c>
      <c r="E60" s="48">
        <v>0</v>
      </c>
      <c r="F60" s="48">
        <v>0</v>
      </c>
      <c r="G60" s="48">
        <v>0</v>
      </c>
      <c r="H60" s="48">
        <v>60885.43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28">
        <f>SUM(D60:M60)</f>
        <v>124668299.43000001</v>
      </c>
      <c r="O60" s="49" t="s">
        <v>69</v>
      </c>
      <c r="P60" s="48">
        <f>+'Asientos - para Consolidado'!D43+'Asientos - para Consolidado'!D46</f>
        <v>455612</v>
      </c>
      <c r="Q60" s="48"/>
      <c r="R60" s="26">
        <f>N60-P60+Q60</f>
        <v>124212687.43000001</v>
      </c>
      <c r="S60" s="48">
        <v>152924768</v>
      </c>
      <c r="T60" s="48">
        <v>1907995</v>
      </c>
      <c r="U60" s="48">
        <v>636407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120923</v>
      </c>
      <c r="AC60" s="48">
        <v>280002</v>
      </c>
      <c r="AD60" s="48">
        <v>162445</v>
      </c>
      <c r="AE60" s="28">
        <f>SUM(S60:AD60)</f>
        <v>156032540</v>
      </c>
      <c r="AF60" s="49" t="s">
        <v>41</v>
      </c>
      <c r="AG60" s="48">
        <f>'Ventas-Compras (d)'!D26</f>
        <v>376468.58</v>
      </c>
      <c r="AH60" s="48"/>
      <c r="AI60" s="26">
        <f>AE60-AG60+AH60</f>
        <v>155656071.41999999</v>
      </c>
      <c r="AJ60" s="26">
        <f>AI60-AK60</f>
        <v>31443384.419999987</v>
      </c>
      <c r="AK60" s="26">
        <v>124212687</v>
      </c>
    </row>
    <row r="61" spans="1:43" ht="15.75" customHeight="1">
      <c r="A61" s="25" t="s">
        <v>102</v>
      </c>
      <c r="B61" s="50">
        <v>-89506183</v>
      </c>
      <c r="C61" s="27">
        <f>D61-B61</f>
        <v>0</v>
      </c>
      <c r="D61" s="50">
        <v>-89506183</v>
      </c>
      <c r="E61" s="50">
        <v>0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33">
        <f>SUM(D61:M61)</f>
        <v>-89506183</v>
      </c>
      <c r="O61" s="49" t="s">
        <v>69</v>
      </c>
      <c r="P61" s="48"/>
      <c r="Q61" s="48">
        <f>+'Asientos - para Consolidado'!E44</f>
        <v>444582</v>
      </c>
      <c r="R61" s="32">
        <f>N61-P61+Q61</f>
        <v>-89061601</v>
      </c>
      <c r="S61" s="50">
        <v>-71809934</v>
      </c>
      <c r="T61" s="50">
        <v>-2677882</v>
      </c>
      <c r="U61" s="50">
        <v>-187557</v>
      </c>
      <c r="V61" s="50">
        <v>0</v>
      </c>
      <c r="W61" s="50">
        <v>0</v>
      </c>
      <c r="X61" s="50">
        <v>0</v>
      </c>
      <c r="Y61" s="50">
        <v>0</v>
      </c>
      <c r="Z61" s="50">
        <v>0</v>
      </c>
      <c r="AA61" s="50">
        <v>0</v>
      </c>
      <c r="AB61" s="50">
        <v>-299751</v>
      </c>
      <c r="AC61" s="50">
        <v>-199020</v>
      </c>
      <c r="AD61" s="50">
        <v>-118573</v>
      </c>
      <c r="AE61" s="33">
        <f>SUM(S61:AD61)</f>
        <v>-75292717</v>
      </c>
      <c r="AF61" s="49" t="s">
        <v>41</v>
      </c>
      <c r="AG61" s="48"/>
      <c r="AH61" s="48">
        <f>'Ventas-Compras (d)'!E27</f>
        <v>357344</v>
      </c>
      <c r="AI61" s="32">
        <f>AE61-AG61+AH61</f>
        <v>-74935373</v>
      </c>
      <c r="AJ61" s="32">
        <f>AI61-AK61</f>
        <v>14126228</v>
      </c>
      <c r="AK61" s="32">
        <v>-89061601</v>
      </c>
    </row>
    <row r="62" spans="1:43" ht="15.75" customHeight="1">
      <c r="A62" s="25" t="s">
        <v>103</v>
      </c>
      <c r="B62" s="51">
        <f>SUM(B60:B61)</f>
        <v>35101231</v>
      </c>
      <c r="C62" s="52"/>
      <c r="D62" s="51">
        <f t="shared" ref="D62:N62" si="28">SUM(D60:D61)</f>
        <v>35101231</v>
      </c>
      <c r="E62" s="51">
        <f t="shared" si="28"/>
        <v>0</v>
      </c>
      <c r="F62" s="51">
        <f t="shared" si="28"/>
        <v>0</v>
      </c>
      <c r="G62" s="51">
        <f t="shared" si="28"/>
        <v>0</v>
      </c>
      <c r="H62" s="51">
        <f t="shared" si="28"/>
        <v>60885.43</v>
      </c>
      <c r="I62" s="51">
        <f t="shared" si="28"/>
        <v>0</v>
      </c>
      <c r="J62" s="51">
        <f t="shared" si="28"/>
        <v>0</v>
      </c>
      <c r="K62" s="51">
        <f t="shared" si="28"/>
        <v>0</v>
      </c>
      <c r="L62" s="51">
        <f t="shared" si="28"/>
        <v>0</v>
      </c>
      <c r="M62" s="51">
        <f t="shared" si="28"/>
        <v>0</v>
      </c>
      <c r="N62" s="51">
        <f t="shared" si="28"/>
        <v>35162116.430000007</v>
      </c>
      <c r="O62" s="49"/>
      <c r="P62" s="51"/>
      <c r="Q62" s="51"/>
      <c r="R62" s="51">
        <f t="shared" ref="R62:AE62" si="29">SUM(R60:R61)</f>
        <v>35151086.430000007</v>
      </c>
      <c r="S62" s="51">
        <f t="shared" si="29"/>
        <v>81114834</v>
      </c>
      <c r="T62" s="51">
        <f t="shared" si="29"/>
        <v>-769887</v>
      </c>
      <c r="U62" s="51">
        <f t="shared" si="29"/>
        <v>448850</v>
      </c>
      <c r="V62" s="51">
        <f t="shared" si="29"/>
        <v>0</v>
      </c>
      <c r="W62" s="51">
        <f t="shared" si="29"/>
        <v>0</v>
      </c>
      <c r="X62" s="51">
        <f t="shared" si="29"/>
        <v>0</v>
      </c>
      <c r="Y62" s="51">
        <f t="shared" si="29"/>
        <v>0</v>
      </c>
      <c r="Z62" s="51">
        <f t="shared" si="29"/>
        <v>0</v>
      </c>
      <c r="AA62" s="51">
        <f t="shared" si="29"/>
        <v>0</v>
      </c>
      <c r="AB62" s="51">
        <f t="shared" si="29"/>
        <v>-178828</v>
      </c>
      <c r="AC62" s="51">
        <f t="shared" si="29"/>
        <v>80982</v>
      </c>
      <c r="AD62" s="51">
        <f t="shared" si="29"/>
        <v>43872</v>
      </c>
      <c r="AE62" s="51">
        <f t="shared" si="29"/>
        <v>80739823</v>
      </c>
      <c r="AF62" s="49"/>
      <c r="AG62" s="51" t="s">
        <v>44</v>
      </c>
      <c r="AH62" s="51"/>
      <c r="AI62" s="51">
        <f>SUM(AI60:AI61)</f>
        <v>80720698.419999987</v>
      </c>
      <c r="AJ62" s="51">
        <f>AI62-AK62</f>
        <v>45569612.419999987</v>
      </c>
      <c r="AK62" s="51">
        <f>SUM(AK60:AK61)</f>
        <v>35151086</v>
      </c>
    </row>
    <row r="63" spans="1:43" ht="15.75" customHeight="1">
      <c r="A63" s="53"/>
      <c r="B63" s="48"/>
      <c r="C63" s="53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28"/>
      <c r="O63" s="49"/>
      <c r="P63" s="48"/>
      <c r="Q63" s="48"/>
      <c r="R63" s="26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28"/>
      <c r="AF63" s="49"/>
      <c r="AG63" s="48"/>
      <c r="AH63" s="48"/>
      <c r="AI63" s="26"/>
      <c r="AJ63" s="26"/>
      <c r="AK63" s="26"/>
    </row>
    <row r="64" spans="1:43" ht="15.75" customHeight="1">
      <c r="A64" s="25" t="s">
        <v>104</v>
      </c>
      <c r="B64" s="48">
        <v>-30987428</v>
      </c>
      <c r="C64" s="27">
        <f>D64-B64</f>
        <v>4945</v>
      </c>
      <c r="D64" s="48">
        <v>-30982483</v>
      </c>
      <c r="E64" s="48">
        <f>-95542-332969</f>
        <v>-428511</v>
      </c>
      <c r="F64" s="48">
        <f>-27248.97-F68-24590.05</f>
        <v>-51169.020000000004</v>
      </c>
      <c r="G64" s="48">
        <v>-40032</v>
      </c>
      <c r="H64" s="48">
        <f>-550678.35-H68</f>
        <v>-535525.16999999993</v>
      </c>
      <c r="I64" s="48">
        <v>-13474.17</v>
      </c>
      <c r="J64" s="48">
        <v>0</v>
      </c>
      <c r="K64" s="48">
        <v>0</v>
      </c>
      <c r="L64" s="48">
        <v>0</v>
      </c>
      <c r="M64" s="48">
        <v>0</v>
      </c>
      <c r="N64" s="28">
        <f>SUM(D64:M64)</f>
        <v>-32051194.359999999</v>
      </c>
      <c r="O64" s="49" t="s">
        <v>69</v>
      </c>
      <c r="P64" s="48"/>
      <c r="Q64" s="48">
        <f>+'Asientos - para Consolidado'!E47</f>
        <v>11030</v>
      </c>
      <c r="R64" s="26">
        <f>N64-P64+Q64</f>
        <v>-32040164.359999999</v>
      </c>
      <c r="S64" s="48">
        <v>-61700666</v>
      </c>
      <c r="T64" s="48">
        <v>-306890</v>
      </c>
      <c r="U64" s="48">
        <v>-429513</v>
      </c>
      <c r="V64" s="48">
        <v>-15891</v>
      </c>
      <c r="W64" s="48">
        <v>-493384</v>
      </c>
      <c r="X64" s="48">
        <v>-13474</v>
      </c>
      <c r="Y64" s="48">
        <v>0</v>
      </c>
      <c r="Z64" s="48">
        <v>0</v>
      </c>
      <c r="AA64" s="48">
        <v>0</v>
      </c>
      <c r="AB64" s="48">
        <f>-165338+23</f>
        <v>-165315</v>
      </c>
      <c r="AC64" s="48">
        <v>-586188</v>
      </c>
      <c r="AD64" s="48">
        <v>-444288</v>
      </c>
      <c r="AE64" s="28">
        <f>SUM(S64:AD64)</f>
        <v>-64155609</v>
      </c>
      <c r="AF64" s="49"/>
      <c r="AG64" s="48"/>
      <c r="AH64" s="48">
        <f>'Ventas-Compras (d)'!E28</f>
        <v>7818.58</v>
      </c>
      <c r="AI64" s="26">
        <f>AE64-AG64+AH64</f>
        <v>-64147790.420000002</v>
      </c>
      <c r="AJ64" s="26">
        <f>AI64-AK64</f>
        <v>-32107626.420000002</v>
      </c>
      <c r="AK64" s="26">
        <v>-32040164</v>
      </c>
    </row>
    <row r="65" spans="1:39" ht="15.75" customHeight="1">
      <c r="A65" s="54" t="s">
        <v>105</v>
      </c>
      <c r="B65" s="50">
        <v>14857424</v>
      </c>
      <c r="C65" s="27">
        <f>D65-B65</f>
        <v>0</v>
      </c>
      <c r="D65" s="50">
        <v>14857424</v>
      </c>
      <c r="E65" s="50">
        <v>129</v>
      </c>
      <c r="F65" s="50">
        <v>9591.7800000000007</v>
      </c>
      <c r="G65" s="50">
        <v>-31016.58</v>
      </c>
      <c r="H65" s="50">
        <v>4334.3500000000004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33">
        <f>SUM(D65:M65)</f>
        <v>14840462.549999999</v>
      </c>
      <c r="O65" s="49" t="s">
        <v>106</v>
      </c>
      <c r="P65" s="48">
        <f>+'Asientos - para Consolidado'!D79</f>
        <v>224942.34</v>
      </c>
      <c r="Q65" s="48"/>
      <c r="R65" s="32">
        <f>N65-P65+Q65</f>
        <v>14615520.209999999</v>
      </c>
      <c r="S65" s="50">
        <v>-3618624</v>
      </c>
      <c r="T65" s="50">
        <v>-947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17690</v>
      </c>
      <c r="AD65" s="50">
        <v>4857</v>
      </c>
      <c r="AE65" s="33">
        <f>SUM(S65:AD65)</f>
        <v>-3597024</v>
      </c>
      <c r="AF65" s="49" t="s">
        <v>51</v>
      </c>
      <c r="AG65" s="48" t="e">
        <f>#REF!</f>
        <v>#REF!</v>
      </c>
      <c r="AH65" s="48" t="e">
        <f>#REF!</f>
        <v>#REF!</v>
      </c>
      <c r="AI65" s="32" t="e">
        <f>AE65-AG65+AH65</f>
        <v>#REF!</v>
      </c>
      <c r="AJ65" s="32" t="e">
        <f>AI65-AK65</f>
        <v>#REF!</v>
      </c>
      <c r="AK65" s="32">
        <v>14615520</v>
      </c>
    </row>
    <row r="66" spans="1:39" ht="15.75" customHeight="1">
      <c r="A66" s="54" t="s">
        <v>107</v>
      </c>
      <c r="B66" s="51">
        <f>SUM(B62:B65)</f>
        <v>18971227</v>
      </c>
      <c r="C66" s="55"/>
      <c r="D66" s="51">
        <f t="shared" ref="D66:N66" si="30">SUM(D62:D65)</f>
        <v>18976172</v>
      </c>
      <c r="E66" s="51">
        <f t="shared" si="30"/>
        <v>-428382</v>
      </c>
      <c r="F66" s="51">
        <f t="shared" si="30"/>
        <v>-41577.240000000005</v>
      </c>
      <c r="G66" s="51">
        <f t="shared" si="30"/>
        <v>-71048.58</v>
      </c>
      <c r="H66" s="51">
        <f t="shared" si="30"/>
        <v>-470305.38999999996</v>
      </c>
      <c r="I66" s="51">
        <f t="shared" si="30"/>
        <v>-13474.17</v>
      </c>
      <c r="J66" s="51">
        <f t="shared" si="30"/>
        <v>0</v>
      </c>
      <c r="K66" s="51">
        <f t="shared" si="30"/>
        <v>0</v>
      </c>
      <c r="L66" s="51">
        <f t="shared" si="30"/>
        <v>0</v>
      </c>
      <c r="M66" s="51">
        <f t="shared" si="30"/>
        <v>0</v>
      </c>
      <c r="N66" s="51">
        <f t="shared" si="30"/>
        <v>17951384.620000005</v>
      </c>
      <c r="O66" s="49"/>
      <c r="P66" s="51"/>
      <c r="Q66" s="51"/>
      <c r="R66" s="51">
        <f t="shared" ref="R66:AE66" si="31">SUM(R62:R65)</f>
        <v>17726442.280000009</v>
      </c>
      <c r="S66" s="51">
        <f t="shared" si="31"/>
        <v>15795544</v>
      </c>
      <c r="T66" s="51">
        <f t="shared" si="31"/>
        <v>-1077724</v>
      </c>
      <c r="U66" s="51">
        <f t="shared" si="31"/>
        <v>19337</v>
      </c>
      <c r="V66" s="51">
        <f t="shared" si="31"/>
        <v>-15891</v>
      </c>
      <c r="W66" s="51">
        <f t="shared" si="31"/>
        <v>-493384</v>
      </c>
      <c r="X66" s="51">
        <f t="shared" si="31"/>
        <v>-13474</v>
      </c>
      <c r="Y66" s="51">
        <f t="shared" si="31"/>
        <v>0</v>
      </c>
      <c r="Z66" s="51">
        <f t="shared" si="31"/>
        <v>0</v>
      </c>
      <c r="AA66" s="51">
        <f t="shared" si="31"/>
        <v>0</v>
      </c>
      <c r="AB66" s="51">
        <f t="shared" si="31"/>
        <v>-344143</v>
      </c>
      <c r="AC66" s="51">
        <f t="shared" si="31"/>
        <v>-487516</v>
      </c>
      <c r="AD66" s="51">
        <f t="shared" si="31"/>
        <v>-395559</v>
      </c>
      <c r="AE66" s="51">
        <f t="shared" si="31"/>
        <v>12987190</v>
      </c>
      <c r="AF66" s="49"/>
      <c r="AG66" s="51"/>
      <c r="AH66" s="51"/>
      <c r="AI66" s="51" t="e">
        <f>SUM(AI62:AI65)</f>
        <v>#REF!</v>
      </c>
      <c r="AJ66" s="51" t="e">
        <f>AI66-AK66</f>
        <v>#REF!</v>
      </c>
      <c r="AK66" s="51">
        <f>SUM(AK62:AK65)</f>
        <v>17726442</v>
      </c>
    </row>
    <row r="67" spans="1:39" ht="15.75" customHeight="1">
      <c r="A67" s="54"/>
      <c r="B67" s="48"/>
      <c r="C67" s="54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28"/>
      <c r="O67" s="49"/>
      <c r="P67" s="48"/>
      <c r="Q67" s="48"/>
      <c r="R67" s="26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28"/>
      <c r="AF67" s="49"/>
      <c r="AG67" s="48"/>
      <c r="AH67" s="48"/>
      <c r="AI67" s="26"/>
      <c r="AJ67" s="26"/>
      <c r="AK67" s="26"/>
      <c r="AL67" s="4" t="e">
        <f>AH65+AH64+AH61</f>
        <v>#REF!</v>
      </c>
    </row>
    <row r="68" spans="1:39" ht="15.75" customHeight="1">
      <c r="A68" s="54" t="s">
        <v>108</v>
      </c>
      <c r="B68" s="50">
        <v>-3983540</v>
      </c>
      <c r="C68" s="27">
        <f>D68-B68</f>
        <v>0</v>
      </c>
      <c r="D68" s="50">
        <v>-3983540</v>
      </c>
      <c r="E68" s="50">
        <v>0</v>
      </c>
      <c r="F68" s="50">
        <v>-670</v>
      </c>
      <c r="G68" s="50">
        <v>0</v>
      </c>
      <c r="H68" s="50">
        <v>-15153.18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33">
        <f>SUM(D68:M68)</f>
        <v>-3999363.18</v>
      </c>
      <c r="O68" s="49"/>
      <c r="P68" s="48"/>
      <c r="Q68" s="48"/>
      <c r="R68" s="32">
        <f>N68-P68+Q68</f>
        <v>-3999363.18</v>
      </c>
      <c r="S68" s="50">
        <f>-5186848</f>
        <v>-5186848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-14885</v>
      </c>
      <c r="AD68" s="50">
        <v>0</v>
      </c>
      <c r="AE68" s="33">
        <f>SUM(S68:AD68)</f>
        <v>-5201733</v>
      </c>
      <c r="AF68" s="49"/>
      <c r="AG68" s="48"/>
      <c r="AH68" s="48"/>
      <c r="AI68" s="32">
        <f>AE68-AG68+AH68</f>
        <v>-5201733</v>
      </c>
      <c r="AJ68" s="32">
        <f>AI68-AK68</f>
        <v>-1202370</v>
      </c>
      <c r="AK68" s="32">
        <v>-3999363</v>
      </c>
      <c r="AL68" s="4">
        <f>AG60</f>
        <v>376468.58</v>
      </c>
    </row>
    <row r="69" spans="1:39" ht="15.75" customHeight="1">
      <c r="A69" s="54" t="s">
        <v>109</v>
      </c>
      <c r="B69" s="51">
        <f>+B66+B68</f>
        <v>14987687</v>
      </c>
      <c r="C69" s="55"/>
      <c r="D69" s="51">
        <f t="shared" ref="D69:N69" si="32">+D66+D68</f>
        <v>14992632</v>
      </c>
      <c r="E69" s="51">
        <f t="shared" si="32"/>
        <v>-428382</v>
      </c>
      <c r="F69" s="51">
        <f t="shared" si="32"/>
        <v>-42247.240000000005</v>
      </c>
      <c r="G69" s="51">
        <f t="shared" si="32"/>
        <v>-71048.58</v>
      </c>
      <c r="H69" s="51">
        <f t="shared" si="32"/>
        <v>-485458.56999999995</v>
      </c>
      <c r="I69" s="51">
        <f t="shared" si="32"/>
        <v>-13474.17</v>
      </c>
      <c r="J69" s="51">
        <f t="shared" si="32"/>
        <v>0</v>
      </c>
      <c r="K69" s="51">
        <f t="shared" si="32"/>
        <v>0</v>
      </c>
      <c r="L69" s="51">
        <f t="shared" si="32"/>
        <v>0</v>
      </c>
      <c r="M69" s="51">
        <f t="shared" si="32"/>
        <v>0</v>
      </c>
      <c r="N69" s="51">
        <f t="shared" si="32"/>
        <v>13952021.440000005</v>
      </c>
      <c r="O69" s="49"/>
      <c r="P69" s="48"/>
      <c r="Q69" s="48"/>
      <c r="R69" s="51">
        <f t="shared" ref="R69:AE69" si="33">+R66+R68</f>
        <v>13727079.100000009</v>
      </c>
      <c r="S69" s="51">
        <f t="shared" si="33"/>
        <v>10608696</v>
      </c>
      <c r="T69" s="51">
        <f t="shared" si="33"/>
        <v>-1077724</v>
      </c>
      <c r="U69" s="51">
        <f t="shared" si="33"/>
        <v>19337</v>
      </c>
      <c r="V69" s="51">
        <f t="shared" si="33"/>
        <v>-15891</v>
      </c>
      <c r="W69" s="51">
        <f t="shared" si="33"/>
        <v>-493384</v>
      </c>
      <c r="X69" s="51">
        <f t="shared" si="33"/>
        <v>-13474</v>
      </c>
      <c r="Y69" s="51">
        <f t="shared" si="33"/>
        <v>0</v>
      </c>
      <c r="Z69" s="51">
        <f t="shared" si="33"/>
        <v>0</v>
      </c>
      <c r="AA69" s="51">
        <f t="shared" si="33"/>
        <v>0</v>
      </c>
      <c r="AB69" s="51">
        <f t="shared" si="33"/>
        <v>-344143</v>
      </c>
      <c r="AC69" s="51">
        <f t="shared" si="33"/>
        <v>-502401</v>
      </c>
      <c r="AD69" s="51">
        <f t="shared" si="33"/>
        <v>-395559</v>
      </c>
      <c r="AE69" s="51">
        <f t="shared" si="33"/>
        <v>7785457</v>
      </c>
      <c r="AF69" s="49"/>
      <c r="AG69" s="48"/>
      <c r="AH69" s="48"/>
      <c r="AI69" s="51" t="e">
        <f>+AI66+AI68</f>
        <v>#REF!</v>
      </c>
      <c r="AJ69" s="51" t="e">
        <f>AI69-AK69</f>
        <v>#REF!</v>
      </c>
      <c r="AK69" s="51">
        <f>SUM(AK66:AK68)</f>
        <v>13727079</v>
      </c>
      <c r="AL69" s="4" t="e">
        <f>AL68-AL67</f>
        <v>#REF!</v>
      </c>
    </row>
    <row r="70" spans="1:39" ht="15.75" customHeight="1">
      <c r="A70" s="54"/>
      <c r="B70" s="51"/>
      <c r="C70" s="55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49"/>
      <c r="P70" s="48"/>
      <c r="Q70" s="48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49"/>
      <c r="AG70" s="48"/>
      <c r="AH70" s="48"/>
      <c r="AI70" s="51"/>
      <c r="AJ70" s="51"/>
      <c r="AK70" s="51"/>
    </row>
    <row r="71" spans="1:39" ht="15.75" customHeight="1">
      <c r="A71" s="54" t="s">
        <v>110</v>
      </c>
      <c r="B71" s="48"/>
      <c r="C71" s="5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28"/>
      <c r="O71" s="49"/>
      <c r="P71" s="48"/>
      <c r="Q71" s="48"/>
      <c r="R71" s="26"/>
      <c r="S71" s="48">
        <v>-1591304</v>
      </c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28"/>
      <c r="AF71" s="49"/>
      <c r="AG71" s="48"/>
      <c r="AH71" s="48"/>
      <c r="AI71" s="26"/>
      <c r="AJ71" s="26"/>
      <c r="AK71" s="26"/>
    </row>
    <row r="72" spans="1:39" ht="15.75" customHeight="1">
      <c r="A72" s="25" t="s">
        <v>111</v>
      </c>
      <c r="B72" s="26">
        <v>-1568835</v>
      </c>
      <c r="C72" s="27">
        <f>D72-B72</f>
        <v>0</v>
      </c>
      <c r="D72" s="26">
        <v>-1568835</v>
      </c>
      <c r="E72" s="26">
        <v>0</v>
      </c>
      <c r="F72" s="26">
        <v>0</v>
      </c>
      <c r="G72" s="26">
        <v>0</v>
      </c>
      <c r="H72" s="26">
        <v>-4268.1499999999996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8">
        <f>SUM(D72:M72)</f>
        <v>-1573103.15</v>
      </c>
      <c r="O72" s="29"/>
      <c r="P72" s="26"/>
      <c r="Q72" s="48"/>
      <c r="R72" s="26">
        <f>N72-P72+Q72</f>
        <v>-1573103.15</v>
      </c>
      <c r="S72" s="26">
        <v>-3550763</v>
      </c>
      <c r="T72" s="26">
        <v>0</v>
      </c>
      <c r="U72" s="26">
        <v>0</v>
      </c>
      <c r="V72" s="26"/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8">
        <f>SUM(S72:AD72)</f>
        <v>-3550763</v>
      </c>
      <c r="AF72" s="29"/>
      <c r="AG72" s="26"/>
      <c r="AH72" s="48"/>
      <c r="AI72" s="26">
        <f>AE72-AG72+AH72</f>
        <v>-3550763</v>
      </c>
      <c r="AJ72" s="26">
        <f>AI72-AK72</f>
        <v>-1977660</v>
      </c>
      <c r="AK72" s="26">
        <v>-1573103</v>
      </c>
    </row>
    <row r="73" spans="1:39">
      <c r="A73" s="56" t="s">
        <v>112</v>
      </c>
      <c r="B73" s="57">
        <f>+B69+B72</f>
        <v>13418852</v>
      </c>
      <c r="C73" s="56"/>
      <c r="D73" s="57">
        <f t="shared" ref="D73:N73" si="34">+D69+D72</f>
        <v>13423797</v>
      </c>
      <c r="E73" s="57">
        <f t="shared" si="34"/>
        <v>-428382</v>
      </c>
      <c r="F73" s="57">
        <f t="shared" si="34"/>
        <v>-42247.240000000005</v>
      </c>
      <c r="G73" s="57">
        <f t="shared" si="34"/>
        <v>-71048.58</v>
      </c>
      <c r="H73" s="57">
        <f t="shared" si="34"/>
        <v>-489726.71999999997</v>
      </c>
      <c r="I73" s="57">
        <f t="shared" si="34"/>
        <v>-13474.17</v>
      </c>
      <c r="J73" s="57">
        <f t="shared" si="34"/>
        <v>0</v>
      </c>
      <c r="K73" s="57">
        <f t="shared" si="34"/>
        <v>0</v>
      </c>
      <c r="L73" s="57">
        <f t="shared" si="34"/>
        <v>0</v>
      </c>
      <c r="M73" s="57">
        <f t="shared" si="34"/>
        <v>0</v>
      </c>
      <c r="N73" s="57">
        <f t="shared" si="34"/>
        <v>12378918.290000005</v>
      </c>
      <c r="O73" s="29"/>
      <c r="P73" s="57"/>
      <c r="Q73" s="57"/>
      <c r="R73" s="57">
        <f>+R69+R72</f>
        <v>12153975.950000009</v>
      </c>
      <c r="S73" s="57">
        <f>+S69+S71+S72</f>
        <v>5466629</v>
      </c>
      <c r="T73" s="57">
        <f t="shared" ref="T73:AE73" si="35">+T69+T72</f>
        <v>-1077724</v>
      </c>
      <c r="U73" s="57">
        <f t="shared" si="35"/>
        <v>19337</v>
      </c>
      <c r="V73" s="57">
        <f t="shared" si="35"/>
        <v>-15891</v>
      </c>
      <c r="W73" s="57">
        <f t="shared" si="35"/>
        <v>-493384</v>
      </c>
      <c r="X73" s="57">
        <f t="shared" si="35"/>
        <v>-13474</v>
      </c>
      <c r="Y73" s="57">
        <f t="shared" si="35"/>
        <v>0</v>
      </c>
      <c r="Z73" s="57">
        <f t="shared" si="35"/>
        <v>0</v>
      </c>
      <c r="AA73" s="57">
        <f t="shared" si="35"/>
        <v>0</v>
      </c>
      <c r="AB73" s="57">
        <f t="shared" si="35"/>
        <v>-344143</v>
      </c>
      <c r="AC73" s="57">
        <f t="shared" si="35"/>
        <v>-502401</v>
      </c>
      <c r="AD73" s="57">
        <f t="shared" si="35"/>
        <v>-395559</v>
      </c>
      <c r="AE73" s="57">
        <f t="shared" si="35"/>
        <v>4234694</v>
      </c>
      <c r="AF73" s="29"/>
      <c r="AG73" s="57"/>
      <c r="AH73" s="57"/>
      <c r="AI73" s="57" t="e">
        <f>+AI69+AI72</f>
        <v>#REF!</v>
      </c>
      <c r="AJ73" s="57" t="e">
        <f>AI73-AK73</f>
        <v>#REF!</v>
      </c>
      <c r="AK73" s="57">
        <f>AK69+AK72</f>
        <v>12153976</v>
      </c>
    </row>
    <row r="74" spans="1:39">
      <c r="A74" s="56"/>
      <c r="B74" s="57"/>
      <c r="C74" s="56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29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29"/>
      <c r="AG74" s="57"/>
      <c r="AH74" s="57"/>
      <c r="AI74" s="57"/>
      <c r="AJ74" s="57"/>
      <c r="AK74" s="57"/>
    </row>
    <row r="75" spans="1:39">
      <c r="A75" s="58" t="s">
        <v>113</v>
      </c>
      <c r="B75" s="57">
        <v>0</v>
      </c>
      <c r="C75" s="58"/>
      <c r="D75" s="59">
        <v>14390</v>
      </c>
      <c r="E75" s="57"/>
      <c r="F75" s="57"/>
      <c r="G75" s="57"/>
      <c r="H75" s="57"/>
      <c r="I75" s="57"/>
      <c r="J75" s="57"/>
      <c r="K75" s="57"/>
      <c r="L75" s="57"/>
      <c r="M75" s="57"/>
      <c r="N75" s="28">
        <f>SUM(D75:M75)</f>
        <v>14390</v>
      </c>
      <c r="O75" s="29"/>
      <c r="P75" s="57"/>
      <c r="Q75" s="57"/>
      <c r="R75" s="26">
        <f>N75-P75+Q75</f>
        <v>14390</v>
      </c>
      <c r="S75" s="59">
        <v>1849659</v>
      </c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28">
        <f>SUM(S75:AD75)</f>
        <v>1849659</v>
      </c>
      <c r="AF75" s="29"/>
      <c r="AG75" s="57"/>
      <c r="AH75" s="57"/>
      <c r="AI75" s="26">
        <f>AE75-AG75+AH75</f>
        <v>1849659</v>
      </c>
      <c r="AJ75" s="26">
        <f>AI75-AK75</f>
        <v>1835269</v>
      </c>
      <c r="AK75" s="57">
        <v>14390</v>
      </c>
    </row>
    <row r="76" spans="1:39">
      <c r="A76" s="56" t="s">
        <v>98</v>
      </c>
      <c r="B76" s="57">
        <f>B73+B75</f>
        <v>13418852</v>
      </c>
      <c r="C76" s="27"/>
      <c r="D76" s="57">
        <f t="shared" ref="D76:N76" si="36">D73+D75</f>
        <v>13438187</v>
      </c>
      <c r="E76" s="57">
        <f t="shared" si="36"/>
        <v>-428382</v>
      </c>
      <c r="F76" s="57">
        <f t="shared" si="36"/>
        <v>-42247.240000000005</v>
      </c>
      <c r="G76" s="57">
        <f t="shared" si="36"/>
        <v>-71048.58</v>
      </c>
      <c r="H76" s="57">
        <f t="shared" si="36"/>
        <v>-489726.71999999997</v>
      </c>
      <c r="I76" s="57">
        <f t="shared" si="36"/>
        <v>-13474.17</v>
      </c>
      <c r="J76" s="57">
        <f t="shared" si="36"/>
        <v>0</v>
      </c>
      <c r="K76" s="57">
        <f t="shared" si="36"/>
        <v>0</v>
      </c>
      <c r="L76" s="57">
        <f t="shared" si="36"/>
        <v>0</v>
      </c>
      <c r="M76" s="57">
        <f t="shared" si="36"/>
        <v>0</v>
      </c>
      <c r="N76" s="57">
        <f t="shared" si="36"/>
        <v>12393308.290000005</v>
      </c>
      <c r="O76" s="29"/>
      <c r="P76" s="57"/>
      <c r="Q76" s="57"/>
      <c r="R76" s="57">
        <f t="shared" ref="R76:AE76" si="37">R73+R75</f>
        <v>12168365.950000009</v>
      </c>
      <c r="S76" s="57">
        <f t="shared" si="37"/>
        <v>7316288</v>
      </c>
      <c r="T76" s="57">
        <f t="shared" si="37"/>
        <v>-1077724</v>
      </c>
      <c r="U76" s="57">
        <f t="shared" si="37"/>
        <v>19337</v>
      </c>
      <c r="V76" s="57">
        <f t="shared" si="37"/>
        <v>-15891</v>
      </c>
      <c r="W76" s="57">
        <f t="shared" si="37"/>
        <v>-493384</v>
      </c>
      <c r="X76" s="57">
        <f t="shared" si="37"/>
        <v>-13474</v>
      </c>
      <c r="Y76" s="57">
        <f t="shared" si="37"/>
        <v>0</v>
      </c>
      <c r="Z76" s="57">
        <f t="shared" si="37"/>
        <v>0</v>
      </c>
      <c r="AA76" s="57">
        <f t="shared" si="37"/>
        <v>0</v>
      </c>
      <c r="AB76" s="57">
        <f t="shared" si="37"/>
        <v>-344143</v>
      </c>
      <c r="AC76" s="57">
        <f t="shared" si="37"/>
        <v>-502401</v>
      </c>
      <c r="AD76" s="57">
        <f t="shared" si="37"/>
        <v>-395559</v>
      </c>
      <c r="AE76" s="57">
        <f t="shared" si="37"/>
        <v>6084353</v>
      </c>
      <c r="AF76" s="29"/>
      <c r="AG76" s="57"/>
      <c r="AH76" s="57"/>
      <c r="AI76" s="57" t="e">
        <f>AI73+AI75</f>
        <v>#REF!</v>
      </c>
      <c r="AJ76" s="57" t="e">
        <f>AJ73+AJ75</f>
        <v>#REF!</v>
      </c>
      <c r="AK76" s="57">
        <f>SUM(AK73:AK75)</f>
        <v>12168366</v>
      </c>
    </row>
    <row r="77" spans="1:39">
      <c r="A77" s="60"/>
      <c r="B77" s="61"/>
      <c r="C77" s="60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2"/>
      <c r="P77" s="61"/>
      <c r="Q77" s="61"/>
      <c r="R77" s="61"/>
      <c r="S77" s="61"/>
      <c r="T77" s="61"/>
      <c r="U77" s="61"/>
      <c r="V77" s="63"/>
      <c r="W77" s="61"/>
      <c r="X77" s="61"/>
      <c r="Y77" s="61"/>
      <c r="Z77" s="61"/>
      <c r="AA77" s="61"/>
      <c r="AB77" s="61"/>
      <c r="AC77" s="61"/>
      <c r="AD77" s="61"/>
      <c r="AE77" s="61"/>
      <c r="AF77" s="62"/>
      <c r="AG77" s="61"/>
      <c r="AH77" s="61"/>
      <c r="AI77" s="61"/>
      <c r="AJ77" s="61"/>
      <c r="AK77" s="61"/>
    </row>
    <row r="78" spans="1:39" s="66" customFormat="1" ht="21.75" customHeight="1">
      <c r="A78" s="64"/>
      <c r="B78" s="65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P78" s="67">
        <f>SUM(P5:P73)</f>
        <v>51071713.540592968</v>
      </c>
      <c r="Q78" s="67">
        <f>SUM(Q5:Q73)</f>
        <v>50846771.270592958</v>
      </c>
      <c r="R78" s="65"/>
      <c r="S78" s="68"/>
      <c r="AJ78" s="65"/>
      <c r="AK78" s="65"/>
    </row>
    <row r="79" spans="1:39" s="66" customFormat="1" ht="21.75" customHeight="1">
      <c r="A79" s="69"/>
      <c r="B79" s="70">
        <f>+B58+B47-B26</f>
        <v>0</v>
      </c>
      <c r="C79" s="69"/>
      <c r="D79" s="70">
        <f t="shared" ref="D79:N79" si="38">+D58+D47-D26</f>
        <v>0</v>
      </c>
      <c r="E79" s="70">
        <f t="shared" si="38"/>
        <v>0</v>
      </c>
      <c r="F79" s="70">
        <f t="shared" si="38"/>
        <v>0</v>
      </c>
      <c r="G79" s="70">
        <f t="shared" si="38"/>
        <v>-0.48999999975785613</v>
      </c>
      <c r="H79" s="70">
        <f t="shared" si="38"/>
        <v>6.249983562156558E-5</v>
      </c>
      <c r="I79" s="70">
        <f t="shared" si="38"/>
        <v>0</v>
      </c>
      <c r="J79" s="70">
        <f t="shared" si="38"/>
        <v>0</v>
      </c>
      <c r="K79" s="70">
        <f t="shared" si="38"/>
        <v>0</v>
      </c>
      <c r="L79" s="70">
        <f t="shared" si="38"/>
        <v>0</v>
      </c>
      <c r="M79" s="70">
        <f t="shared" si="38"/>
        <v>0</v>
      </c>
      <c r="N79" s="70">
        <f t="shared" si="38"/>
        <v>-0.48993751406669617</v>
      </c>
      <c r="P79" s="1060">
        <f>P78-Q78</f>
        <v>224942.27000001073</v>
      </c>
      <c r="Q79" s="1060"/>
      <c r="R79" s="71" t="s">
        <v>114</v>
      </c>
      <c r="S79" s="70">
        <f t="shared" ref="S79:AE79" si="39">+S58+S47-S26</f>
        <v>0</v>
      </c>
      <c r="T79" s="70">
        <f t="shared" si="39"/>
        <v>0</v>
      </c>
      <c r="U79" s="70">
        <f t="shared" si="39"/>
        <v>0</v>
      </c>
      <c r="V79" s="70">
        <f t="shared" si="39"/>
        <v>0</v>
      </c>
      <c r="W79" s="70">
        <f t="shared" si="39"/>
        <v>0</v>
      </c>
      <c r="X79" s="70">
        <f t="shared" si="39"/>
        <v>0</v>
      </c>
      <c r="Y79" s="70">
        <f t="shared" si="39"/>
        <v>0</v>
      </c>
      <c r="Z79" s="70">
        <f t="shared" si="39"/>
        <v>0</v>
      </c>
      <c r="AA79" s="70">
        <f t="shared" si="39"/>
        <v>0</v>
      </c>
      <c r="AB79" s="70">
        <f t="shared" si="39"/>
        <v>0</v>
      </c>
      <c r="AC79" s="70">
        <f t="shared" si="39"/>
        <v>0</v>
      </c>
      <c r="AD79" s="70">
        <f t="shared" si="39"/>
        <v>0</v>
      </c>
      <c r="AE79" s="70">
        <f t="shared" si="39"/>
        <v>0</v>
      </c>
      <c r="AG79" s="68" t="e">
        <f>SUM(AG5:AG78)</f>
        <v>#REF!</v>
      </c>
      <c r="AH79" s="68" t="e">
        <f>SUM(AH5:AH78)</f>
        <v>#REF!</v>
      </c>
      <c r="AI79" s="70" t="e">
        <f>+AI58+AI47-AI26</f>
        <v>#REF!</v>
      </c>
      <c r="AJ79" s="72" t="e">
        <f>AI79*2</f>
        <v>#REF!</v>
      </c>
      <c r="AK79" s="71"/>
    </row>
    <row r="80" spans="1:39">
      <c r="H80" s="4">
        <f>+H73-H56</f>
        <v>-6.2499952036887407E-5</v>
      </c>
      <c r="N80" s="4"/>
      <c r="S80" s="4">
        <f>S56-S76</f>
        <v>-1720743</v>
      </c>
      <c r="T80" s="4">
        <f t="shared" ref="T80:AC80" si="40">T56-T73</f>
        <v>0</v>
      </c>
      <c r="U80" s="4">
        <f t="shared" si="40"/>
        <v>0</v>
      </c>
      <c r="V80" s="4">
        <f t="shared" si="40"/>
        <v>0</v>
      </c>
      <c r="W80" s="4">
        <f t="shared" si="40"/>
        <v>0</v>
      </c>
      <c r="X80" s="4">
        <f t="shared" si="40"/>
        <v>0</v>
      </c>
      <c r="Y80" s="4">
        <f t="shared" si="40"/>
        <v>0</v>
      </c>
      <c r="Z80" s="4">
        <f t="shared" si="40"/>
        <v>0</v>
      </c>
      <c r="AA80" s="4">
        <f t="shared" si="40"/>
        <v>0</v>
      </c>
      <c r="AB80" s="4">
        <f t="shared" si="40"/>
        <v>0</v>
      </c>
      <c r="AC80" s="4">
        <f t="shared" si="40"/>
        <v>0</v>
      </c>
      <c r="AD80" s="4"/>
      <c r="AH80" s="4" t="e">
        <f>AG79-AH79</f>
        <v>#REF!</v>
      </c>
      <c r="AM80" s="4"/>
    </row>
    <row r="81" spans="1:41" ht="15.75">
      <c r="A81" s="73" t="s">
        <v>115</v>
      </c>
      <c r="C81" s="73"/>
      <c r="M81" s="74"/>
      <c r="P81" s="75" t="s">
        <v>114</v>
      </c>
      <c r="Q81" s="76">
        <f>+'Asientos - para Consolidado'!D79</f>
        <v>224942.34</v>
      </c>
      <c r="R81" t="s">
        <v>116</v>
      </c>
      <c r="S81" s="6">
        <f>+S76*100%</f>
        <v>7316288</v>
      </c>
      <c r="T81" s="6">
        <f>+T76*'Variación Patrimonio 2017-2016'!L4</f>
        <v>-808508.54480000003</v>
      </c>
      <c r="U81" s="6">
        <f>+U76*'Variación Patrimonio 2017-2016'!L21</f>
        <v>19336.125022624434</v>
      </c>
      <c r="V81" s="4">
        <f>+V76*'Variación Patrimonio 2017-2016'!L40</f>
        <v>-10805.880000000001</v>
      </c>
      <c r="W81" s="4">
        <f>+W76*'Variación Patrimonio 2017-2016'!L56</f>
        <v>-246692</v>
      </c>
      <c r="X81" s="4">
        <f>+X76*'Variación Patrimonio 2017-2016'!L74</f>
        <v>-10105.5</v>
      </c>
      <c r="Y81" s="6">
        <v>0</v>
      </c>
      <c r="Z81" s="6">
        <v>0</v>
      </c>
      <c r="AA81" s="6">
        <v>0</v>
      </c>
      <c r="AB81" s="6">
        <f>+AB76*'Variación Patrimonio 2017-2016'!L143</f>
        <v>-318332.27500000002</v>
      </c>
      <c r="AC81" s="6">
        <f>+AC76*'Variación Patrimonio 2017-2016'!L160</f>
        <v>-492352.98</v>
      </c>
      <c r="AD81" s="6">
        <f>+AD76*'Variación Patrimonio 2017-2016'!L185</f>
        <v>-395559</v>
      </c>
      <c r="AE81" s="8">
        <f>SUM(S81:AD81)</f>
        <v>5053267.9452226236</v>
      </c>
      <c r="AG81" s="4" t="e">
        <f>+AG65+AG60</f>
        <v>#REF!</v>
      </c>
      <c r="AH81" s="8" t="e">
        <f>AH61+AH65+AH64</f>
        <v>#REF!</v>
      </c>
      <c r="AI81" s="8" t="e">
        <f>+AE81-AG81+AH81</f>
        <v>#REF!</v>
      </c>
      <c r="AJ81" s="72" t="e">
        <f>AI79/2</f>
        <v>#REF!</v>
      </c>
      <c r="AL81" s="45" t="e">
        <f>+AI56-AI81</f>
        <v>#REF!</v>
      </c>
    </row>
    <row r="82" spans="1:41">
      <c r="A82" s="73" t="s">
        <v>117</v>
      </c>
      <c r="C82" s="73"/>
      <c r="S82" s="6">
        <f t="shared" ref="S82:AD82" si="41">+S76-S81</f>
        <v>0</v>
      </c>
      <c r="T82" s="41">
        <f t="shared" si="41"/>
        <v>-269215.45519999997</v>
      </c>
      <c r="U82" s="41">
        <f t="shared" si="41"/>
        <v>0.87497737556623179</v>
      </c>
      <c r="V82" s="6">
        <f t="shared" si="41"/>
        <v>-5085.119999999999</v>
      </c>
      <c r="W82" s="6">
        <f t="shared" si="41"/>
        <v>-246692</v>
      </c>
      <c r="X82" s="6">
        <f t="shared" si="41"/>
        <v>-3368.5</v>
      </c>
      <c r="Y82" s="6">
        <f t="shared" si="41"/>
        <v>0</v>
      </c>
      <c r="Z82" s="6">
        <f t="shared" si="41"/>
        <v>0</v>
      </c>
      <c r="AA82" s="6">
        <f t="shared" si="41"/>
        <v>0</v>
      </c>
      <c r="AB82" s="41">
        <f t="shared" si="41"/>
        <v>-25810.724999999977</v>
      </c>
      <c r="AC82" s="41">
        <f t="shared" si="41"/>
        <v>-10048.020000000019</v>
      </c>
      <c r="AD82" s="6">
        <f t="shared" si="41"/>
        <v>0</v>
      </c>
      <c r="AE82" s="8">
        <f>SUM(S82:AD82)</f>
        <v>-560218.94522262446</v>
      </c>
      <c r="AH82" s="8"/>
      <c r="AI82" s="8">
        <f>+AE82-AG82+AH82</f>
        <v>-560218.94522262446</v>
      </c>
      <c r="AN82" s="6"/>
      <c r="AO82" s="8"/>
    </row>
    <row r="85" spans="1:41">
      <c r="AH85" s="41" t="e">
        <f>'Diario 2015 (a)'!F15</f>
        <v>#REF!</v>
      </c>
    </row>
  </sheetData>
  <mergeCells count="3">
    <mergeCell ref="P3:Q3"/>
    <mergeCell ref="AG3:AH3"/>
    <mergeCell ref="P79:Q79"/>
  </mergeCells>
  <printOptions horizontalCentered="1"/>
  <pageMargins left="0" right="0" top="0.74791666666666701" bottom="0.39374999999999999" header="0.51180555555555496" footer="0.51180555555555496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5"/>
  <sheetViews>
    <sheetView showGridLines="0" topLeftCell="A2" zoomScaleNormal="100" workbookViewId="0">
      <selection activeCell="B8" sqref="B8"/>
    </sheetView>
  </sheetViews>
  <sheetFormatPr defaultColWidth="11.42578125" defaultRowHeight="15"/>
  <cols>
    <col min="1" max="1" width="11.42578125" style="296"/>
    <col min="2" max="2" width="25.7109375" style="296" customWidth="1"/>
    <col min="3" max="1024" width="11.42578125" style="296"/>
  </cols>
  <sheetData>
    <row r="1" spans="2:5">
      <c r="C1" s="1066" t="s">
        <v>340</v>
      </c>
      <c r="D1" s="1066"/>
    </row>
    <row r="2" spans="2:5">
      <c r="C2" s="297" t="s">
        <v>341</v>
      </c>
      <c r="D2" s="297">
        <v>101</v>
      </c>
    </row>
    <row r="3" spans="2:5">
      <c r="B3" s="298" t="s">
        <v>342</v>
      </c>
      <c r="C3" s="299">
        <v>77</v>
      </c>
      <c r="D3" s="299">
        <v>70.5</v>
      </c>
    </row>
    <row r="4" spans="2:5">
      <c r="B4" s="300" t="s">
        <v>343</v>
      </c>
      <c r="C4" s="299">
        <v>113.8</v>
      </c>
      <c r="D4" s="299">
        <v>137.05000000000001</v>
      </c>
    </row>
    <row r="5" spans="2:5">
      <c r="B5" s="300" t="s">
        <v>344</v>
      </c>
      <c r="C5" s="299">
        <v>72</v>
      </c>
      <c r="D5" s="299">
        <v>67.55</v>
      </c>
    </row>
    <row r="6" spans="2:5">
      <c r="B6" s="300" t="s">
        <v>345</v>
      </c>
      <c r="C6" s="299">
        <v>52.9</v>
      </c>
      <c r="D6" s="299">
        <v>53.3</v>
      </c>
    </row>
    <row r="7" spans="2:5">
      <c r="B7" s="300" t="s">
        <v>100</v>
      </c>
      <c r="C7" s="299">
        <v>65.8</v>
      </c>
      <c r="D7" s="299">
        <v>76.98</v>
      </c>
    </row>
    <row r="8" spans="2:5">
      <c r="B8" s="300" t="s">
        <v>346</v>
      </c>
      <c r="C8" s="299">
        <v>124.6</v>
      </c>
      <c r="D8" s="299">
        <v>140.44</v>
      </c>
    </row>
    <row r="9" spans="2:5">
      <c r="B9" s="300" t="s">
        <v>347</v>
      </c>
      <c r="C9" s="299">
        <f>-(+C8+C10+C11-C12)</f>
        <v>-106.96</v>
      </c>
      <c r="D9" s="299">
        <f>-(+D8+D10+D11-D12)</f>
        <v>-116.58</v>
      </c>
    </row>
    <row r="10" spans="2:5">
      <c r="B10" s="300" t="s">
        <v>110</v>
      </c>
      <c r="C10" s="299">
        <v>-2.64</v>
      </c>
      <c r="D10" s="299">
        <v>-2.9</v>
      </c>
    </row>
    <row r="11" spans="2:5">
      <c r="B11" s="300" t="s">
        <v>111</v>
      </c>
      <c r="C11" s="299">
        <v>-1.6</v>
      </c>
      <c r="D11" s="299">
        <v>-1.6</v>
      </c>
    </row>
    <row r="12" spans="2:5">
      <c r="B12" s="301" t="s">
        <v>348</v>
      </c>
      <c r="C12" s="302">
        <v>13.4</v>
      </c>
      <c r="D12" s="302">
        <v>19.36</v>
      </c>
    </row>
    <row r="14" spans="2:5">
      <c r="C14" s="1066" t="s">
        <v>349</v>
      </c>
      <c r="D14" s="1066"/>
      <c r="E14" s="1066"/>
    </row>
    <row r="15" spans="2:5" ht="26.25">
      <c r="C15" s="303" t="s">
        <v>350</v>
      </c>
      <c r="D15" s="304">
        <v>101</v>
      </c>
      <c r="E15" s="303" t="s">
        <v>351</v>
      </c>
    </row>
    <row r="16" spans="2:5">
      <c r="B16" s="298" t="s">
        <v>342</v>
      </c>
      <c r="C16" s="299"/>
      <c r="D16" s="299"/>
      <c r="E16" s="299">
        <v>82.6</v>
      </c>
    </row>
    <row r="17" spans="2:5">
      <c r="B17" s="300" t="s">
        <v>343</v>
      </c>
      <c r="C17" s="299"/>
      <c r="D17" s="299"/>
      <c r="E17" s="299">
        <v>118.2</v>
      </c>
    </row>
    <row r="18" spans="2:5">
      <c r="B18" s="300" t="s">
        <v>344</v>
      </c>
      <c r="C18" s="299"/>
      <c r="D18" s="299"/>
      <c r="E18" s="299">
        <v>85.8</v>
      </c>
    </row>
    <row r="19" spans="2:5">
      <c r="B19" s="300" t="s">
        <v>345</v>
      </c>
      <c r="C19" s="299"/>
      <c r="D19" s="299"/>
      <c r="E19" s="299">
        <v>59.5</v>
      </c>
    </row>
    <row r="20" spans="2:5">
      <c r="B20" s="300" t="s">
        <v>100</v>
      </c>
      <c r="C20" s="299"/>
      <c r="D20" s="299"/>
      <c r="E20" s="299">
        <v>55.5</v>
      </c>
    </row>
    <row r="21" spans="2:5">
      <c r="B21" s="300" t="s">
        <v>346</v>
      </c>
      <c r="C21" s="299"/>
      <c r="D21" s="299"/>
      <c r="E21" s="299">
        <v>104.1</v>
      </c>
    </row>
    <row r="22" spans="2:5">
      <c r="B22" s="300" t="s">
        <v>347</v>
      </c>
      <c r="C22" s="299"/>
      <c r="D22" s="299"/>
      <c r="E22" s="299">
        <f>-(+E21+E23+E24-E25)</f>
        <v>-74.099999999999994</v>
      </c>
    </row>
    <row r="23" spans="2:5">
      <c r="B23" s="300" t="s">
        <v>110</v>
      </c>
      <c r="C23" s="299"/>
      <c r="D23" s="299"/>
      <c r="E23" s="299">
        <v>-3.4</v>
      </c>
    </row>
    <row r="24" spans="2:5">
      <c r="B24" s="300" t="s">
        <v>111</v>
      </c>
      <c r="C24" s="299"/>
      <c r="D24" s="299"/>
      <c r="E24" s="299">
        <v>-1.8</v>
      </c>
    </row>
    <row r="25" spans="2:5">
      <c r="B25" s="301" t="s">
        <v>348</v>
      </c>
      <c r="C25" s="302"/>
      <c r="D25" s="302"/>
      <c r="E25" s="302">
        <v>24.8</v>
      </c>
    </row>
  </sheetData>
  <mergeCells count="2">
    <mergeCell ref="C1:D1"/>
    <mergeCell ref="C14:E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208"/>
  <sheetViews>
    <sheetView topLeftCell="A66"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3.7109375" style="265" customWidth="1"/>
    <col min="4" max="4" width="21.28515625" style="265" customWidth="1"/>
    <col min="5" max="5" width="13.7109375" style="265" customWidth="1"/>
    <col min="6" max="6" width="17.42578125" style="265" customWidth="1"/>
    <col min="7" max="7" width="19.140625" style="265" customWidth="1"/>
    <col min="8" max="8" width="13.7109375" style="265" customWidth="1"/>
    <col min="9" max="9" width="14.7109375" style="265" customWidth="1"/>
    <col min="10" max="10" width="17.5703125" style="265" customWidth="1"/>
    <col min="11" max="11" width="15.140625" style="265" customWidth="1"/>
    <col min="12" max="12" width="13.42578125" style="305" customWidth="1"/>
    <col min="13" max="13" width="15.140625" style="305" customWidth="1"/>
    <col min="14" max="14" width="13.42578125" style="305" customWidth="1"/>
    <col min="15" max="15" width="14.28515625" style="305" customWidth="1"/>
    <col min="16" max="16" width="10.28515625" style="305" customWidth="1"/>
    <col min="17" max="17" width="11.42578125" style="305"/>
    <col min="18" max="18" width="19.42578125" style="305" customWidth="1"/>
    <col min="19" max="19" width="16.28515625" style="305" customWidth="1"/>
    <col min="20" max="1024" width="11.42578125" style="305"/>
  </cols>
  <sheetData>
    <row r="1" spans="2:19">
      <c r="F1" s="306" t="s">
        <v>352</v>
      </c>
      <c r="G1" s="306" t="s">
        <v>353</v>
      </c>
    </row>
    <row r="2" spans="2:19">
      <c r="B2" s="307" t="s">
        <v>354</v>
      </c>
      <c r="C2" s="308" t="s">
        <v>355</v>
      </c>
      <c r="D2" s="308" t="s">
        <v>356</v>
      </c>
      <c r="E2" s="308" t="s">
        <v>5</v>
      </c>
      <c r="F2" s="309">
        <f>+L4</f>
        <v>0.75019999999999998</v>
      </c>
      <c r="G2" s="310">
        <f>+L5</f>
        <v>0.24979999999999999</v>
      </c>
      <c r="H2" s="308"/>
    </row>
    <row r="3" spans="2:19">
      <c r="B3" s="305" t="s">
        <v>87</v>
      </c>
      <c r="C3" s="265">
        <v>5000</v>
      </c>
      <c r="D3" s="265">
        <v>5000</v>
      </c>
      <c r="E3" s="265">
        <f t="shared" ref="E3:E11" si="0">+C3-D3</f>
        <v>0</v>
      </c>
      <c r="F3" s="265">
        <f t="shared" ref="F3:F11" si="1">+E3*$F$2</f>
        <v>0</v>
      </c>
      <c r="G3" s="265">
        <f t="shared" ref="G3:G11" si="2">+E3*$G$2</f>
        <v>0</v>
      </c>
      <c r="K3" s="1067">
        <v>2017</v>
      </c>
      <c r="L3" s="1067"/>
      <c r="M3" s="1067">
        <v>2016</v>
      </c>
      <c r="N3" s="1067"/>
      <c r="O3" s="1067" t="s">
        <v>5</v>
      </c>
      <c r="P3" s="1067"/>
    </row>
    <row r="4" spans="2:19">
      <c r="B4" s="305" t="s">
        <v>88</v>
      </c>
      <c r="C4" s="265">
        <f>'ESF - ERI'!T49</f>
        <v>42340052</v>
      </c>
      <c r="D4" s="265">
        <v>42837231</v>
      </c>
      <c r="E4" s="265">
        <f t="shared" si="0"/>
        <v>-497179</v>
      </c>
      <c r="F4" s="265">
        <f t="shared" si="1"/>
        <v>-372983.68579999998</v>
      </c>
      <c r="G4" s="265">
        <f t="shared" si="2"/>
        <v>-124195.31419999999</v>
      </c>
      <c r="J4" s="265" t="s">
        <v>293</v>
      </c>
      <c r="K4" s="275">
        <v>3751</v>
      </c>
      <c r="L4" s="276">
        <f>+K4/$K$6</f>
        <v>0.75019999999999998</v>
      </c>
      <c r="M4" s="275">
        <v>3751</v>
      </c>
      <c r="N4" s="276">
        <f>+M4/$M$6</f>
        <v>0.75019999999999998</v>
      </c>
      <c r="O4" s="275">
        <f>+K4-M4</f>
        <v>0</v>
      </c>
      <c r="P4" s="276">
        <f>+L4-N4</f>
        <v>0</v>
      </c>
    </row>
    <row r="5" spans="2:19">
      <c r="B5" s="305" t="s">
        <v>90</v>
      </c>
      <c r="E5" s="265">
        <f t="shared" si="0"/>
        <v>0</v>
      </c>
      <c r="F5" s="265">
        <f t="shared" si="1"/>
        <v>0</v>
      </c>
      <c r="G5" s="265">
        <f t="shared" si="2"/>
        <v>0</v>
      </c>
      <c r="J5" s="265" t="s">
        <v>296</v>
      </c>
      <c r="K5" s="280">
        <v>1249</v>
      </c>
      <c r="L5" s="276">
        <f>+K5/$K$6</f>
        <v>0.24979999999999999</v>
      </c>
      <c r="M5" s="280">
        <v>1249</v>
      </c>
      <c r="N5" s="276">
        <f>+M5/$M$6</f>
        <v>0.24979999999999999</v>
      </c>
      <c r="O5" s="275">
        <f>+K5-M5</f>
        <v>0</v>
      </c>
      <c r="P5" s="276">
        <f>+L5-N5</f>
        <v>0</v>
      </c>
    </row>
    <row r="6" spans="2:19">
      <c r="B6" s="305" t="s">
        <v>91</v>
      </c>
      <c r="E6" s="265">
        <f t="shared" si="0"/>
        <v>0</v>
      </c>
      <c r="F6" s="265">
        <f t="shared" si="1"/>
        <v>0</v>
      </c>
      <c r="G6" s="265">
        <f t="shared" si="2"/>
        <v>0</v>
      </c>
      <c r="K6" s="275">
        <f>SUM(K4:K5)</f>
        <v>5000</v>
      </c>
      <c r="L6" s="283"/>
      <c r="M6" s="275">
        <f>SUM(M4:M5)</f>
        <v>5000</v>
      </c>
      <c r="N6" s="283"/>
      <c r="O6" s="275">
        <f>SUM(O4:O5)</f>
        <v>0</v>
      </c>
      <c r="P6" s="283"/>
      <c r="R6" s="311"/>
    </row>
    <row r="7" spans="2:19">
      <c r="B7" s="305" t="s">
        <v>92</v>
      </c>
      <c r="E7" s="265">
        <f t="shared" si="0"/>
        <v>0</v>
      </c>
      <c r="F7" s="265">
        <f t="shared" si="1"/>
        <v>0</v>
      </c>
      <c r="G7" s="265">
        <f t="shared" si="2"/>
        <v>0</v>
      </c>
      <c r="R7" s="311"/>
    </row>
    <row r="8" spans="2:19">
      <c r="B8" s="305" t="s">
        <v>93</v>
      </c>
      <c r="E8" s="265">
        <f t="shared" si="0"/>
        <v>0</v>
      </c>
      <c r="F8" s="265">
        <f t="shared" si="1"/>
        <v>0</v>
      </c>
      <c r="G8" s="265">
        <f t="shared" si="2"/>
        <v>0</v>
      </c>
      <c r="J8" s="306" t="s">
        <v>357</v>
      </c>
      <c r="K8" s="1067">
        <v>2017</v>
      </c>
      <c r="L8" s="1067"/>
      <c r="M8" s="1067">
        <v>2016</v>
      </c>
      <c r="N8" s="1067"/>
      <c r="O8" s="1067" t="s">
        <v>5</v>
      </c>
      <c r="P8" s="1067"/>
    </row>
    <row r="9" spans="2:19">
      <c r="B9" s="305" t="s">
        <v>95</v>
      </c>
      <c r="C9" s="265">
        <v>0</v>
      </c>
      <c r="D9" s="265">
        <v>0</v>
      </c>
      <c r="E9" s="265">
        <f t="shared" si="0"/>
        <v>0</v>
      </c>
      <c r="F9" s="265">
        <f t="shared" si="1"/>
        <v>0</v>
      </c>
      <c r="G9" s="265">
        <f t="shared" si="2"/>
        <v>0</v>
      </c>
      <c r="J9" s="306"/>
      <c r="K9" s="312"/>
      <c r="L9" s="312"/>
      <c r="M9" s="312"/>
      <c r="N9" s="312"/>
      <c r="O9" s="312"/>
      <c r="P9" s="312"/>
    </row>
    <row r="10" spans="2:19">
      <c r="B10" s="305" t="s">
        <v>95</v>
      </c>
      <c r="C10" s="265">
        <f>'ESF - ERI'!T55</f>
        <v>2254833</v>
      </c>
      <c r="D10" s="265">
        <v>-392726</v>
      </c>
      <c r="E10" s="313">
        <f t="shared" si="0"/>
        <v>2647559</v>
      </c>
      <c r="F10" s="265">
        <f t="shared" si="1"/>
        <v>1986198.7618</v>
      </c>
      <c r="G10" s="265">
        <f t="shared" si="2"/>
        <v>661360.23820000002</v>
      </c>
      <c r="J10" s="265" t="s">
        <v>293</v>
      </c>
      <c r="K10" s="265">
        <f>32414459-497179</f>
        <v>31917280</v>
      </c>
      <c r="L10" s="314">
        <f>+K10/K12</f>
        <v>0.75383185641812622</v>
      </c>
      <c r="M10" s="265">
        <v>32414459</v>
      </c>
      <c r="N10" s="314">
        <f>+M10/M12</f>
        <v>0.75668894191597025</v>
      </c>
      <c r="O10" s="275">
        <f>+K10-M10</f>
        <v>-497179</v>
      </c>
      <c r="P10" s="276">
        <f>+L10-N10</f>
        <v>-2.8570854978440252E-3</v>
      </c>
      <c r="R10" s="271">
        <f>D4*N5</f>
        <v>10700740.3038</v>
      </c>
      <c r="S10" s="311"/>
    </row>
    <row r="11" spans="2:19">
      <c r="B11" s="305" t="s">
        <v>358</v>
      </c>
      <c r="C11" s="315">
        <f>'ESF - ERI'!T56</f>
        <v>-1077724</v>
      </c>
      <c r="D11" s="315">
        <v>1823983</v>
      </c>
      <c r="E11" s="315">
        <f t="shared" si="0"/>
        <v>-2901707</v>
      </c>
      <c r="F11" s="315">
        <f t="shared" si="1"/>
        <v>-2176860.5913999998</v>
      </c>
      <c r="G11" s="315">
        <f t="shared" si="2"/>
        <v>-724846.40859999997</v>
      </c>
      <c r="J11" s="265" t="s">
        <v>296</v>
      </c>
      <c r="K11" s="315">
        <v>10422772</v>
      </c>
      <c r="L11" s="314">
        <f>+K11/K12</f>
        <v>0.24616814358187372</v>
      </c>
      <c r="M11" s="315">
        <v>10422772</v>
      </c>
      <c r="N11" s="314">
        <f>+M11/M12</f>
        <v>0.24331105808402975</v>
      </c>
      <c r="O11" s="316">
        <f>+K11-M11</f>
        <v>0</v>
      </c>
      <c r="P11" s="276">
        <f>+L11-N11</f>
        <v>2.8570854978439697E-3</v>
      </c>
      <c r="R11" s="311"/>
    </row>
    <row r="12" spans="2:19">
      <c r="K12" s="306">
        <f>SUM(K10:K11)</f>
        <v>42340052</v>
      </c>
      <c r="M12" s="306">
        <f>SUM(M10:M11)</f>
        <v>42837231</v>
      </c>
      <c r="O12" s="275">
        <f>SUM(O10:O11)</f>
        <v>-497179</v>
      </c>
      <c r="P12" s="283"/>
    </row>
    <row r="13" spans="2:19">
      <c r="B13" s="307" t="s">
        <v>359</v>
      </c>
      <c r="C13" s="306">
        <f>SUM(C3:C12)</f>
        <v>43522161</v>
      </c>
      <c r="D13" s="306">
        <f>SUM(D3:D12)</f>
        <v>44273488</v>
      </c>
      <c r="E13" s="306">
        <f>SUM(E3:E11)</f>
        <v>-751327</v>
      </c>
      <c r="F13" s="306">
        <f>SUM(F3:F11)</f>
        <v>-563645.51539999992</v>
      </c>
      <c r="G13" s="306">
        <f>SUM(G3:G11)</f>
        <v>-187681.48459999997</v>
      </c>
      <c r="H13" s="306"/>
    </row>
    <row r="14" spans="2:19">
      <c r="B14" s="317" t="s">
        <v>360</v>
      </c>
      <c r="C14" s="306">
        <f>+(C13)*$F$2</f>
        <v>32650325.1822</v>
      </c>
      <c r="D14" s="306">
        <f>+(D13)*$F$2</f>
        <v>33213970.6976</v>
      </c>
      <c r="E14" s="306">
        <f>+C14-D14</f>
        <v>-563645.51539999992</v>
      </c>
      <c r="F14" s="306"/>
      <c r="G14" s="306"/>
      <c r="H14" s="306"/>
    </row>
    <row r="15" spans="2:19">
      <c r="B15" s="317" t="s">
        <v>361</v>
      </c>
      <c r="C15" s="306">
        <f>+(C13)*$G$2</f>
        <v>10871835.8178</v>
      </c>
      <c r="D15" s="306">
        <f>+(D13)*$G$2</f>
        <v>11059517.3024</v>
      </c>
      <c r="E15" s="306">
        <f>+C15-D15</f>
        <v>-187681.48460000008</v>
      </c>
      <c r="F15" s="306"/>
      <c r="G15" s="306"/>
      <c r="H15" s="306"/>
      <c r="L15" s="318"/>
      <c r="M15" s="265"/>
      <c r="N15" s="319"/>
      <c r="R15" s="311"/>
    </row>
    <row r="16" spans="2:19">
      <c r="B16" s="317" t="s">
        <v>259</v>
      </c>
      <c r="C16" s="306">
        <f>SUM(C14:C15)</f>
        <v>43522161</v>
      </c>
      <c r="D16" s="306">
        <f>SUM(D14:D15)</f>
        <v>44273488</v>
      </c>
      <c r="E16" s="306">
        <f>+C16-D16</f>
        <v>-751327</v>
      </c>
      <c r="F16" s="306"/>
      <c r="G16" s="306"/>
      <c r="H16" s="306"/>
      <c r="M16" s="265"/>
      <c r="N16" s="319"/>
    </row>
    <row r="17" spans="2:16">
      <c r="B17" s="317"/>
      <c r="C17" s="265">
        <f>C13-C16</f>
        <v>0</v>
      </c>
      <c r="D17" s="265">
        <f>D13-D16</f>
        <v>0</v>
      </c>
      <c r="E17" s="306">
        <f>+C17-D17</f>
        <v>0</v>
      </c>
      <c r="F17" s="306"/>
      <c r="G17" s="306"/>
      <c r="H17" s="306"/>
      <c r="M17" s="265"/>
      <c r="N17" s="319"/>
    </row>
    <row r="18" spans="2:16">
      <c r="C18" s="305"/>
      <c r="F18" s="306" t="s">
        <v>352</v>
      </c>
      <c r="G18" s="306" t="s">
        <v>353</v>
      </c>
      <c r="M18" s="265"/>
    </row>
    <row r="19" spans="2:16">
      <c r="B19" s="307" t="s">
        <v>362</v>
      </c>
      <c r="C19" s="308" t="s">
        <v>355</v>
      </c>
      <c r="D19" s="308" t="s">
        <v>356</v>
      </c>
      <c r="E19" s="308" t="s">
        <v>5</v>
      </c>
      <c r="F19" s="309">
        <f>+L21</f>
        <v>0.99995475113122168</v>
      </c>
      <c r="G19" s="310">
        <f>+L22</f>
        <v>4.5248868778280542E-5</v>
      </c>
      <c r="H19" s="308"/>
    </row>
    <row r="20" spans="2:16">
      <c r="B20" s="305" t="s">
        <v>87</v>
      </c>
      <c r="C20" s="265">
        <v>1105000</v>
      </c>
      <c r="D20" s="265">
        <v>1105000</v>
      </c>
      <c r="E20" s="265">
        <f t="shared" ref="E20:E27" si="3">+C20-D20</f>
        <v>0</v>
      </c>
      <c r="F20" s="265">
        <v>0</v>
      </c>
      <c r="G20" s="265">
        <v>0</v>
      </c>
      <c r="H20" s="308"/>
      <c r="K20" s="1067">
        <v>2017</v>
      </c>
      <c r="L20" s="1067"/>
      <c r="M20" s="1067">
        <v>2016</v>
      </c>
      <c r="N20" s="1067"/>
      <c r="O20" s="1067" t="s">
        <v>5</v>
      </c>
      <c r="P20" s="1067"/>
    </row>
    <row r="21" spans="2:16">
      <c r="B21" s="305" t="s">
        <v>88</v>
      </c>
      <c r="C21" s="265">
        <v>877313</v>
      </c>
      <c r="D21" s="265">
        <v>646013</v>
      </c>
      <c r="E21" s="265">
        <f t="shared" si="3"/>
        <v>231300</v>
      </c>
      <c r="F21" s="265">
        <v>0</v>
      </c>
      <c r="G21" s="265">
        <v>0</v>
      </c>
      <c r="H21" s="308"/>
      <c r="J21" s="265" t="s">
        <v>293</v>
      </c>
      <c r="K21" s="275">
        <v>1104950</v>
      </c>
      <c r="L21" s="276">
        <f>+K21/$K$23</f>
        <v>0.99995475113122168</v>
      </c>
      <c r="M21" s="275">
        <v>1104950</v>
      </c>
      <c r="N21" s="276">
        <f>+M21/$M$23</f>
        <v>0.99995475113122168</v>
      </c>
      <c r="O21" s="275">
        <f>+K21-M21</f>
        <v>0</v>
      </c>
      <c r="P21" s="276">
        <f>+L21-N21</f>
        <v>0</v>
      </c>
    </row>
    <row r="22" spans="2:16">
      <c r="B22" s="305" t="s">
        <v>90</v>
      </c>
      <c r="E22" s="265">
        <f t="shared" si="3"/>
        <v>0</v>
      </c>
      <c r="F22" s="265">
        <f t="shared" ref="F22:F27" si="4">+E22*$F$19</f>
        <v>0</v>
      </c>
      <c r="G22" s="265">
        <f t="shared" ref="G22:G27" si="5">+E22*$G$19</f>
        <v>0</v>
      </c>
      <c r="J22" s="265" t="s">
        <v>296</v>
      </c>
      <c r="K22" s="280">
        <v>50</v>
      </c>
      <c r="L22" s="276">
        <f>+K22/$K$23</f>
        <v>4.5248868778280542E-5</v>
      </c>
      <c r="M22" s="280">
        <v>50</v>
      </c>
      <c r="N22" s="276">
        <f>+M22/$M$23</f>
        <v>4.5248868778280542E-5</v>
      </c>
      <c r="O22" s="275">
        <f>+K22-M22</f>
        <v>0</v>
      </c>
      <c r="P22" s="276">
        <f>+L22-N22</f>
        <v>0</v>
      </c>
    </row>
    <row r="23" spans="2:16">
      <c r="B23" s="305" t="s">
        <v>91</v>
      </c>
      <c r="E23" s="265">
        <f t="shared" si="3"/>
        <v>0</v>
      </c>
      <c r="F23" s="265">
        <f t="shared" si="4"/>
        <v>0</v>
      </c>
      <c r="G23" s="265">
        <f t="shared" si="5"/>
        <v>0</v>
      </c>
      <c r="K23" s="275">
        <f>SUM(K21:K22)</f>
        <v>1105000</v>
      </c>
      <c r="L23" s="283"/>
      <c r="M23" s="275">
        <f>SUM(M21:M22)</f>
        <v>1105000</v>
      </c>
      <c r="N23" s="283"/>
      <c r="O23" s="275">
        <f>SUM(O21:O22)</f>
        <v>0</v>
      </c>
      <c r="P23" s="283"/>
    </row>
    <row r="24" spans="2:16">
      <c r="B24" s="305" t="s">
        <v>92</v>
      </c>
      <c r="E24" s="265">
        <f t="shared" si="3"/>
        <v>0</v>
      </c>
      <c r="F24" s="265">
        <f t="shared" si="4"/>
        <v>0</v>
      </c>
      <c r="G24" s="265">
        <f t="shared" si="5"/>
        <v>0</v>
      </c>
    </row>
    <row r="25" spans="2:16">
      <c r="B25" s="305" t="s">
        <v>93</v>
      </c>
      <c r="E25" s="265">
        <f t="shared" si="3"/>
        <v>0</v>
      </c>
      <c r="F25" s="265">
        <f t="shared" si="4"/>
        <v>0</v>
      </c>
      <c r="G25" s="265">
        <f t="shared" si="5"/>
        <v>0</v>
      </c>
    </row>
    <row r="26" spans="2:16">
      <c r="B26" s="305" t="s">
        <v>95</v>
      </c>
      <c r="C26" s="265">
        <f>'ESF - ERI'!U55</f>
        <v>-16937</v>
      </c>
      <c r="D26" s="265">
        <v>-85803</v>
      </c>
      <c r="E26" s="265">
        <f t="shared" si="3"/>
        <v>68866</v>
      </c>
      <c r="F26" s="265">
        <f t="shared" si="4"/>
        <v>68862.883891402715</v>
      </c>
      <c r="G26" s="265">
        <f t="shared" si="5"/>
        <v>3.1161085972850677</v>
      </c>
      <c r="I26" s="320" t="s">
        <v>363</v>
      </c>
    </row>
    <row r="27" spans="2:16">
      <c r="B27" s="305" t="s">
        <v>358</v>
      </c>
      <c r="C27" s="315">
        <f>'ESF - ERI'!U56</f>
        <v>19337</v>
      </c>
      <c r="D27" s="315">
        <v>-113288</v>
      </c>
      <c r="E27" s="315">
        <f t="shared" si="3"/>
        <v>132625</v>
      </c>
      <c r="F27" s="265">
        <f t="shared" si="4"/>
        <v>132618.99886877826</v>
      </c>
      <c r="G27" s="265">
        <f t="shared" si="5"/>
        <v>6.001131221719457</v>
      </c>
    </row>
    <row r="29" spans="2:16">
      <c r="B29" s="307" t="s">
        <v>359</v>
      </c>
      <c r="C29" s="306">
        <f>SUM(C20:C28)</f>
        <v>1984713</v>
      </c>
      <c r="D29" s="306">
        <f>SUM(D20:D28)</f>
        <v>1551922</v>
      </c>
      <c r="E29" s="306">
        <f>SUM(E20:E27)</f>
        <v>432791</v>
      </c>
      <c r="F29" s="306"/>
      <c r="G29" s="306"/>
      <c r="H29" s="306"/>
    </row>
    <row r="30" spans="2:16">
      <c r="B30" s="305" t="s">
        <v>364</v>
      </c>
      <c r="C30" s="306">
        <v>0</v>
      </c>
      <c r="D30" s="306">
        <v>0</v>
      </c>
      <c r="E30" s="306"/>
      <c r="F30" s="306"/>
      <c r="G30" s="306"/>
      <c r="H30" s="306"/>
      <c r="J30" s="265" t="s">
        <v>365</v>
      </c>
    </row>
    <row r="31" spans="2:16">
      <c r="B31" s="305" t="s">
        <v>366</v>
      </c>
      <c r="C31" s="321">
        <f>-C21</f>
        <v>-877313</v>
      </c>
      <c r="D31" s="321">
        <f>-D21</f>
        <v>-646013</v>
      </c>
      <c r="F31" s="306"/>
      <c r="G31" s="306"/>
      <c r="H31" s="306"/>
    </row>
    <row r="32" spans="2:16">
      <c r="B32" s="307" t="s">
        <v>367</v>
      </c>
      <c r="C32" s="306">
        <f>SUM(C29:C31)</f>
        <v>1107400</v>
      </c>
      <c r="D32" s="306">
        <f>SUM(D29:D31)</f>
        <v>905909</v>
      </c>
      <c r="E32" s="265">
        <f>+C32-D32</f>
        <v>201491</v>
      </c>
      <c r="F32" s="306"/>
      <c r="G32" s="306"/>
      <c r="H32" s="306"/>
    </row>
    <row r="33" spans="2:16">
      <c r="B33" s="317" t="s">
        <v>360</v>
      </c>
      <c r="C33" s="306">
        <f>+(C32)*$F$19</f>
        <v>1107349.8914027149</v>
      </c>
      <c r="D33" s="306">
        <f>+(D32)*$F$19</f>
        <v>905868.00864253391</v>
      </c>
      <c r="E33" s="265">
        <f>+C33-D33</f>
        <v>201481.88276018098</v>
      </c>
      <c r="F33" s="306"/>
      <c r="G33" s="306"/>
      <c r="H33" s="306"/>
    </row>
    <row r="34" spans="2:16">
      <c r="B34" s="317" t="s">
        <v>361</v>
      </c>
      <c r="C34" s="306">
        <f>+C32*$G$19</f>
        <v>50.108597285067873</v>
      </c>
      <c r="D34" s="306">
        <f>+D32*$G$19</f>
        <v>40.991357466063349</v>
      </c>
      <c r="E34" s="306">
        <f>+C34-D34</f>
        <v>9.1172398190045243</v>
      </c>
    </row>
    <row r="35" spans="2:16">
      <c r="B35" s="317" t="s">
        <v>259</v>
      </c>
      <c r="C35" s="306">
        <f>SUM(C33:C34)</f>
        <v>1107400</v>
      </c>
      <c r="D35" s="306">
        <f>SUM(D33:D34)</f>
        <v>905909</v>
      </c>
    </row>
    <row r="36" spans="2:16">
      <c r="C36" s="265">
        <f>C32-C35</f>
        <v>0</v>
      </c>
      <c r="D36" s="265">
        <f>D32-D35</f>
        <v>0</v>
      </c>
    </row>
    <row r="37" spans="2:16">
      <c r="F37" s="306" t="s">
        <v>352</v>
      </c>
      <c r="G37" s="306" t="s">
        <v>353</v>
      </c>
    </row>
    <row r="38" spans="2:16">
      <c r="B38" s="307" t="s">
        <v>368</v>
      </c>
      <c r="C38" s="308" t="s">
        <v>355</v>
      </c>
      <c r="D38" s="308" t="s">
        <v>356</v>
      </c>
      <c r="E38" s="308" t="s">
        <v>5</v>
      </c>
      <c r="F38" s="309">
        <f>+L40</f>
        <v>0.68</v>
      </c>
      <c r="G38" s="310">
        <f>+L41</f>
        <v>0.32</v>
      </c>
      <c r="H38" s="308"/>
    </row>
    <row r="39" spans="2:16">
      <c r="B39" s="305" t="s">
        <v>87</v>
      </c>
      <c r="C39" s="265">
        <v>10000</v>
      </c>
      <c r="D39" s="265">
        <v>10000</v>
      </c>
      <c r="E39" s="265">
        <f t="shared" ref="E39:E46" si="6">+C39-D39</f>
        <v>0</v>
      </c>
      <c r="F39" s="265">
        <f t="shared" ref="F39:F46" si="7">+E39*$F$38</f>
        <v>0</v>
      </c>
      <c r="G39" s="265">
        <f t="shared" ref="G39:G46" si="8">+E39*$G$38</f>
        <v>0</v>
      </c>
      <c r="K39" s="1067">
        <v>2017</v>
      </c>
      <c r="L39" s="1067"/>
      <c r="M39" s="1067">
        <v>2016</v>
      </c>
      <c r="N39" s="1067"/>
      <c r="O39" s="1067" t="s">
        <v>5</v>
      </c>
      <c r="P39" s="1067"/>
    </row>
    <row r="40" spans="2:16">
      <c r="B40" s="305" t="s">
        <v>88</v>
      </c>
      <c r="C40" s="265">
        <v>0</v>
      </c>
      <c r="D40" s="265">
        <v>0</v>
      </c>
      <c r="E40" s="265">
        <f t="shared" si="6"/>
        <v>0</v>
      </c>
      <c r="F40" s="265">
        <f t="shared" si="7"/>
        <v>0</v>
      </c>
      <c r="G40" s="265">
        <f t="shared" si="8"/>
        <v>0</v>
      </c>
      <c r="J40" s="265" t="s">
        <v>293</v>
      </c>
      <c r="K40" s="275">
        <v>6800</v>
      </c>
      <c r="L40" s="276">
        <f>+K40/$K$42</f>
        <v>0.68</v>
      </c>
      <c r="M40" s="275">
        <v>6800</v>
      </c>
      <c r="N40" s="276">
        <f>+M40/$M$42</f>
        <v>0.68</v>
      </c>
      <c r="O40" s="275">
        <f>+K40-M40</f>
        <v>0</v>
      </c>
      <c r="P40" s="276">
        <f>+L40-N40</f>
        <v>0</v>
      </c>
    </row>
    <row r="41" spans="2:16">
      <c r="B41" s="305" t="s">
        <v>90</v>
      </c>
      <c r="C41" s="265">
        <f>'ESF - ERI'!V50</f>
        <v>74426</v>
      </c>
      <c r="D41" s="265">
        <v>74426.570000000007</v>
      </c>
      <c r="E41" s="265">
        <f t="shared" si="6"/>
        <v>-0.57000000000698492</v>
      </c>
      <c r="F41" s="265">
        <f t="shared" si="7"/>
        <v>-0.38760000000474976</v>
      </c>
      <c r="G41" s="265">
        <f t="shared" si="8"/>
        <v>-0.18240000000223519</v>
      </c>
      <c r="J41" s="265" t="s">
        <v>296</v>
      </c>
      <c r="K41" s="280">
        <v>3200</v>
      </c>
      <c r="L41" s="276">
        <f>+K41/$K$42</f>
        <v>0.32</v>
      </c>
      <c r="M41" s="280">
        <v>3200</v>
      </c>
      <c r="N41" s="276">
        <f>+M41/$M$42</f>
        <v>0.32</v>
      </c>
      <c r="O41" s="275">
        <f>+K41-M41</f>
        <v>0</v>
      </c>
      <c r="P41" s="276">
        <f>+L41-N41</f>
        <v>0</v>
      </c>
    </row>
    <row r="42" spans="2:16">
      <c r="B42" s="305" t="s">
        <v>91</v>
      </c>
      <c r="E42" s="265">
        <f t="shared" si="6"/>
        <v>0</v>
      </c>
      <c r="F42" s="265">
        <f t="shared" si="7"/>
        <v>0</v>
      </c>
      <c r="G42" s="265">
        <f t="shared" si="8"/>
        <v>0</v>
      </c>
      <c r="K42" s="275">
        <f>SUM(K40:K41)</f>
        <v>10000</v>
      </c>
      <c r="L42" s="283"/>
      <c r="M42" s="275">
        <f>SUM(M40:M41)</f>
        <v>10000</v>
      </c>
      <c r="N42" s="283"/>
      <c r="O42" s="275">
        <f>SUM(O40:O41)</f>
        <v>0</v>
      </c>
      <c r="P42" s="283"/>
    </row>
    <row r="43" spans="2:16">
      <c r="B43" s="305" t="s">
        <v>92</v>
      </c>
      <c r="E43" s="265">
        <f t="shared" si="6"/>
        <v>0</v>
      </c>
      <c r="F43" s="265">
        <f t="shared" si="7"/>
        <v>0</v>
      </c>
      <c r="G43" s="265">
        <f t="shared" si="8"/>
        <v>0</v>
      </c>
    </row>
    <row r="44" spans="2:16">
      <c r="B44" s="305" t="s">
        <v>93</v>
      </c>
      <c r="E44" s="265">
        <f t="shared" si="6"/>
        <v>0</v>
      </c>
      <c r="F44" s="265">
        <f t="shared" si="7"/>
        <v>0</v>
      </c>
      <c r="G44" s="265">
        <f t="shared" si="8"/>
        <v>0</v>
      </c>
    </row>
    <row r="45" spans="2:16">
      <c r="B45" s="305" t="s">
        <v>95</v>
      </c>
      <c r="C45" s="265">
        <f>'ESF - ERI'!V55</f>
        <v>911628</v>
      </c>
      <c r="D45" s="265">
        <v>989917</v>
      </c>
      <c r="E45" s="265">
        <f t="shared" si="6"/>
        <v>-78289</v>
      </c>
      <c r="F45" s="265">
        <f t="shared" si="7"/>
        <v>-53236.520000000004</v>
      </c>
      <c r="G45" s="265">
        <f t="shared" si="8"/>
        <v>-25052.48</v>
      </c>
      <c r="I45" s="320" t="s">
        <v>369</v>
      </c>
      <c r="L45" s="265">
        <f>228012-128950-6829+71048+1931</f>
        <v>165212</v>
      </c>
    </row>
    <row r="46" spans="2:16">
      <c r="B46" s="305" t="s">
        <v>358</v>
      </c>
      <c r="C46" s="315">
        <f>'ESF - ERI'!V56</f>
        <v>-15891</v>
      </c>
      <c r="D46" s="315">
        <v>-56384</v>
      </c>
      <c r="E46" s="315">
        <f t="shared" si="6"/>
        <v>40493</v>
      </c>
      <c r="F46" s="265">
        <f t="shared" si="7"/>
        <v>27535.24</v>
      </c>
      <c r="G46" s="265">
        <f t="shared" si="8"/>
        <v>12957.76</v>
      </c>
    </row>
    <row r="48" spans="2:16">
      <c r="B48" s="307" t="s">
        <v>359</v>
      </c>
      <c r="C48" s="306">
        <f>SUM(C39:C47)</f>
        <v>980163</v>
      </c>
      <c r="D48" s="306">
        <f>SUM(D39:D47)</f>
        <v>1017959.5700000001</v>
      </c>
      <c r="E48" s="306">
        <f>SUM(E39:E46)</f>
        <v>-37796.570000000007</v>
      </c>
      <c r="F48" s="306"/>
      <c r="G48" s="306"/>
      <c r="H48" s="306"/>
    </row>
    <row r="49" spans="2:16">
      <c r="B49" s="317" t="s">
        <v>360</v>
      </c>
      <c r="C49" s="306">
        <f>+(C48)*$F$38</f>
        <v>666510.84000000008</v>
      </c>
      <c r="D49" s="306">
        <f>+(D48)*$F$38</f>
        <v>692212.50760000013</v>
      </c>
      <c r="E49" s="306">
        <f>+C49-D49</f>
        <v>-25701.667600000044</v>
      </c>
      <c r="F49" s="306"/>
      <c r="G49" s="306"/>
      <c r="H49" s="306"/>
    </row>
    <row r="50" spans="2:16">
      <c r="B50" s="317" t="s">
        <v>361</v>
      </c>
      <c r="C50" s="306">
        <f>+C48*$G$38</f>
        <v>313652.16000000003</v>
      </c>
      <c r="D50" s="306">
        <f>+D48*$G$38</f>
        <v>325747.06240000005</v>
      </c>
      <c r="E50" s="306">
        <f>+C50-D50</f>
        <v>-12094.902400000021</v>
      </c>
    </row>
    <row r="51" spans="2:16">
      <c r="B51" s="317" t="s">
        <v>259</v>
      </c>
      <c r="C51" s="306">
        <f>SUM(C49:C50)</f>
        <v>980163.00000000012</v>
      </c>
      <c r="D51" s="306">
        <f>SUM(D49:D50)</f>
        <v>1017959.5700000002</v>
      </c>
      <c r="E51" s="306">
        <f>+C51-D51</f>
        <v>-37796.570000000065</v>
      </c>
    </row>
    <row r="52" spans="2:16">
      <c r="B52" s="317"/>
      <c r="C52" s="265">
        <f>C48-C51</f>
        <v>0</v>
      </c>
      <c r="D52" s="265">
        <f>D48-D51</f>
        <v>0</v>
      </c>
      <c r="E52" s="306"/>
    </row>
    <row r="53" spans="2:16">
      <c r="C53" s="305"/>
      <c r="D53" s="305"/>
      <c r="F53" s="306" t="s">
        <v>352</v>
      </c>
      <c r="G53" s="306" t="s">
        <v>353</v>
      </c>
    </row>
    <row r="54" spans="2:16">
      <c r="B54" s="307" t="s">
        <v>370</v>
      </c>
      <c r="C54" s="308" t="s">
        <v>355</v>
      </c>
      <c r="D54" s="308" t="s">
        <v>356</v>
      </c>
      <c r="E54" s="308" t="s">
        <v>5</v>
      </c>
      <c r="F54" s="309">
        <f>+L56</f>
        <v>0.5</v>
      </c>
      <c r="G54" s="310">
        <f>+L57</f>
        <v>0.5</v>
      </c>
      <c r="H54" s="308"/>
    </row>
    <row r="55" spans="2:16">
      <c r="B55" s="305" t="s">
        <v>87</v>
      </c>
      <c r="C55" s="265">
        <v>1000</v>
      </c>
      <c r="D55" s="265">
        <v>1000</v>
      </c>
      <c r="E55" s="265">
        <f t="shared" ref="E55:E62" si="9">+C55-D55</f>
        <v>0</v>
      </c>
      <c r="F55" s="265">
        <f t="shared" ref="F55:F62" si="10">+E55*$F$54</f>
        <v>0</v>
      </c>
      <c r="G55" s="265">
        <f t="shared" ref="G55:G62" si="11">+E55*$G$54</f>
        <v>0</v>
      </c>
      <c r="K55" s="1067">
        <v>2017</v>
      </c>
      <c r="L55" s="1067"/>
      <c r="M55" s="1067">
        <v>2016</v>
      </c>
      <c r="N55" s="1067"/>
      <c r="O55" s="1067" t="s">
        <v>5</v>
      </c>
      <c r="P55" s="1067"/>
    </row>
    <row r="56" spans="2:16">
      <c r="B56" s="305" t="s">
        <v>88</v>
      </c>
      <c r="C56" s="265">
        <v>49015</v>
      </c>
      <c r="D56" s="265">
        <v>49015</v>
      </c>
      <c r="E56" s="265">
        <f t="shared" si="9"/>
        <v>0</v>
      </c>
      <c r="F56" s="265">
        <f t="shared" si="10"/>
        <v>0</v>
      </c>
      <c r="G56" s="265">
        <f t="shared" si="11"/>
        <v>0</v>
      </c>
      <c r="J56" s="265" t="s">
        <v>293</v>
      </c>
      <c r="K56" s="275">
        <v>500</v>
      </c>
      <c r="L56" s="276">
        <f>+K56/$K$58</f>
        <v>0.5</v>
      </c>
      <c r="M56" s="275">
        <v>500</v>
      </c>
      <c r="N56" s="276">
        <f>+M56/$M$58</f>
        <v>0.5</v>
      </c>
      <c r="O56" s="275">
        <f>+K56-M56</f>
        <v>0</v>
      </c>
      <c r="P56" s="276">
        <f>+L56-N56</f>
        <v>0</v>
      </c>
    </row>
    <row r="57" spans="2:16">
      <c r="B57" s="305" t="s">
        <v>90</v>
      </c>
      <c r="C57" s="265">
        <v>500</v>
      </c>
      <c r="D57" s="265">
        <v>500</v>
      </c>
      <c r="E57" s="265">
        <f t="shared" si="9"/>
        <v>0</v>
      </c>
      <c r="F57" s="265">
        <f t="shared" si="10"/>
        <v>0</v>
      </c>
      <c r="G57" s="265">
        <f t="shared" si="11"/>
        <v>0</v>
      </c>
      <c r="J57" s="265" t="s">
        <v>296</v>
      </c>
      <c r="K57" s="280">
        <v>500</v>
      </c>
      <c r="L57" s="276">
        <f>+K57/$K$58</f>
        <v>0.5</v>
      </c>
      <c r="M57" s="280">
        <v>500</v>
      </c>
      <c r="N57" s="276">
        <f>+M57/$M$58</f>
        <v>0.5</v>
      </c>
      <c r="O57" s="275">
        <f>+K57-M57</f>
        <v>0</v>
      </c>
      <c r="P57" s="276">
        <f>+L57-N57</f>
        <v>0</v>
      </c>
    </row>
    <row r="58" spans="2:16">
      <c r="B58" s="305" t="s">
        <v>91</v>
      </c>
      <c r="C58" s="265">
        <v>0</v>
      </c>
      <c r="D58" s="265">
        <v>0</v>
      </c>
      <c r="E58" s="265">
        <f t="shared" si="9"/>
        <v>0</v>
      </c>
      <c r="F58" s="265">
        <f t="shared" si="10"/>
        <v>0</v>
      </c>
      <c r="G58" s="265">
        <f t="shared" si="11"/>
        <v>0</v>
      </c>
      <c r="K58" s="275">
        <f>SUM(K56:K57)</f>
        <v>1000</v>
      </c>
      <c r="L58" s="283"/>
      <c r="M58" s="275">
        <f>SUM(M56:M57)</f>
        <v>1000</v>
      </c>
      <c r="N58" s="283"/>
      <c r="O58" s="275">
        <f>SUM(O56:O57)</f>
        <v>0</v>
      </c>
      <c r="P58" s="283"/>
    </row>
    <row r="59" spans="2:16">
      <c r="B59" s="305" t="s">
        <v>92</v>
      </c>
      <c r="C59" s="265">
        <v>0</v>
      </c>
      <c r="D59" s="265">
        <v>0</v>
      </c>
      <c r="E59" s="265">
        <f t="shared" si="9"/>
        <v>0</v>
      </c>
      <c r="F59" s="265">
        <f t="shared" si="10"/>
        <v>0</v>
      </c>
      <c r="G59" s="265">
        <f t="shared" si="11"/>
        <v>0</v>
      </c>
    </row>
    <row r="60" spans="2:16">
      <c r="B60" s="305" t="s">
        <v>93</v>
      </c>
      <c r="C60" s="265">
        <v>0</v>
      </c>
      <c r="D60" s="265">
        <v>82150.45</v>
      </c>
      <c r="E60" s="265">
        <f t="shared" si="9"/>
        <v>-82150.45</v>
      </c>
      <c r="F60" s="265">
        <f t="shared" si="10"/>
        <v>-41075.224999999999</v>
      </c>
      <c r="G60" s="265">
        <f t="shared" si="11"/>
        <v>-41075.224999999999</v>
      </c>
    </row>
    <row r="61" spans="2:16">
      <c r="B61" s="305" t="s">
        <v>95</v>
      </c>
      <c r="C61" s="265">
        <f>'ESF - ERI'!W55</f>
        <v>-488265</v>
      </c>
      <c r="D61" s="265">
        <f>129138.35-489726.7199375</f>
        <v>-360588.36993749999</v>
      </c>
      <c r="E61" s="265">
        <f t="shared" si="9"/>
        <v>-127676.63006250001</v>
      </c>
      <c r="F61" s="265">
        <f t="shared" si="10"/>
        <v>-63838.315031250007</v>
      </c>
      <c r="G61" s="265">
        <f t="shared" si="11"/>
        <v>-63838.315031250007</v>
      </c>
    </row>
    <row r="62" spans="2:16">
      <c r="B62" s="305" t="s">
        <v>358</v>
      </c>
      <c r="C62" s="315">
        <f>'ESF - ERI'!W56</f>
        <v>-493384</v>
      </c>
      <c r="D62" s="315">
        <v>-209826.66</v>
      </c>
      <c r="E62" s="315">
        <f t="shared" si="9"/>
        <v>-283557.33999999997</v>
      </c>
      <c r="F62" s="265">
        <f t="shared" si="10"/>
        <v>-141778.66999999998</v>
      </c>
      <c r="G62" s="265">
        <f t="shared" si="11"/>
        <v>-141778.66999999998</v>
      </c>
    </row>
    <row r="64" spans="2:16">
      <c r="B64" s="307" t="s">
        <v>359</v>
      </c>
      <c r="C64" s="306">
        <f>SUM(C55:C63)</f>
        <v>-931134</v>
      </c>
      <c r="D64" s="306">
        <f>SUM(D55:D63)</f>
        <v>-437749.57993749995</v>
      </c>
      <c r="E64" s="306">
        <f>SUM(E55:E62)</f>
        <v>-493384.42006249999</v>
      </c>
      <c r="F64" s="306"/>
      <c r="G64" s="306"/>
      <c r="H64" s="306"/>
    </row>
    <row r="65" spans="2:16">
      <c r="B65" s="305" t="s">
        <v>366</v>
      </c>
      <c r="C65" s="321">
        <f>-C56</f>
        <v>-49015</v>
      </c>
      <c r="D65" s="321">
        <f>-D56</f>
        <v>-49015</v>
      </c>
      <c r="F65" s="306"/>
      <c r="G65" s="306"/>
      <c r="H65" s="306"/>
    </row>
    <row r="66" spans="2:16">
      <c r="B66" s="307" t="s">
        <v>367</v>
      </c>
      <c r="C66" s="306">
        <f>SUM(C63:C65)</f>
        <v>-980149</v>
      </c>
      <c r="D66" s="306">
        <f>SUM(D63:D65)</f>
        <v>-486764.57993749995</v>
      </c>
      <c r="E66" s="265">
        <f>+C66-D66</f>
        <v>-493384.42006250005</v>
      </c>
      <c r="F66" s="306"/>
      <c r="G66" s="306"/>
      <c r="H66" s="306"/>
    </row>
    <row r="67" spans="2:16">
      <c r="B67" s="317" t="s">
        <v>360</v>
      </c>
      <c r="C67" s="306">
        <f>+(C66)*$F$54</f>
        <v>-490074.5</v>
      </c>
      <c r="D67" s="306">
        <f>+(D66)*$F$54</f>
        <v>-243382.28996874997</v>
      </c>
      <c r="E67" s="306">
        <f>+C67-D67</f>
        <v>-246692.21003125003</v>
      </c>
      <c r="F67" s="306"/>
      <c r="G67" s="306"/>
      <c r="H67" s="306"/>
    </row>
    <row r="68" spans="2:16">
      <c r="B68" s="317" t="s">
        <v>361</v>
      </c>
      <c r="C68" s="306">
        <f>+C66*$G$54</f>
        <v>-490074.5</v>
      </c>
      <c r="D68" s="306">
        <f>+D66*$G$54</f>
        <v>-243382.28996874997</v>
      </c>
      <c r="E68" s="306">
        <f>+C68-D68</f>
        <v>-246692.21003125003</v>
      </c>
    </row>
    <row r="69" spans="2:16">
      <c r="B69" s="317" t="s">
        <v>259</v>
      </c>
      <c r="C69" s="306">
        <f>SUM(C67:C68)</f>
        <v>-980149</v>
      </c>
      <c r="D69" s="306">
        <f>SUM(D67:D68)</f>
        <v>-486764.57993749995</v>
      </c>
      <c r="E69" s="306">
        <f>+C69-D69</f>
        <v>-493384.42006250005</v>
      </c>
    </row>
    <row r="70" spans="2:16">
      <c r="B70" s="317"/>
      <c r="C70" s="265">
        <f>C66-C69</f>
        <v>0</v>
      </c>
      <c r="D70" s="265">
        <f>D66-D69</f>
        <v>0</v>
      </c>
      <c r="E70" s="306"/>
    </row>
    <row r="71" spans="2:16">
      <c r="F71" s="306" t="s">
        <v>352</v>
      </c>
      <c r="G71" s="306" t="s">
        <v>353</v>
      </c>
    </row>
    <row r="72" spans="2:16">
      <c r="B72" s="307" t="s">
        <v>371</v>
      </c>
      <c r="C72" s="308" t="s">
        <v>355</v>
      </c>
      <c r="D72" s="308" t="s">
        <v>356</v>
      </c>
      <c r="E72" s="308" t="s">
        <v>5</v>
      </c>
      <c r="F72" s="309">
        <f>+L74</f>
        <v>0.75</v>
      </c>
      <c r="G72" s="310">
        <f>+L75</f>
        <v>0.25</v>
      </c>
      <c r="H72" s="308"/>
    </row>
    <row r="73" spans="2:16">
      <c r="B73" s="305" t="s">
        <v>87</v>
      </c>
      <c r="C73" s="265">
        <v>1000</v>
      </c>
      <c r="D73" s="265">
        <v>1000</v>
      </c>
      <c r="E73" s="265">
        <f t="shared" ref="E73:E80" si="12">+C73-D73</f>
        <v>0</v>
      </c>
      <c r="F73" s="265">
        <f t="shared" ref="F73:F80" si="13">+E73*$F$72</f>
        <v>0</v>
      </c>
      <c r="G73" s="265">
        <f t="shared" ref="G73:G80" si="14">+E73*$G$72</f>
        <v>0</v>
      </c>
      <c r="K73" s="1067">
        <v>2017</v>
      </c>
      <c r="L73" s="1067"/>
      <c r="M73" s="1067">
        <v>2016</v>
      </c>
      <c r="N73" s="1067"/>
      <c r="O73" s="1067" t="s">
        <v>5</v>
      </c>
      <c r="P73" s="1067"/>
    </row>
    <row r="74" spans="2:16">
      <c r="B74" s="305" t="s">
        <v>88</v>
      </c>
      <c r="C74" s="265">
        <v>330450</v>
      </c>
      <c r="D74" s="265">
        <v>330450</v>
      </c>
      <c r="E74" s="265">
        <f t="shared" si="12"/>
        <v>0</v>
      </c>
      <c r="F74" s="265">
        <f t="shared" si="13"/>
        <v>0</v>
      </c>
      <c r="G74" s="265">
        <f t="shared" si="14"/>
        <v>0</v>
      </c>
      <c r="J74" s="265" t="s">
        <v>293</v>
      </c>
      <c r="K74" s="275">
        <v>750</v>
      </c>
      <c r="L74" s="276">
        <f>+K74/$K$76</f>
        <v>0.75</v>
      </c>
      <c r="M74" s="275">
        <v>750</v>
      </c>
      <c r="N74" s="276">
        <f>+M74/$M$76</f>
        <v>0.75</v>
      </c>
      <c r="O74" s="275">
        <f>+K74-M74</f>
        <v>0</v>
      </c>
      <c r="P74" s="276">
        <f>+L74-N74</f>
        <v>0</v>
      </c>
    </row>
    <row r="75" spans="2:16">
      <c r="B75" s="305" t="s">
        <v>90</v>
      </c>
      <c r="C75" s="265">
        <v>109633</v>
      </c>
      <c r="D75" s="265">
        <v>109633.48</v>
      </c>
      <c r="E75" s="265">
        <f t="shared" si="12"/>
        <v>-0.47999999999592546</v>
      </c>
      <c r="F75" s="265">
        <f t="shared" si="13"/>
        <v>-0.3599999999969441</v>
      </c>
      <c r="G75" s="265">
        <f t="shared" si="14"/>
        <v>-0.11999999999898137</v>
      </c>
      <c r="J75" s="265" t="s">
        <v>296</v>
      </c>
      <c r="K75" s="280">
        <v>250</v>
      </c>
      <c r="L75" s="276">
        <f>+K75/$K$76</f>
        <v>0.25</v>
      </c>
      <c r="M75" s="280">
        <v>250</v>
      </c>
      <c r="N75" s="276">
        <f>+M75/$M$76</f>
        <v>0.25</v>
      </c>
      <c r="O75" s="275">
        <f>+K75-M75</f>
        <v>0</v>
      </c>
      <c r="P75" s="276">
        <f>+L75-N75</f>
        <v>0</v>
      </c>
    </row>
    <row r="76" spans="2:16">
      <c r="B76" s="305" t="s">
        <v>91</v>
      </c>
      <c r="C76" s="265">
        <v>0</v>
      </c>
      <c r="D76" s="265">
        <v>0</v>
      </c>
      <c r="E76" s="265">
        <f t="shared" si="12"/>
        <v>0</v>
      </c>
      <c r="F76" s="265">
        <f t="shared" si="13"/>
        <v>0</v>
      </c>
      <c r="G76" s="265">
        <f t="shared" si="14"/>
        <v>0</v>
      </c>
      <c r="K76" s="275">
        <f>SUM(K74:K75)</f>
        <v>1000</v>
      </c>
      <c r="L76" s="283"/>
      <c r="M76" s="275">
        <f>SUM(M74:M75)</f>
        <v>1000</v>
      </c>
      <c r="N76" s="283"/>
      <c r="O76" s="275">
        <f>SUM(O74:O75)</f>
        <v>0</v>
      </c>
      <c r="P76" s="283"/>
    </row>
    <row r="77" spans="2:16">
      <c r="B77" s="305" t="s">
        <v>92</v>
      </c>
      <c r="C77" s="265">
        <v>0</v>
      </c>
      <c r="D77" s="265">
        <v>0</v>
      </c>
      <c r="E77" s="265">
        <f t="shared" si="12"/>
        <v>0</v>
      </c>
      <c r="F77" s="265">
        <f t="shared" si="13"/>
        <v>0</v>
      </c>
      <c r="G77" s="265">
        <f t="shared" si="14"/>
        <v>0</v>
      </c>
    </row>
    <row r="78" spans="2:16">
      <c r="B78" s="305" t="s">
        <v>93</v>
      </c>
      <c r="C78" s="265">
        <v>0</v>
      </c>
      <c r="D78" s="265">
        <v>0</v>
      </c>
      <c r="E78" s="265">
        <f t="shared" si="12"/>
        <v>0</v>
      </c>
      <c r="F78" s="265">
        <f t="shared" si="13"/>
        <v>0</v>
      </c>
      <c r="G78" s="265">
        <f t="shared" si="14"/>
        <v>0</v>
      </c>
    </row>
    <row r="79" spans="2:16">
      <c r="B79" s="305" t="s">
        <v>95</v>
      </c>
      <c r="C79" s="265">
        <f>'ESF - ERI'!X55</f>
        <v>-53896</v>
      </c>
      <c r="D79" s="265">
        <f>-26948.34-13474.17</f>
        <v>-40422.51</v>
      </c>
      <c r="E79" s="265">
        <f t="shared" si="12"/>
        <v>-13473.489999999998</v>
      </c>
      <c r="F79" s="265">
        <f t="shared" si="13"/>
        <v>-10105.117499999998</v>
      </c>
      <c r="G79" s="265">
        <f t="shared" si="14"/>
        <v>-3368.3724999999995</v>
      </c>
    </row>
    <row r="80" spans="2:16">
      <c r="B80" s="305" t="s">
        <v>358</v>
      </c>
      <c r="C80" s="315">
        <f>'ESF - ERI'!X56</f>
        <v>-13474</v>
      </c>
      <c r="D80" s="315">
        <v>-13474</v>
      </c>
      <c r="E80" s="315">
        <f t="shared" si="12"/>
        <v>0</v>
      </c>
      <c r="F80" s="265">
        <f t="shared" si="13"/>
        <v>0</v>
      </c>
      <c r="G80" s="265">
        <f t="shared" si="14"/>
        <v>0</v>
      </c>
    </row>
    <row r="82" spans="2:16">
      <c r="B82" s="307" t="s">
        <v>359</v>
      </c>
      <c r="C82" s="306">
        <f>SUM(C73:C81)</f>
        <v>373713</v>
      </c>
      <c r="D82" s="306">
        <f>SUM(D73:D81)</f>
        <v>387186.97</v>
      </c>
      <c r="E82" s="306">
        <f>SUM(E73:E80)</f>
        <v>-13473.969999999994</v>
      </c>
      <c r="F82" s="306"/>
      <c r="G82" s="306"/>
      <c r="H82" s="306"/>
    </row>
    <row r="83" spans="2:16">
      <c r="B83" s="305" t="s">
        <v>366</v>
      </c>
      <c r="C83" s="321">
        <f>-C74</f>
        <v>-330450</v>
      </c>
      <c r="D83" s="321">
        <f>-D74</f>
        <v>-330450</v>
      </c>
      <c r="F83" s="306"/>
      <c r="G83" s="306"/>
      <c r="H83" s="306"/>
    </row>
    <row r="84" spans="2:16">
      <c r="B84" s="307" t="s">
        <v>367</v>
      </c>
      <c r="C84" s="306">
        <f>SUM(C81:C83)</f>
        <v>43263</v>
      </c>
      <c r="D84" s="306">
        <f>SUM(D81:D83)</f>
        <v>56736.969999999972</v>
      </c>
      <c r="E84" s="265">
        <f>+C84-D84</f>
        <v>-13473.969999999972</v>
      </c>
      <c r="F84" s="306"/>
      <c r="G84" s="306"/>
      <c r="H84" s="306"/>
    </row>
    <row r="85" spans="2:16">
      <c r="B85" s="317" t="s">
        <v>360</v>
      </c>
      <c r="C85" s="306">
        <f>+(C84)*$F$72</f>
        <v>32447.25</v>
      </c>
      <c r="D85" s="306">
        <f>+(D84)*$F$72</f>
        <v>42552.727499999979</v>
      </c>
      <c r="E85" s="306">
        <f>+C85-D85</f>
        <v>-10105.477499999979</v>
      </c>
      <c r="F85" s="306"/>
      <c r="G85" s="306"/>
      <c r="H85" s="306"/>
    </row>
    <row r="86" spans="2:16">
      <c r="B86" s="317" t="s">
        <v>361</v>
      </c>
      <c r="C86" s="306">
        <f>+C84*$G$72</f>
        <v>10815.75</v>
      </c>
      <c r="D86" s="306">
        <f>+D84*$G$72</f>
        <v>14184.242499999993</v>
      </c>
      <c r="E86" s="306">
        <f>+C86-D86</f>
        <v>-3368.492499999993</v>
      </c>
    </row>
    <row r="87" spans="2:16">
      <c r="B87" s="317" t="s">
        <v>259</v>
      </c>
      <c r="C87" s="306">
        <f>SUM(C85:C86)</f>
        <v>43263</v>
      </c>
      <c r="D87" s="306">
        <f>SUM(D85:D86)</f>
        <v>56736.969999999972</v>
      </c>
      <c r="E87" s="306">
        <f>+C87-D87</f>
        <v>-13473.969999999972</v>
      </c>
    </row>
    <row r="88" spans="2:16">
      <c r="B88" s="317"/>
      <c r="C88" s="265">
        <f>C84-C87</f>
        <v>0</v>
      </c>
      <c r="D88" s="265">
        <f>D84-D87</f>
        <v>0</v>
      </c>
    </row>
    <row r="89" spans="2:16">
      <c r="B89" s="317"/>
    </row>
    <row r="90" spans="2:16">
      <c r="F90" s="306" t="s">
        <v>352</v>
      </c>
      <c r="G90" s="306" t="s">
        <v>353</v>
      </c>
    </row>
    <row r="91" spans="2:16">
      <c r="B91" s="307" t="s">
        <v>372</v>
      </c>
      <c r="C91" s="308" t="s">
        <v>355</v>
      </c>
      <c r="D91" s="308" t="s">
        <v>356</v>
      </c>
      <c r="E91" s="308" t="s">
        <v>5</v>
      </c>
      <c r="F91" s="309">
        <f>+L93</f>
        <v>0.92800000000000005</v>
      </c>
      <c r="G91" s="310">
        <f>+L94</f>
        <v>7.1999999999999995E-2</v>
      </c>
      <c r="H91" s="308"/>
    </row>
    <row r="92" spans="2:16">
      <c r="B92" s="305" t="s">
        <v>87</v>
      </c>
      <c r="C92" s="265">
        <v>5000</v>
      </c>
      <c r="D92" s="265">
        <v>5000</v>
      </c>
      <c r="E92" s="265">
        <f t="shared" ref="E92:E99" si="15">+C92-D92</f>
        <v>0</v>
      </c>
      <c r="F92" s="265">
        <f t="shared" ref="F92:F99" si="16">+E92*$F$91</f>
        <v>0</v>
      </c>
      <c r="G92" s="265">
        <f t="shared" ref="G92:G99" si="17">+E92*$G$91</f>
        <v>0</v>
      </c>
      <c r="K92" s="1067">
        <v>2017</v>
      </c>
      <c r="L92" s="1067"/>
      <c r="M92" s="1067">
        <v>2016</v>
      </c>
      <c r="N92" s="1067"/>
      <c r="O92" s="1067" t="s">
        <v>5</v>
      </c>
      <c r="P92" s="1067"/>
    </row>
    <row r="93" spans="2:16">
      <c r="B93" s="305" t="s">
        <v>88</v>
      </c>
      <c r="C93" s="265">
        <v>0</v>
      </c>
      <c r="D93" s="265">
        <v>0</v>
      </c>
      <c r="E93" s="265">
        <f t="shared" si="15"/>
        <v>0</v>
      </c>
      <c r="F93" s="265">
        <f t="shared" si="16"/>
        <v>0</v>
      </c>
      <c r="G93" s="265">
        <f t="shared" si="17"/>
        <v>0</v>
      </c>
      <c r="J93" s="265" t="s">
        <v>293</v>
      </c>
      <c r="K93" s="275">
        <v>4640</v>
      </c>
      <c r="L93" s="276">
        <f>+K93/$K$95</f>
        <v>0.92800000000000005</v>
      </c>
      <c r="M93" s="275">
        <v>4640</v>
      </c>
      <c r="N93" s="276">
        <f>+M93/$M$95</f>
        <v>0.92800000000000005</v>
      </c>
      <c r="O93" s="275">
        <f>+K93-M93</f>
        <v>0</v>
      </c>
      <c r="P93" s="276">
        <f>+L93-N93</f>
        <v>0</v>
      </c>
    </row>
    <row r="94" spans="2:16">
      <c r="B94" s="305" t="s">
        <v>90</v>
      </c>
      <c r="C94" s="265">
        <v>0</v>
      </c>
      <c r="D94" s="265">
        <v>0</v>
      </c>
      <c r="E94" s="265">
        <f t="shared" si="15"/>
        <v>0</v>
      </c>
      <c r="F94" s="265">
        <f t="shared" si="16"/>
        <v>0</v>
      </c>
      <c r="G94" s="265">
        <f t="shared" si="17"/>
        <v>0</v>
      </c>
      <c r="J94" s="265" t="s">
        <v>296</v>
      </c>
      <c r="K94" s="280">
        <v>360</v>
      </c>
      <c r="L94" s="276">
        <f>+K94/$K$95</f>
        <v>7.1999999999999995E-2</v>
      </c>
      <c r="M94" s="280">
        <v>360</v>
      </c>
      <c r="N94" s="276">
        <f>+M94/$M$95</f>
        <v>7.1999999999999995E-2</v>
      </c>
      <c r="O94" s="275">
        <f>+K94-M94</f>
        <v>0</v>
      </c>
      <c r="P94" s="276">
        <f>+L94-N94</f>
        <v>0</v>
      </c>
    </row>
    <row r="95" spans="2:16">
      <c r="B95" s="305" t="s">
        <v>91</v>
      </c>
      <c r="C95" s="265">
        <v>0</v>
      </c>
      <c r="D95" s="265">
        <v>0</v>
      </c>
      <c r="E95" s="265">
        <f t="shared" si="15"/>
        <v>0</v>
      </c>
      <c r="F95" s="265">
        <f t="shared" si="16"/>
        <v>0</v>
      </c>
      <c r="G95" s="265">
        <f t="shared" si="17"/>
        <v>0</v>
      </c>
      <c r="K95" s="275">
        <f>SUM(K93:K94)</f>
        <v>5000</v>
      </c>
      <c r="L95" s="283"/>
      <c r="M95" s="275">
        <f>SUM(M93:M94)</f>
        <v>5000</v>
      </c>
      <c r="N95" s="283"/>
      <c r="O95" s="275">
        <f>SUM(O93:O94)</f>
        <v>0</v>
      </c>
      <c r="P95" s="283"/>
    </row>
    <row r="96" spans="2:16">
      <c r="B96" s="305" t="s">
        <v>92</v>
      </c>
      <c r="C96" s="265">
        <v>1226</v>
      </c>
      <c r="D96" s="265">
        <v>1226.1199999999999</v>
      </c>
      <c r="E96" s="265">
        <f t="shared" si="15"/>
        <v>-0.11999999999989086</v>
      </c>
      <c r="F96" s="265">
        <f t="shared" si="16"/>
        <v>-0.11135999999989872</v>
      </c>
      <c r="G96" s="265">
        <f t="shared" si="17"/>
        <v>-8.6399999999921418E-3</v>
      </c>
    </row>
    <row r="97" spans="2:16">
      <c r="B97" s="305" t="s">
        <v>93</v>
      </c>
      <c r="C97" s="265">
        <v>0</v>
      </c>
      <c r="D97" s="265">
        <v>0</v>
      </c>
      <c r="E97" s="265">
        <f t="shared" si="15"/>
        <v>0</v>
      </c>
      <c r="F97" s="265">
        <f t="shared" si="16"/>
        <v>0</v>
      </c>
      <c r="G97" s="265">
        <f t="shared" si="17"/>
        <v>0</v>
      </c>
    </row>
    <row r="98" spans="2:16">
      <c r="B98" s="305" t="s">
        <v>95</v>
      </c>
      <c r="C98" s="265">
        <v>1763</v>
      </c>
      <c r="D98" s="265">
        <v>1763</v>
      </c>
      <c r="E98" s="265">
        <f t="shared" si="15"/>
        <v>0</v>
      </c>
      <c r="F98" s="265">
        <f t="shared" si="16"/>
        <v>0</v>
      </c>
      <c r="G98" s="265">
        <f t="shared" si="17"/>
        <v>0</v>
      </c>
      <c r="I98" s="320" t="s">
        <v>373</v>
      </c>
    </row>
    <row r="99" spans="2:16">
      <c r="B99" s="305" t="s">
        <v>358</v>
      </c>
      <c r="C99" s="315">
        <v>0</v>
      </c>
      <c r="D99" s="315">
        <v>0</v>
      </c>
      <c r="E99" s="315">
        <f t="shared" si="15"/>
        <v>0</v>
      </c>
      <c r="F99" s="265">
        <f t="shared" si="16"/>
        <v>0</v>
      </c>
      <c r="G99" s="265">
        <f t="shared" si="17"/>
        <v>0</v>
      </c>
    </row>
    <row r="101" spans="2:16">
      <c r="B101" s="307" t="s">
        <v>374</v>
      </c>
      <c r="C101" s="306">
        <f>SUM(C92:C100)</f>
        <v>7989</v>
      </c>
      <c r="D101" s="306">
        <f>SUM(D92:D100)</f>
        <v>7989.12</v>
      </c>
      <c r="E101" s="306">
        <f>SUM(E92:E99)</f>
        <v>-0.11999999999989086</v>
      </c>
      <c r="F101" s="306"/>
      <c r="G101" s="306"/>
      <c r="H101" s="306"/>
    </row>
    <row r="102" spans="2:16">
      <c r="B102" s="317" t="s">
        <v>360</v>
      </c>
      <c r="C102" s="306">
        <f>+(C101)*$F$91</f>
        <v>7413.7920000000004</v>
      </c>
      <c r="D102" s="306">
        <f>+(D101)*$F$91</f>
        <v>7413.9033600000002</v>
      </c>
      <c r="E102" s="306">
        <f>+C102-D102</f>
        <v>-0.11135999999987689</v>
      </c>
      <c r="F102" s="306"/>
      <c r="G102" s="306"/>
      <c r="H102" s="306"/>
    </row>
    <row r="103" spans="2:16">
      <c r="B103" s="317" t="s">
        <v>361</v>
      </c>
      <c r="C103" s="306">
        <f>+C101*$G$91</f>
        <v>575.20799999999997</v>
      </c>
      <c r="D103" s="306">
        <f>+D101*$G$91</f>
        <v>575.21663999999998</v>
      </c>
      <c r="E103" s="306">
        <f>+C103-D103</f>
        <v>-8.6400000000139698E-3</v>
      </c>
      <c r="F103" s="306"/>
      <c r="G103" s="306"/>
      <c r="H103" s="306"/>
    </row>
    <row r="104" spans="2:16">
      <c r="B104" s="317" t="s">
        <v>259</v>
      </c>
      <c r="C104" s="306">
        <f>SUM(C102:C103)</f>
        <v>7989</v>
      </c>
      <c r="D104" s="306">
        <f>SUM(D102:D103)</f>
        <v>7989.12</v>
      </c>
      <c r="E104" s="306">
        <f>+C104-D104</f>
        <v>-0.11999999999989086</v>
      </c>
    </row>
    <row r="105" spans="2:16">
      <c r="B105" s="317"/>
      <c r="C105" s="265">
        <f>C101-C104</f>
        <v>0</v>
      </c>
      <c r="D105" s="265">
        <f>D101-D104</f>
        <v>0</v>
      </c>
    </row>
    <row r="107" spans="2:16">
      <c r="F107" s="306" t="s">
        <v>352</v>
      </c>
      <c r="G107" s="306" t="s">
        <v>353</v>
      </c>
    </row>
    <row r="108" spans="2:16">
      <c r="B108" s="307" t="s">
        <v>375</v>
      </c>
      <c r="C108" s="308" t="s">
        <v>355</v>
      </c>
      <c r="D108" s="308" t="s">
        <v>356</v>
      </c>
      <c r="E108" s="308" t="s">
        <v>5</v>
      </c>
      <c r="F108" s="309">
        <f>+L110</f>
        <v>0.6</v>
      </c>
      <c r="G108" s="310">
        <f>+L111</f>
        <v>0.4</v>
      </c>
      <c r="H108" s="308"/>
    </row>
    <row r="109" spans="2:16">
      <c r="B109" s="305" t="s">
        <v>87</v>
      </c>
      <c r="C109" s="265">
        <v>10000</v>
      </c>
      <c r="D109" s="265">
        <v>10000</v>
      </c>
      <c r="E109" s="265">
        <f t="shared" ref="E109:E116" si="18">+C109-D109</f>
        <v>0</v>
      </c>
      <c r="F109" s="265">
        <f t="shared" ref="F109:F116" si="19">+E109*$F$108</f>
        <v>0</v>
      </c>
      <c r="G109" s="265">
        <f t="shared" ref="G109:G116" si="20">+E109*$G$108</f>
        <v>0</v>
      </c>
      <c r="K109" s="1067">
        <v>2017</v>
      </c>
      <c r="L109" s="1067"/>
      <c r="M109" s="1067">
        <v>2016</v>
      </c>
      <c r="N109" s="1067"/>
      <c r="O109" s="1067" t="s">
        <v>5</v>
      </c>
      <c r="P109" s="1067"/>
    </row>
    <row r="110" spans="2:16">
      <c r="B110" s="305" t="s">
        <v>88</v>
      </c>
      <c r="C110" s="265">
        <v>0</v>
      </c>
      <c r="D110" s="265">
        <v>0</v>
      </c>
      <c r="E110" s="265">
        <f t="shared" si="18"/>
        <v>0</v>
      </c>
      <c r="F110" s="265">
        <f t="shared" si="19"/>
        <v>0</v>
      </c>
      <c r="G110" s="265">
        <f t="shared" si="20"/>
        <v>0</v>
      </c>
      <c r="J110" s="265" t="s">
        <v>293</v>
      </c>
      <c r="K110" s="275">
        <v>6000</v>
      </c>
      <c r="L110" s="276">
        <f>+K110/$K$112</f>
        <v>0.6</v>
      </c>
      <c r="M110" s="275">
        <v>6000</v>
      </c>
      <c r="N110" s="276">
        <f>+M110/$M$112</f>
        <v>0.6</v>
      </c>
      <c r="O110" s="275">
        <f>+K110-M110</f>
        <v>0</v>
      </c>
      <c r="P110" s="276">
        <f>+L110-N110</f>
        <v>0</v>
      </c>
    </row>
    <row r="111" spans="2:16">
      <c r="B111" s="305" t="s">
        <v>90</v>
      </c>
      <c r="C111" s="265">
        <v>0</v>
      </c>
      <c r="D111" s="265">
        <v>0</v>
      </c>
      <c r="E111" s="265">
        <f t="shared" si="18"/>
        <v>0</v>
      </c>
      <c r="F111" s="265">
        <f t="shared" si="19"/>
        <v>0</v>
      </c>
      <c r="G111" s="265">
        <f t="shared" si="20"/>
        <v>0</v>
      </c>
      <c r="J111" s="265" t="s">
        <v>296</v>
      </c>
      <c r="K111" s="280">
        <v>4000</v>
      </c>
      <c r="L111" s="276">
        <f>+K111/$K$112</f>
        <v>0.4</v>
      </c>
      <c r="M111" s="280">
        <v>4000</v>
      </c>
      <c r="N111" s="276">
        <f>+M111/$M$112</f>
        <v>0.4</v>
      </c>
      <c r="O111" s="275">
        <f>+K111-M111</f>
        <v>0</v>
      </c>
      <c r="P111" s="276">
        <f>+L111-N111</f>
        <v>0</v>
      </c>
    </row>
    <row r="112" spans="2:16">
      <c r="B112" s="305" t="s">
        <v>91</v>
      </c>
      <c r="C112" s="265">
        <v>0</v>
      </c>
      <c r="D112" s="265">
        <v>0</v>
      </c>
      <c r="E112" s="265">
        <f t="shared" si="18"/>
        <v>0</v>
      </c>
      <c r="F112" s="265">
        <f t="shared" si="19"/>
        <v>0</v>
      </c>
      <c r="G112" s="265">
        <f t="shared" si="20"/>
        <v>0</v>
      </c>
      <c r="K112" s="275">
        <f>SUM(K110:K111)</f>
        <v>10000</v>
      </c>
      <c r="L112" s="283"/>
      <c r="M112" s="275">
        <f>SUM(M110:M111)</f>
        <v>10000</v>
      </c>
      <c r="N112" s="283"/>
      <c r="O112" s="275">
        <f>SUM(O110:O111)</f>
        <v>0</v>
      </c>
      <c r="P112" s="283"/>
    </row>
    <row r="113" spans="2:16">
      <c r="B113" s="305" t="s">
        <v>92</v>
      </c>
      <c r="C113" s="265">
        <v>0</v>
      </c>
      <c r="D113" s="265">
        <v>0</v>
      </c>
      <c r="E113" s="265">
        <f t="shared" si="18"/>
        <v>0</v>
      </c>
      <c r="F113" s="265">
        <f t="shared" si="19"/>
        <v>0</v>
      </c>
      <c r="G113" s="265">
        <f t="shared" si="20"/>
        <v>0</v>
      </c>
    </row>
    <row r="114" spans="2:16">
      <c r="B114" s="305" t="s">
        <v>93</v>
      </c>
      <c r="C114" s="265">
        <v>0</v>
      </c>
      <c r="D114" s="265">
        <v>0</v>
      </c>
      <c r="E114" s="265">
        <f t="shared" si="18"/>
        <v>0</v>
      </c>
      <c r="F114" s="265">
        <f t="shared" si="19"/>
        <v>0</v>
      </c>
      <c r="G114" s="265">
        <f t="shared" si="20"/>
        <v>0</v>
      </c>
    </row>
    <row r="115" spans="2:16">
      <c r="B115" s="305" t="s">
        <v>95</v>
      </c>
      <c r="C115" s="265">
        <v>0</v>
      </c>
      <c r="D115" s="265">
        <v>0</v>
      </c>
      <c r="E115" s="265">
        <f t="shared" si="18"/>
        <v>0</v>
      </c>
      <c r="F115" s="265">
        <f t="shared" si="19"/>
        <v>0</v>
      </c>
      <c r="G115" s="265">
        <f t="shared" si="20"/>
        <v>0</v>
      </c>
    </row>
    <row r="116" spans="2:16">
      <c r="B116" s="305" t="s">
        <v>358</v>
      </c>
      <c r="C116" s="315">
        <v>0</v>
      </c>
      <c r="D116" s="315">
        <v>0</v>
      </c>
      <c r="E116" s="315">
        <f t="shared" si="18"/>
        <v>0</v>
      </c>
      <c r="F116" s="265">
        <f t="shared" si="19"/>
        <v>0</v>
      </c>
      <c r="G116" s="265">
        <f t="shared" si="20"/>
        <v>0</v>
      </c>
    </row>
    <row r="118" spans="2:16">
      <c r="B118" s="307" t="s">
        <v>374</v>
      </c>
      <c r="C118" s="306">
        <f>SUM(C109:C117)</f>
        <v>10000</v>
      </c>
      <c r="D118" s="306">
        <f>SUM(D109:D117)</f>
        <v>10000</v>
      </c>
      <c r="E118" s="306">
        <f>SUM(E109:E116)</f>
        <v>0</v>
      </c>
      <c r="F118" s="306"/>
      <c r="G118" s="306"/>
      <c r="H118" s="306"/>
    </row>
    <row r="119" spans="2:16">
      <c r="B119" s="317" t="s">
        <v>360</v>
      </c>
      <c r="C119" s="306">
        <f>+(C118)*$F$108</f>
        <v>6000</v>
      </c>
      <c r="D119" s="306">
        <f>+(D118)*$F$108</f>
        <v>6000</v>
      </c>
      <c r="E119" s="306">
        <f>+C119-D119</f>
        <v>0</v>
      </c>
      <c r="F119" s="306"/>
      <c r="G119" s="306"/>
      <c r="H119" s="306"/>
    </row>
    <row r="120" spans="2:16">
      <c r="B120" s="317" t="s">
        <v>361</v>
      </c>
      <c r="C120" s="306">
        <f>+C118*$G$108</f>
        <v>4000</v>
      </c>
      <c r="D120" s="306">
        <f>+D118*$G$108</f>
        <v>4000</v>
      </c>
      <c r="E120" s="306">
        <f>+C120-D120</f>
        <v>0</v>
      </c>
    </row>
    <row r="121" spans="2:16">
      <c r="B121" s="317" t="s">
        <v>259</v>
      </c>
      <c r="C121" s="306">
        <f>SUM(C119:C120)</f>
        <v>10000</v>
      </c>
      <c r="D121" s="306">
        <f>SUM(D119:D120)</f>
        <v>10000</v>
      </c>
      <c r="E121" s="306">
        <f>+C121-D121</f>
        <v>0</v>
      </c>
    </row>
    <row r="122" spans="2:16">
      <c r="B122" s="317"/>
      <c r="C122" s="265">
        <f>C118-C121</f>
        <v>0</v>
      </c>
      <c r="D122" s="265">
        <f>D118-D121</f>
        <v>0</v>
      </c>
    </row>
    <row r="123" spans="2:16">
      <c r="B123" s="317"/>
      <c r="C123" s="306"/>
      <c r="D123" s="306"/>
      <c r="E123" s="306"/>
    </row>
    <row r="124" spans="2:16">
      <c r="F124" s="306" t="s">
        <v>352</v>
      </c>
      <c r="G124" s="306" t="s">
        <v>353</v>
      </c>
    </row>
    <row r="125" spans="2:16">
      <c r="B125" s="307" t="s">
        <v>376</v>
      </c>
      <c r="C125" s="308" t="s">
        <v>355</v>
      </c>
      <c r="D125" s="308" t="s">
        <v>356</v>
      </c>
      <c r="E125" s="308" t="s">
        <v>5</v>
      </c>
      <c r="F125" s="309">
        <f>+L127</f>
        <v>0.99995000000000001</v>
      </c>
      <c r="G125" s="310">
        <f>+L128</f>
        <v>5.0000000000000002E-5</v>
      </c>
      <c r="H125" s="308"/>
    </row>
    <row r="126" spans="2:16">
      <c r="B126" s="305" t="s">
        <v>87</v>
      </c>
      <c r="C126" s="265">
        <v>800</v>
      </c>
      <c r="D126" s="265">
        <v>800</v>
      </c>
      <c r="E126" s="265">
        <f t="shared" ref="E126:E133" si="21">+C126-D126</f>
        <v>0</v>
      </c>
      <c r="F126" s="265">
        <f t="shared" ref="F126:F133" si="22">+E126*$F$125</f>
        <v>0</v>
      </c>
      <c r="G126" s="265">
        <f t="shared" ref="G126:G133" si="23">+E126*$G$125</f>
        <v>0</v>
      </c>
      <c r="K126" s="1067">
        <v>2017</v>
      </c>
      <c r="L126" s="1067"/>
      <c r="M126" s="1067">
        <v>2016</v>
      </c>
      <c r="N126" s="1067"/>
      <c r="O126" s="1067" t="s">
        <v>5</v>
      </c>
      <c r="P126" s="1067"/>
    </row>
    <row r="127" spans="2:16">
      <c r="B127" s="305" t="s">
        <v>88</v>
      </c>
      <c r="C127" s="265">
        <v>0</v>
      </c>
      <c r="D127" s="265">
        <v>0</v>
      </c>
      <c r="E127" s="265">
        <f t="shared" si="21"/>
        <v>0</v>
      </c>
      <c r="F127" s="265">
        <f t="shared" si="22"/>
        <v>0</v>
      </c>
      <c r="G127" s="265">
        <f t="shared" si="23"/>
        <v>0</v>
      </c>
      <c r="J127" s="265" t="s">
        <v>293</v>
      </c>
      <c r="K127" s="275">
        <v>799.96</v>
      </c>
      <c r="L127" s="276">
        <f>+K127/$K$129</f>
        <v>0.99995000000000001</v>
      </c>
      <c r="M127" s="275">
        <v>799.96</v>
      </c>
      <c r="N127" s="276">
        <f>+M127/$M$129</f>
        <v>0.99995000000000001</v>
      </c>
      <c r="O127" s="275">
        <f>+K127-M127</f>
        <v>0</v>
      </c>
      <c r="P127" s="276">
        <f>+L127-N127</f>
        <v>0</v>
      </c>
    </row>
    <row r="128" spans="2:16">
      <c r="B128" s="305" t="s">
        <v>90</v>
      </c>
      <c r="C128" s="265">
        <v>0</v>
      </c>
      <c r="D128" s="265">
        <v>0</v>
      </c>
      <c r="E128" s="265">
        <f t="shared" si="21"/>
        <v>0</v>
      </c>
      <c r="F128" s="265">
        <f t="shared" si="22"/>
        <v>0</v>
      </c>
      <c r="G128" s="265">
        <f t="shared" si="23"/>
        <v>0</v>
      </c>
      <c r="J128" s="265" t="s">
        <v>296</v>
      </c>
      <c r="K128" s="280">
        <v>0.04</v>
      </c>
      <c r="L128" s="276">
        <f>+K128/$K$129</f>
        <v>5.0000000000000002E-5</v>
      </c>
      <c r="M128" s="280">
        <v>0.04</v>
      </c>
      <c r="N128" s="276">
        <f>+M128/$M$129</f>
        <v>5.0000000000000002E-5</v>
      </c>
      <c r="O128" s="275">
        <f>+K128-M128</f>
        <v>0</v>
      </c>
      <c r="P128" s="276">
        <f>+L128-N128</f>
        <v>0</v>
      </c>
    </row>
    <row r="129" spans="2:16">
      <c r="B129" s="305" t="s">
        <v>91</v>
      </c>
      <c r="C129" s="265">
        <v>0</v>
      </c>
      <c r="D129" s="265">
        <v>0</v>
      </c>
      <c r="E129" s="265">
        <f t="shared" si="21"/>
        <v>0</v>
      </c>
      <c r="F129" s="265">
        <f t="shared" si="22"/>
        <v>0</v>
      </c>
      <c r="G129" s="265">
        <f t="shared" si="23"/>
        <v>0</v>
      </c>
      <c r="K129" s="275">
        <f>SUM(K127:K128)</f>
        <v>800</v>
      </c>
      <c r="L129" s="283"/>
      <c r="M129" s="275">
        <f>SUM(M127:M128)</f>
        <v>800</v>
      </c>
      <c r="N129" s="283"/>
      <c r="O129" s="275">
        <f>SUM(O127:O128)</f>
        <v>0</v>
      </c>
      <c r="P129" s="283"/>
    </row>
    <row r="130" spans="2:16">
      <c r="B130" s="305" t="s">
        <v>92</v>
      </c>
      <c r="C130" s="265">
        <v>340.17</v>
      </c>
      <c r="D130" s="265">
        <v>340.17</v>
      </c>
      <c r="E130" s="265">
        <f t="shared" si="21"/>
        <v>0</v>
      </c>
      <c r="F130" s="265">
        <f t="shared" si="22"/>
        <v>0</v>
      </c>
      <c r="G130" s="265">
        <f t="shared" si="23"/>
        <v>0</v>
      </c>
    </row>
    <row r="131" spans="2:16">
      <c r="B131" s="305" t="s">
        <v>93</v>
      </c>
      <c r="C131" s="265">
        <v>0</v>
      </c>
      <c r="D131" s="265">
        <v>0</v>
      </c>
      <c r="E131" s="265">
        <f t="shared" si="21"/>
        <v>0</v>
      </c>
      <c r="F131" s="265">
        <f t="shared" si="22"/>
        <v>0</v>
      </c>
      <c r="G131" s="265">
        <f t="shared" si="23"/>
        <v>0</v>
      </c>
    </row>
    <row r="132" spans="2:16">
      <c r="B132" s="305" t="s">
        <v>95</v>
      </c>
      <c r="C132" s="265">
        <v>0</v>
      </c>
      <c r="D132" s="265">
        <v>0</v>
      </c>
      <c r="E132" s="265">
        <f t="shared" si="21"/>
        <v>0</v>
      </c>
      <c r="F132" s="265">
        <f t="shared" si="22"/>
        <v>0</v>
      </c>
      <c r="G132" s="265">
        <f t="shared" si="23"/>
        <v>0</v>
      </c>
    </row>
    <row r="133" spans="2:16">
      <c r="B133" s="305" t="s">
        <v>358</v>
      </c>
      <c r="C133" s="315">
        <v>0</v>
      </c>
      <c r="D133" s="315">
        <v>0</v>
      </c>
      <c r="E133" s="315">
        <f t="shared" si="21"/>
        <v>0</v>
      </c>
      <c r="F133" s="265">
        <f t="shared" si="22"/>
        <v>0</v>
      </c>
      <c r="G133" s="265">
        <f t="shared" si="23"/>
        <v>0</v>
      </c>
    </row>
    <row r="135" spans="2:16">
      <c r="B135" s="307" t="s">
        <v>374</v>
      </c>
      <c r="C135" s="306">
        <f>SUM(C126:C134)</f>
        <v>1140.17</v>
      </c>
      <c r="D135" s="306">
        <f>SUM(D126:D134)</f>
        <v>1140.17</v>
      </c>
      <c r="E135" s="306">
        <f>SUM(E126:E133)</f>
        <v>0</v>
      </c>
      <c r="F135" s="306"/>
      <c r="G135" s="306"/>
      <c r="H135" s="306"/>
    </row>
    <row r="136" spans="2:16">
      <c r="B136" s="317" t="s">
        <v>360</v>
      </c>
      <c r="C136" s="306">
        <f>+(C135)*$F$125</f>
        <v>1140.1129915000001</v>
      </c>
      <c r="D136" s="306">
        <f>+(D135)*$F$125</f>
        <v>1140.1129915000001</v>
      </c>
      <c r="E136" s="306"/>
      <c r="F136" s="306"/>
      <c r="G136" s="306"/>
      <c r="H136" s="306"/>
    </row>
    <row r="137" spans="2:16">
      <c r="B137" s="317" t="s">
        <v>361</v>
      </c>
      <c r="C137" s="322">
        <f>+C135*$G$125</f>
        <v>5.7008500000000004E-2</v>
      </c>
      <c r="D137" s="322">
        <f>+D135*$G$125</f>
        <v>5.7008500000000004E-2</v>
      </c>
      <c r="E137" s="306">
        <f>+C137-D137</f>
        <v>0</v>
      </c>
    </row>
    <row r="138" spans="2:16">
      <c r="B138" s="317" t="s">
        <v>259</v>
      </c>
      <c r="C138" s="306">
        <f>SUM(C136:C137)</f>
        <v>1140.17</v>
      </c>
      <c r="D138" s="306">
        <f>SUM(D136:D137)</f>
        <v>1140.17</v>
      </c>
      <c r="E138" s="306">
        <f>+C138-D138</f>
        <v>0</v>
      </c>
    </row>
    <row r="139" spans="2:16">
      <c r="B139" s="317"/>
      <c r="C139" s="265">
        <f>C135-C138</f>
        <v>0</v>
      </c>
      <c r="D139" s="265">
        <f>D135-D138</f>
        <v>0</v>
      </c>
    </row>
    <row r="140" spans="2:16">
      <c r="F140" s="306" t="s">
        <v>352</v>
      </c>
      <c r="G140" s="306" t="s">
        <v>353</v>
      </c>
    </row>
    <row r="141" spans="2:16">
      <c r="B141" s="307" t="s">
        <v>377</v>
      </c>
      <c r="C141" s="308" t="s">
        <v>355</v>
      </c>
      <c r="D141" s="308" t="s">
        <v>356</v>
      </c>
      <c r="E141" s="308" t="s">
        <v>5</v>
      </c>
      <c r="F141" s="309">
        <f>+L143</f>
        <v>0.92500000000000004</v>
      </c>
      <c r="G141" s="310">
        <f>+L144</f>
        <v>7.4999999999999997E-2</v>
      </c>
      <c r="H141" s="308"/>
    </row>
    <row r="142" spans="2:16">
      <c r="B142" s="305" t="s">
        <v>87</v>
      </c>
      <c r="C142" s="265">
        <v>800</v>
      </c>
      <c r="D142" s="265">
        <v>800</v>
      </c>
      <c r="E142" s="265">
        <f t="shared" ref="E142:E149" si="24">+C142-D142</f>
        <v>0</v>
      </c>
      <c r="F142" s="265">
        <f t="shared" ref="F142:F149" si="25">+E142*$F$141</f>
        <v>0</v>
      </c>
      <c r="G142" s="265">
        <f t="shared" ref="G142:G149" si="26">+E142*$G$141</f>
        <v>0</v>
      </c>
      <c r="K142" s="1067">
        <v>2017</v>
      </c>
      <c r="L142" s="1067"/>
      <c r="M142" s="1067">
        <v>2016</v>
      </c>
      <c r="N142" s="1067"/>
      <c r="O142" s="1067" t="s">
        <v>5</v>
      </c>
      <c r="P142" s="1067"/>
    </row>
    <row r="143" spans="2:16">
      <c r="B143" s="305" t="s">
        <v>88</v>
      </c>
      <c r="C143" s="265">
        <f>'ESF - ERI'!AB49</f>
        <v>1833417</v>
      </c>
      <c r="D143" s="265">
        <v>0</v>
      </c>
      <c r="E143" s="265">
        <f t="shared" si="24"/>
        <v>1833417</v>
      </c>
      <c r="F143" s="265">
        <f t="shared" si="25"/>
        <v>1695910.7250000001</v>
      </c>
      <c r="G143" s="265">
        <f t="shared" si="26"/>
        <v>137506.27499999999</v>
      </c>
      <c r="J143" s="265" t="s">
        <v>293</v>
      </c>
      <c r="K143" s="275">
        <v>740</v>
      </c>
      <c r="L143" s="276">
        <f>+K143/$K$145</f>
        <v>0.92500000000000004</v>
      </c>
      <c r="M143" s="275">
        <v>740</v>
      </c>
      <c r="N143" s="276">
        <f>+M143/$M$145</f>
        <v>0.92500000000000004</v>
      </c>
      <c r="O143" s="275">
        <f>+K143-M143</f>
        <v>0</v>
      </c>
      <c r="P143" s="276">
        <f>+L143-N143</f>
        <v>0</v>
      </c>
    </row>
    <row r="144" spans="2:16">
      <c r="B144" s="305" t="s">
        <v>90</v>
      </c>
      <c r="C144" s="265">
        <v>0</v>
      </c>
      <c r="D144" s="265">
        <v>0</v>
      </c>
      <c r="E144" s="265">
        <f t="shared" si="24"/>
        <v>0</v>
      </c>
      <c r="F144" s="265">
        <f t="shared" si="25"/>
        <v>0</v>
      </c>
      <c r="G144" s="265">
        <f t="shared" si="26"/>
        <v>0</v>
      </c>
      <c r="J144" s="265" t="s">
        <v>296</v>
      </c>
      <c r="K144" s="280">
        <v>60</v>
      </c>
      <c r="L144" s="276">
        <f>+K144/$K$145</f>
        <v>7.4999999999999997E-2</v>
      </c>
      <c r="M144" s="280">
        <v>60</v>
      </c>
      <c r="N144" s="276">
        <f>+M144/$M$145</f>
        <v>7.4999999999999997E-2</v>
      </c>
      <c r="O144" s="275">
        <f>+K144-M144</f>
        <v>0</v>
      </c>
      <c r="P144" s="276">
        <f>+L144-N144</f>
        <v>0</v>
      </c>
    </row>
    <row r="145" spans="2:16">
      <c r="B145" s="305" t="s">
        <v>91</v>
      </c>
      <c r="C145" s="265">
        <v>0</v>
      </c>
      <c r="D145" s="265">
        <v>0</v>
      </c>
      <c r="E145" s="265">
        <f t="shared" si="24"/>
        <v>0</v>
      </c>
      <c r="F145" s="265">
        <f t="shared" si="25"/>
        <v>0</v>
      </c>
      <c r="G145" s="265">
        <f t="shared" si="26"/>
        <v>0</v>
      </c>
      <c r="K145" s="275">
        <f>SUM(K143:K144)</f>
        <v>800</v>
      </c>
      <c r="L145" s="283"/>
      <c r="M145" s="275">
        <f>SUM(M143:M144)</f>
        <v>800</v>
      </c>
      <c r="N145" s="283"/>
      <c r="O145" s="275">
        <f>SUM(O143:O144)</f>
        <v>0</v>
      </c>
      <c r="P145" s="283"/>
    </row>
    <row r="146" spans="2:16">
      <c r="B146" s="305" t="s">
        <v>92</v>
      </c>
      <c r="C146" s="265">
        <v>0</v>
      </c>
      <c r="D146" s="265">
        <v>0</v>
      </c>
      <c r="E146" s="265">
        <f t="shared" si="24"/>
        <v>0</v>
      </c>
      <c r="F146" s="265">
        <f t="shared" si="25"/>
        <v>0</v>
      </c>
      <c r="G146" s="265">
        <f t="shared" si="26"/>
        <v>0</v>
      </c>
    </row>
    <row r="147" spans="2:16">
      <c r="B147" s="305" t="s">
        <v>93</v>
      </c>
      <c r="C147" s="265">
        <v>0</v>
      </c>
      <c r="D147" s="265">
        <v>0</v>
      </c>
      <c r="E147" s="265">
        <f t="shared" si="24"/>
        <v>0</v>
      </c>
      <c r="F147" s="265">
        <f t="shared" si="25"/>
        <v>0</v>
      </c>
      <c r="G147" s="265">
        <f t="shared" si="26"/>
        <v>0</v>
      </c>
    </row>
    <row r="148" spans="2:16">
      <c r="B148" s="305" t="s">
        <v>95</v>
      </c>
      <c r="C148" s="265">
        <f>'ESF - ERI'!AB55</f>
        <v>-15422</v>
      </c>
      <c r="D148" s="265">
        <v>0</v>
      </c>
      <c r="E148" s="265">
        <f t="shared" si="24"/>
        <v>-15422</v>
      </c>
      <c r="F148" s="265">
        <f t="shared" si="25"/>
        <v>-14265.35</v>
      </c>
      <c r="G148" s="265">
        <f t="shared" si="26"/>
        <v>-1156.6499999999999</v>
      </c>
    </row>
    <row r="149" spans="2:16">
      <c r="B149" s="305" t="s">
        <v>358</v>
      </c>
      <c r="C149" s="315">
        <f>'ESF - ERI'!AB56</f>
        <v>-344143</v>
      </c>
      <c r="D149" s="315">
        <v>-15422</v>
      </c>
      <c r="E149" s="315">
        <f t="shared" si="24"/>
        <v>-328721</v>
      </c>
      <c r="F149" s="265">
        <f t="shared" si="25"/>
        <v>-304066.92499999999</v>
      </c>
      <c r="G149" s="265">
        <f t="shared" si="26"/>
        <v>-24654.075000000001</v>
      </c>
    </row>
    <row r="151" spans="2:16">
      <c r="B151" s="307" t="s">
        <v>374</v>
      </c>
      <c r="C151" s="306">
        <f>SUM(C142:C150)</f>
        <v>1474652</v>
      </c>
      <c r="D151" s="306">
        <f>SUM(D142:D150)</f>
        <v>-14622</v>
      </c>
      <c r="E151" s="306">
        <f>SUM(E142:E149)</f>
        <v>1489274</v>
      </c>
      <c r="F151" s="306"/>
      <c r="G151" s="306"/>
      <c r="H151" s="306"/>
    </row>
    <row r="152" spans="2:16">
      <c r="B152" s="317" t="s">
        <v>360</v>
      </c>
      <c r="C152" s="306">
        <f>+(C151)*$F$141</f>
        <v>1364053.1</v>
      </c>
      <c r="D152" s="306">
        <f>+(D151)*$F$141</f>
        <v>-13525.35</v>
      </c>
      <c r="E152" s="306">
        <f>+C152-D152</f>
        <v>1377578.4500000002</v>
      </c>
      <c r="F152" s="306"/>
      <c r="G152" s="306"/>
      <c r="H152" s="306"/>
    </row>
    <row r="153" spans="2:16">
      <c r="B153" s="317" t="s">
        <v>361</v>
      </c>
      <c r="C153" s="306">
        <f>+C151*$G$141</f>
        <v>110598.9</v>
      </c>
      <c r="D153" s="306">
        <f>+D151*$G$141</f>
        <v>-1096.6499999999999</v>
      </c>
      <c r="E153" s="306">
        <f>+C153-D153</f>
        <v>111695.54999999999</v>
      </c>
    </row>
    <row r="154" spans="2:16">
      <c r="B154" s="317" t="s">
        <v>259</v>
      </c>
      <c r="C154" s="306">
        <f>SUM(C152:C153)</f>
        <v>1474652</v>
      </c>
      <c r="D154" s="306">
        <f>SUM(D152:D153)</f>
        <v>-14622</v>
      </c>
      <c r="E154" s="306">
        <f>+C154-D154</f>
        <v>1489274</v>
      </c>
    </row>
    <row r="155" spans="2:16">
      <c r="B155" s="317"/>
      <c r="C155" s="265">
        <f>C151-C154</f>
        <v>0</v>
      </c>
      <c r="D155" s="265">
        <f>D151-D154</f>
        <v>0</v>
      </c>
    </row>
    <row r="157" spans="2:16">
      <c r="F157" s="306" t="s">
        <v>352</v>
      </c>
      <c r="G157" s="306" t="s">
        <v>353</v>
      </c>
    </row>
    <row r="158" spans="2:16">
      <c r="B158" s="307" t="s">
        <v>378</v>
      </c>
      <c r="C158" s="308" t="s">
        <v>355</v>
      </c>
      <c r="D158" s="308" t="s">
        <v>356</v>
      </c>
      <c r="E158" s="308" t="s">
        <v>5</v>
      </c>
      <c r="F158" s="309">
        <f>+L160</f>
        <v>0.98</v>
      </c>
      <c r="G158" s="310">
        <f>+L161</f>
        <v>0.02</v>
      </c>
      <c r="H158" s="308"/>
    </row>
    <row r="159" spans="2:16">
      <c r="B159" s="305" t="s">
        <v>87</v>
      </c>
      <c r="C159" s="265">
        <v>3661400</v>
      </c>
      <c r="D159" s="265">
        <v>3661400</v>
      </c>
      <c r="E159" s="265">
        <f t="shared" ref="E159:E166" si="27">+C159-D159</f>
        <v>0</v>
      </c>
      <c r="F159" s="265">
        <f t="shared" ref="F159:F166" si="28">+E159*$F$158</f>
        <v>0</v>
      </c>
      <c r="G159" s="265">
        <f t="shared" ref="G159:G166" si="29">+E159*$G$158</f>
        <v>0</v>
      </c>
      <c r="K159" s="1067">
        <v>2017</v>
      </c>
      <c r="L159" s="1067"/>
      <c r="M159" s="1067">
        <v>2016</v>
      </c>
      <c r="N159" s="1067"/>
    </row>
    <row r="160" spans="2:16">
      <c r="B160" s="305" t="s">
        <v>88</v>
      </c>
      <c r="C160" s="265">
        <v>406800</v>
      </c>
      <c r="D160" s="265">
        <v>112799</v>
      </c>
      <c r="E160" s="265">
        <f t="shared" si="27"/>
        <v>294001</v>
      </c>
      <c r="F160" s="265">
        <f t="shared" si="28"/>
        <v>288120.98</v>
      </c>
      <c r="G160" s="265">
        <f t="shared" si="29"/>
        <v>5880.02</v>
      </c>
      <c r="J160" s="265" t="s">
        <v>293</v>
      </c>
      <c r="K160" s="323">
        <v>3588172</v>
      </c>
      <c r="L160" s="276">
        <f>K160/K162</f>
        <v>0.98</v>
      </c>
      <c r="M160" s="323">
        <v>3588172</v>
      </c>
      <c r="N160" s="276">
        <f>M160/M162</f>
        <v>0.98</v>
      </c>
    </row>
    <row r="161" spans="2:14">
      <c r="B161" s="305" t="s">
        <v>90</v>
      </c>
      <c r="C161" s="265">
        <v>0</v>
      </c>
      <c r="D161" s="265">
        <v>0</v>
      </c>
      <c r="E161" s="265">
        <f t="shared" si="27"/>
        <v>0</v>
      </c>
      <c r="F161" s="265">
        <f t="shared" si="28"/>
        <v>0</v>
      </c>
      <c r="G161" s="265">
        <f t="shared" si="29"/>
        <v>0</v>
      </c>
      <c r="J161" s="265" t="s">
        <v>296</v>
      </c>
      <c r="K161" s="316">
        <f>3661400-K160</f>
        <v>73228</v>
      </c>
      <c r="L161" s="276">
        <f>K161/K162</f>
        <v>0.02</v>
      </c>
      <c r="M161" s="316">
        <f>3661400-M160</f>
        <v>73228</v>
      </c>
      <c r="N161" s="276">
        <f>M161/M162</f>
        <v>0.02</v>
      </c>
    </row>
    <row r="162" spans="2:14">
      <c r="B162" s="305" t="s">
        <v>91</v>
      </c>
      <c r="C162" s="265">
        <v>0</v>
      </c>
      <c r="D162" s="265">
        <v>0</v>
      </c>
      <c r="E162" s="265">
        <f t="shared" si="27"/>
        <v>0</v>
      </c>
      <c r="F162" s="265">
        <f t="shared" si="28"/>
        <v>0</v>
      </c>
      <c r="G162" s="265">
        <f t="shared" si="29"/>
        <v>0</v>
      </c>
      <c r="K162" s="323">
        <f>SUM(K160:K161)</f>
        <v>3661400</v>
      </c>
      <c r="L162" s="283"/>
      <c r="M162" s="323">
        <f>SUM(M160:M161)</f>
        <v>3661400</v>
      </c>
      <c r="N162" s="283"/>
    </row>
    <row r="163" spans="2:14">
      <c r="B163" s="305" t="s">
        <v>92</v>
      </c>
      <c r="C163" s="265">
        <v>274690</v>
      </c>
      <c r="D163" s="265">
        <v>0</v>
      </c>
      <c r="E163" s="265">
        <f t="shared" si="27"/>
        <v>274690</v>
      </c>
      <c r="F163" s="265">
        <f t="shared" si="28"/>
        <v>269196.2</v>
      </c>
      <c r="G163" s="265">
        <f t="shared" si="29"/>
        <v>5493.8</v>
      </c>
    </row>
    <row r="164" spans="2:14">
      <c r="B164" s="305" t="s">
        <v>93</v>
      </c>
      <c r="C164" s="265">
        <v>-56932</v>
      </c>
      <c r="D164" s="265">
        <v>-56932</v>
      </c>
      <c r="E164" s="265">
        <f t="shared" si="27"/>
        <v>0</v>
      </c>
      <c r="F164" s="265">
        <f t="shared" si="28"/>
        <v>0</v>
      </c>
      <c r="G164" s="265">
        <f t="shared" si="29"/>
        <v>0</v>
      </c>
    </row>
    <row r="165" spans="2:14">
      <c r="B165" s="305" t="s">
        <v>95</v>
      </c>
      <c r="C165" s="265">
        <v>-3886526</v>
      </c>
      <c r="D165" s="265">
        <v>-3026105</v>
      </c>
      <c r="E165" s="265">
        <f t="shared" si="27"/>
        <v>-860421</v>
      </c>
      <c r="F165" s="265">
        <f t="shared" si="28"/>
        <v>-843212.58</v>
      </c>
      <c r="G165" s="265">
        <f t="shared" si="29"/>
        <v>-17208.420000000002</v>
      </c>
    </row>
    <row r="166" spans="2:14">
      <c r="B166" s="305" t="s">
        <v>358</v>
      </c>
      <c r="C166" s="315">
        <v>-502401</v>
      </c>
      <c r="D166" s="315">
        <v>-494302</v>
      </c>
      <c r="E166" s="315">
        <f t="shared" si="27"/>
        <v>-8099</v>
      </c>
      <c r="F166" s="265">
        <f t="shared" si="28"/>
        <v>-7937.0199999999995</v>
      </c>
      <c r="G166" s="265">
        <f t="shared" si="29"/>
        <v>-161.97999999999999</v>
      </c>
    </row>
    <row r="168" spans="2:14">
      <c r="B168" s="307" t="s">
        <v>374</v>
      </c>
      <c r="C168" s="306">
        <f>SUM(C159:C167)</f>
        <v>-102969</v>
      </c>
      <c r="D168" s="306">
        <f>SUM(D159:D167)</f>
        <v>196860</v>
      </c>
      <c r="E168" s="306">
        <f>SUM(E159:E166)</f>
        <v>-299829</v>
      </c>
      <c r="F168" s="306"/>
      <c r="G168" s="306"/>
      <c r="H168" s="306"/>
    </row>
    <row r="169" spans="2:14">
      <c r="B169" s="317"/>
      <c r="C169" s="306"/>
      <c r="D169" s="306"/>
      <c r="E169" s="306"/>
    </row>
    <row r="170" spans="2:14">
      <c r="B170" s="317"/>
      <c r="C170" s="306"/>
      <c r="D170" s="306"/>
      <c r="E170" s="306"/>
    </row>
    <row r="173" spans="2:14">
      <c r="B173" s="324" t="s">
        <v>379</v>
      </c>
      <c r="C173" s="265">
        <f>C168-C160</f>
        <v>-509769</v>
      </c>
      <c r="D173" s="265">
        <f>D168-D160</f>
        <v>84061</v>
      </c>
      <c r="E173" s="265" t="s">
        <v>380</v>
      </c>
    </row>
    <row r="174" spans="2:14">
      <c r="B174" s="265"/>
    </row>
    <row r="175" spans="2:14">
      <c r="B175" s="324" t="s">
        <v>297</v>
      </c>
      <c r="C175" s="265" t="e">
        <f>#REF!</f>
        <v>#REF!</v>
      </c>
      <c r="D175" s="265" t="e">
        <f>#REF!</f>
        <v>#REF!</v>
      </c>
      <c r="G175" s="265">
        <f>D173-D176</f>
        <v>82379.78</v>
      </c>
    </row>
    <row r="176" spans="2:14">
      <c r="B176" s="324" t="s">
        <v>381</v>
      </c>
      <c r="C176" s="315">
        <f>C173*$G$158</f>
        <v>-10195.380000000001</v>
      </c>
      <c r="D176" s="315">
        <f>D173*$G$158</f>
        <v>1681.22</v>
      </c>
      <c r="E176" s="325">
        <f>D176*2</f>
        <v>3362.44</v>
      </c>
      <c r="G176" s="265" t="e">
        <f>D175-G175</f>
        <v>#REF!</v>
      </c>
      <c r="H176" s="324"/>
    </row>
    <row r="177" spans="2:12">
      <c r="B177" s="324" t="s">
        <v>259</v>
      </c>
      <c r="C177" s="265" t="e">
        <f>SUM(C175:C176)</f>
        <v>#REF!</v>
      </c>
      <c r="D177" s="265" t="e">
        <f>SUM(D175:D176)</f>
        <v>#REF!</v>
      </c>
    </row>
    <row r="178" spans="2:12">
      <c r="B178" s="324" t="s">
        <v>382</v>
      </c>
      <c r="C178" s="315">
        <f>C173</f>
        <v>-509769</v>
      </c>
      <c r="D178" s="315">
        <f>D173</f>
        <v>84061</v>
      </c>
    </row>
    <row r="179" spans="2:12">
      <c r="B179" s="265" t="s">
        <v>62</v>
      </c>
      <c r="C179" s="265" t="e">
        <f>C177-C178</f>
        <v>#REF!</v>
      </c>
      <c r="D179" s="265" t="e">
        <f>D177-D178</f>
        <v>#REF!</v>
      </c>
      <c r="E179" s="306" t="s">
        <v>149</v>
      </c>
      <c r="G179" s="305"/>
    </row>
    <row r="182" spans="2:12">
      <c r="F182" s="306" t="s">
        <v>352</v>
      </c>
      <c r="G182" s="306" t="s">
        <v>353</v>
      </c>
    </row>
    <row r="183" spans="2:12">
      <c r="B183" s="307" t="s">
        <v>383</v>
      </c>
      <c r="C183" s="308" t="s">
        <v>355</v>
      </c>
      <c r="D183" s="308" t="s">
        <v>356</v>
      </c>
      <c r="E183" s="308" t="s">
        <v>5</v>
      </c>
      <c r="F183" s="309">
        <f>+L185</f>
        <v>1</v>
      </c>
      <c r="G183" s="310">
        <f>+L186</f>
        <v>0</v>
      </c>
      <c r="H183" s="308"/>
    </row>
    <row r="184" spans="2:12">
      <c r="B184" s="305" t="s">
        <v>87</v>
      </c>
      <c r="C184" s="265">
        <v>10000</v>
      </c>
      <c r="D184" s="265">
        <v>10000</v>
      </c>
      <c r="E184" s="265">
        <f t="shared" ref="E184:E191" si="30">+C184-D184</f>
        <v>0</v>
      </c>
      <c r="F184" s="265">
        <f t="shared" ref="F184:F191" si="31">+E184*$F$183</f>
        <v>0</v>
      </c>
      <c r="G184" s="265">
        <f t="shared" ref="G184:G191" si="32">+E184*$G$183</f>
        <v>0</v>
      </c>
      <c r="K184" s="1067">
        <v>2017</v>
      </c>
      <c r="L184" s="1067"/>
    </row>
    <row r="185" spans="2:12">
      <c r="B185" s="305" t="s">
        <v>88</v>
      </c>
      <c r="C185" s="265">
        <v>0</v>
      </c>
      <c r="D185" s="265">
        <v>0</v>
      </c>
      <c r="E185" s="265">
        <f t="shared" si="30"/>
        <v>0</v>
      </c>
      <c r="F185" s="265">
        <f t="shared" si="31"/>
        <v>0</v>
      </c>
      <c r="G185" s="265">
        <f t="shared" si="32"/>
        <v>0</v>
      </c>
      <c r="J185" s="265" t="s">
        <v>293</v>
      </c>
      <c r="K185" s="323">
        <v>10000</v>
      </c>
      <c r="L185" s="276">
        <f>K185/K187</f>
        <v>1</v>
      </c>
    </row>
    <row r="186" spans="2:12">
      <c r="B186" s="305" t="s">
        <v>90</v>
      </c>
      <c r="C186" s="265">
        <v>0</v>
      </c>
      <c r="D186" s="265">
        <v>0</v>
      </c>
      <c r="E186" s="265">
        <f t="shared" si="30"/>
        <v>0</v>
      </c>
      <c r="F186" s="265">
        <f t="shared" si="31"/>
        <v>0</v>
      </c>
      <c r="G186" s="265">
        <f t="shared" si="32"/>
        <v>0</v>
      </c>
      <c r="J186" s="265" t="s">
        <v>296</v>
      </c>
      <c r="K186" s="316">
        <v>0</v>
      </c>
      <c r="L186" s="276">
        <f>K186/K187</f>
        <v>0</v>
      </c>
    </row>
    <row r="187" spans="2:12">
      <c r="B187" s="305" t="s">
        <v>91</v>
      </c>
      <c r="C187" s="265">
        <v>0</v>
      </c>
      <c r="D187" s="265">
        <v>0</v>
      </c>
      <c r="E187" s="265">
        <f t="shared" si="30"/>
        <v>0</v>
      </c>
      <c r="F187" s="265">
        <f t="shared" si="31"/>
        <v>0</v>
      </c>
      <c r="G187" s="265">
        <f t="shared" si="32"/>
        <v>0</v>
      </c>
      <c r="K187" s="323">
        <v>10000</v>
      </c>
      <c r="L187" s="283"/>
    </row>
    <row r="188" spans="2:12">
      <c r="B188" s="305" t="s">
        <v>92</v>
      </c>
      <c r="C188" s="265">
        <v>0</v>
      </c>
      <c r="D188" s="265">
        <v>0</v>
      </c>
      <c r="E188" s="265">
        <f t="shared" si="30"/>
        <v>0</v>
      </c>
      <c r="F188" s="265">
        <f t="shared" si="31"/>
        <v>0</v>
      </c>
      <c r="G188" s="265">
        <f t="shared" si="32"/>
        <v>0</v>
      </c>
    </row>
    <row r="189" spans="2:12">
      <c r="B189" s="305" t="s">
        <v>93</v>
      </c>
      <c r="C189" s="265">
        <v>0</v>
      </c>
      <c r="D189" s="265">
        <v>0</v>
      </c>
      <c r="E189" s="265">
        <f t="shared" si="30"/>
        <v>0</v>
      </c>
      <c r="F189" s="265">
        <f t="shared" si="31"/>
        <v>0</v>
      </c>
      <c r="G189" s="265">
        <f t="shared" si="32"/>
        <v>0</v>
      </c>
    </row>
    <row r="190" spans="2:12">
      <c r="B190" s="305" t="s">
        <v>95</v>
      </c>
      <c r="C190" s="265">
        <f>'ESF - ERI'!AD55</f>
        <v>-144335</v>
      </c>
      <c r="D190" s="265">
        <v>0</v>
      </c>
      <c r="E190" s="265">
        <f t="shared" si="30"/>
        <v>-144335</v>
      </c>
      <c r="F190" s="265">
        <f t="shared" si="31"/>
        <v>-144335</v>
      </c>
      <c r="G190" s="265">
        <f t="shared" si="32"/>
        <v>0</v>
      </c>
    </row>
    <row r="191" spans="2:12">
      <c r="B191" s="305" t="s">
        <v>358</v>
      </c>
      <c r="C191" s="315">
        <f>'ESF - ERI'!AD56</f>
        <v>-395559</v>
      </c>
      <c r="D191" s="315">
        <v>-126652</v>
      </c>
      <c r="E191" s="315">
        <f t="shared" si="30"/>
        <v>-268907</v>
      </c>
      <c r="F191" s="265">
        <f t="shared" si="31"/>
        <v>-268907</v>
      </c>
      <c r="G191" s="265">
        <f t="shared" si="32"/>
        <v>0</v>
      </c>
    </row>
    <row r="193" spans="2:13">
      <c r="B193" s="307" t="s">
        <v>374</v>
      </c>
      <c r="C193" s="306">
        <f>SUM(C184:C192)</f>
        <v>-529894</v>
      </c>
      <c r="D193" s="306">
        <f>SUM(D184:D192)</f>
        <v>-116652</v>
      </c>
      <c r="E193" s="306">
        <f>SUM(E184:E191)</f>
        <v>-413242</v>
      </c>
      <c r="F193" s="306"/>
      <c r="G193" s="306"/>
      <c r="H193" s="306"/>
    </row>
    <row r="194" spans="2:13">
      <c r="B194" s="317" t="s">
        <v>360</v>
      </c>
      <c r="C194" s="306">
        <f>+(C193)*$F$141</f>
        <v>-490151.95</v>
      </c>
      <c r="D194" s="306">
        <f>+(D193)*$F$141</f>
        <v>-107903.1</v>
      </c>
      <c r="E194" s="306">
        <f>+C194-D194</f>
        <v>-382248.85</v>
      </c>
    </row>
    <row r="195" spans="2:13">
      <c r="B195" s="317" t="s">
        <v>361</v>
      </c>
      <c r="C195" s="306">
        <f>+C193*$G$141</f>
        <v>-39742.049999999996</v>
      </c>
      <c r="D195" s="306">
        <f>+D193*$G$141</f>
        <v>-8748.9</v>
      </c>
      <c r="E195" s="306">
        <f>+C195-D195</f>
        <v>-30993.149999999994</v>
      </c>
    </row>
    <row r="196" spans="2:13">
      <c r="B196" s="317" t="s">
        <v>259</v>
      </c>
      <c r="C196" s="306">
        <f>SUM(C194:C195)</f>
        <v>-529894</v>
      </c>
      <c r="D196" s="306">
        <f>SUM(D194:D195)</f>
        <v>-116652</v>
      </c>
      <c r="E196" s="306">
        <f>+C196-D196</f>
        <v>-413242</v>
      </c>
    </row>
    <row r="197" spans="2:13">
      <c r="B197" s="317"/>
      <c r="C197" s="265">
        <f>C193-C196</f>
        <v>0</v>
      </c>
      <c r="D197" s="265">
        <f>D193-D196</f>
        <v>0</v>
      </c>
    </row>
    <row r="201" spans="2:13">
      <c r="B201" s="307" t="s">
        <v>384</v>
      </c>
      <c r="C201" s="306" t="e">
        <f>+C14+C33+C49+C67+C85+C102+C119+C136+C152+D175+C194</f>
        <v>#REF!</v>
      </c>
      <c r="D201" s="306" t="e">
        <f>+D14+D33+D49+D67+D85+D102+D119+D136+D152+D175+D194</f>
        <v>#REF!</v>
      </c>
      <c r="E201" s="265" t="e">
        <f>+C201-D201</f>
        <v>#REF!</v>
      </c>
      <c r="J201" s="265" t="s">
        <v>293</v>
      </c>
      <c r="K201" s="306">
        <f>+K4+K10+K21+K40+K56+K74+K93+K110+K127+K143+K160+K185</f>
        <v>36644382.960000001</v>
      </c>
      <c r="M201" s="306">
        <f>+M4+M10+M21+M40+M56+M74+M93+M110+M127+M143+M160+M185</f>
        <v>37131561.960000001</v>
      </c>
    </row>
    <row r="202" spans="2:13">
      <c r="B202" s="307" t="s">
        <v>385</v>
      </c>
      <c r="C202" s="306">
        <f>+C15+C34+C50+C68+C86+C103+C120+C137+C153+D176+C195</f>
        <v>10783392.671405785</v>
      </c>
      <c r="D202" s="306">
        <f>+D15+D34+D50+D68+D86+D103+D120+D137+D153+D176+D195</f>
        <v>11152518.252337215</v>
      </c>
      <c r="E202" s="265">
        <f>+C202-D202</f>
        <v>-369125.58093143068</v>
      </c>
      <c r="J202" s="265" t="s">
        <v>296</v>
      </c>
      <c r="K202" s="306">
        <f>+K5+K11+K22+K41+K57+K75+K94+K111+K128+K144+K161+K186</f>
        <v>10505669.039999999</v>
      </c>
      <c r="M202" s="306">
        <f>+M5+M11+M22+M41+M57+M75+M94+M111+M128+M144+M161+M186</f>
        <v>10505669.039999999</v>
      </c>
    </row>
    <row r="203" spans="2:13">
      <c r="B203" s="307" t="s">
        <v>386</v>
      </c>
      <c r="C203" s="306" t="e">
        <f>+C16+C35+C51+C69+C87+C104+C121+C138+C154+D177+C196</f>
        <v>#REF!</v>
      </c>
      <c r="D203" s="306" t="e">
        <f>+D16+D35+D51+D69+D87+D104+D121+D138+D154+D177+D196</f>
        <v>#REF!</v>
      </c>
      <c r="E203" s="265" t="e">
        <f>+C203-D203</f>
        <v>#REF!</v>
      </c>
      <c r="K203" s="265">
        <f>SUM(K201:K202)</f>
        <v>47150052</v>
      </c>
      <c r="M203" s="265">
        <f>SUM(M201:M202)</f>
        <v>47637231</v>
      </c>
    </row>
    <row r="204" spans="2:13">
      <c r="B204" s="307" t="s">
        <v>387</v>
      </c>
      <c r="C204" s="326" t="e">
        <f>C201+C202-C203</f>
        <v>#REF!</v>
      </c>
      <c r="D204" s="326" t="e">
        <f>D201+D202-D203</f>
        <v>#REF!</v>
      </c>
      <c r="E204" s="265" t="e">
        <f>+C204-D204</f>
        <v>#REF!</v>
      </c>
    </row>
    <row r="205" spans="2:13">
      <c r="C205" s="265" t="e">
        <f>+C202-'ESF - ERI'!AI57</f>
        <v>#REF!</v>
      </c>
      <c r="K205" s="327">
        <v>44513438</v>
      </c>
    </row>
    <row r="206" spans="2:13">
      <c r="K206" s="328">
        <v>6468792</v>
      </c>
    </row>
    <row r="207" spans="2:13">
      <c r="C207" s="305">
        <v>38835024.049999997</v>
      </c>
      <c r="K207" s="265">
        <f>K205-K206</f>
        <v>38044646</v>
      </c>
      <c r="L207" s="305">
        <v>38835024.049999997</v>
      </c>
      <c r="M207" s="319">
        <f>L207-K207</f>
        <v>790378.04999999702</v>
      </c>
    </row>
    <row r="208" spans="2:13">
      <c r="C208" s="265" t="e">
        <f>C207-C201</f>
        <v>#REF!</v>
      </c>
      <c r="K208" s="265">
        <f>K201-K207</f>
        <v>-1400263.0399999991</v>
      </c>
    </row>
  </sheetData>
  <mergeCells count="33">
    <mergeCell ref="K3:L3"/>
    <mergeCell ref="M3:N3"/>
    <mergeCell ref="O3:P3"/>
    <mergeCell ref="K8:L8"/>
    <mergeCell ref="M8:N8"/>
    <mergeCell ref="O8:P8"/>
    <mergeCell ref="K20:L20"/>
    <mergeCell ref="M20:N20"/>
    <mergeCell ref="O20:P20"/>
    <mergeCell ref="K39:L39"/>
    <mergeCell ref="M39:N39"/>
    <mergeCell ref="O39:P39"/>
    <mergeCell ref="K55:L55"/>
    <mergeCell ref="M55:N55"/>
    <mergeCell ref="O55:P55"/>
    <mergeCell ref="K73:L73"/>
    <mergeCell ref="M73:N73"/>
    <mergeCell ref="O73:P73"/>
    <mergeCell ref="O126:P126"/>
    <mergeCell ref="K142:L142"/>
    <mergeCell ref="M142:N142"/>
    <mergeCell ref="O142:P142"/>
    <mergeCell ref="K92:L92"/>
    <mergeCell ref="M92:N92"/>
    <mergeCell ref="O92:P92"/>
    <mergeCell ref="K109:L109"/>
    <mergeCell ref="M109:N109"/>
    <mergeCell ref="O109:P109"/>
    <mergeCell ref="K159:L159"/>
    <mergeCell ref="M159:N159"/>
    <mergeCell ref="K184:L184"/>
    <mergeCell ref="K126:L126"/>
    <mergeCell ref="M126:N1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MJ230"/>
  <sheetViews>
    <sheetView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5.7109375" style="305" customWidth="1"/>
    <col min="4" max="4" width="13.7109375" style="265" customWidth="1"/>
    <col min="5" max="5" width="14.42578125" style="265" customWidth="1"/>
    <col min="6" max="6" width="17.140625" style="265" customWidth="1"/>
    <col min="7" max="7" width="20.5703125" style="265" customWidth="1"/>
    <col min="8" max="8" width="21.28515625" style="265" customWidth="1"/>
    <col min="9" max="9" width="13.7109375" style="265" customWidth="1"/>
    <col min="10" max="10" width="17.42578125" style="265" customWidth="1"/>
    <col min="11" max="11" width="19.140625" style="265" customWidth="1"/>
    <col min="12" max="12" width="13.7109375" style="265" customWidth="1"/>
    <col min="13" max="13" width="14.7109375" style="265" customWidth="1"/>
    <col min="14" max="16" width="17.5703125" style="265" customWidth="1"/>
    <col min="17" max="17" width="15.140625" style="265" customWidth="1"/>
    <col min="18" max="18" width="13.42578125" style="305" customWidth="1"/>
    <col min="19" max="19" width="15.140625" style="305" customWidth="1"/>
    <col min="20" max="20" width="13.42578125" style="305" customWidth="1"/>
    <col min="21" max="21" width="14.28515625" style="305" customWidth="1"/>
    <col min="22" max="22" width="10.28515625" style="305" customWidth="1"/>
    <col min="23" max="23" width="11.42578125" style="305"/>
    <col min="24" max="24" width="19.42578125" style="305" customWidth="1"/>
    <col min="25" max="25" width="16.28515625" style="305" customWidth="1"/>
    <col min="26" max="1024" width="11.42578125" style="305"/>
  </cols>
  <sheetData>
    <row r="2" spans="2:8">
      <c r="F2" s="306" t="s">
        <v>352</v>
      </c>
      <c r="G2" s="306" t="s">
        <v>353</v>
      </c>
    </row>
    <row r="3" spans="2:8">
      <c r="B3" s="307" t="s">
        <v>388</v>
      </c>
      <c r="C3" s="308" t="s">
        <v>389</v>
      </c>
      <c r="D3" s="308" t="s">
        <v>355</v>
      </c>
      <c r="E3" s="308" t="s">
        <v>5</v>
      </c>
      <c r="F3" s="308"/>
      <c r="G3" s="308"/>
    </row>
    <row r="4" spans="2:8">
      <c r="B4" s="305" t="s">
        <v>87</v>
      </c>
      <c r="C4" s="265">
        <v>35042687</v>
      </c>
      <c r="D4" s="265">
        <v>30006697</v>
      </c>
      <c r="E4" s="265">
        <f t="shared" ref="E4:E10" si="0">C4-D4</f>
        <v>5035990</v>
      </c>
      <c r="F4" s="265">
        <v>35572466.869999997</v>
      </c>
      <c r="G4" s="265">
        <f t="shared" ref="G4:G11" si="1">C4-F4</f>
        <v>-529779.86999999732</v>
      </c>
    </row>
    <row r="5" spans="2:8">
      <c r="B5" s="305" t="s">
        <v>88</v>
      </c>
      <c r="C5" s="265">
        <v>921</v>
      </c>
      <c r="D5" s="265">
        <v>920</v>
      </c>
      <c r="E5" s="265">
        <f t="shared" si="0"/>
        <v>1</v>
      </c>
      <c r="F5" s="265">
        <v>921</v>
      </c>
      <c r="G5" s="265">
        <f t="shared" si="1"/>
        <v>0</v>
      </c>
    </row>
    <row r="6" spans="2:8">
      <c r="B6" s="305" t="s">
        <v>90</v>
      </c>
      <c r="C6" s="265">
        <v>5222508.5599999996</v>
      </c>
      <c r="D6" s="265">
        <v>4662954</v>
      </c>
      <c r="E6" s="265">
        <f t="shared" si="0"/>
        <v>559554.55999999959</v>
      </c>
      <c r="F6" s="265">
        <v>5222508.5599999996</v>
      </c>
      <c r="G6" s="265">
        <f t="shared" si="1"/>
        <v>0</v>
      </c>
    </row>
    <row r="7" spans="2:8">
      <c r="B7" s="305" t="s">
        <v>91</v>
      </c>
      <c r="C7" s="265">
        <v>34797</v>
      </c>
      <c r="D7" s="265">
        <v>34797</v>
      </c>
      <c r="E7" s="265">
        <f t="shared" si="0"/>
        <v>0</v>
      </c>
      <c r="F7" s="265">
        <v>34797</v>
      </c>
      <c r="G7" s="265">
        <f t="shared" si="1"/>
        <v>0</v>
      </c>
    </row>
    <row r="8" spans="2:8">
      <c r="B8" s="305" t="s">
        <v>92</v>
      </c>
      <c r="C8" s="265">
        <v>227072</v>
      </c>
      <c r="D8" s="265">
        <v>227072</v>
      </c>
      <c r="E8" s="265">
        <f t="shared" si="0"/>
        <v>0</v>
      </c>
      <c r="F8" s="265">
        <v>227072</v>
      </c>
      <c r="G8" s="265">
        <f t="shared" si="1"/>
        <v>0</v>
      </c>
    </row>
    <row r="9" spans="2:8">
      <c r="B9" s="305" t="s">
        <v>93</v>
      </c>
      <c r="C9" s="265">
        <v>-3202431</v>
      </c>
      <c r="D9" s="265">
        <v>-3202431</v>
      </c>
      <c r="E9" s="265">
        <f t="shared" si="0"/>
        <v>0</v>
      </c>
      <c r="F9" s="265">
        <v>-3202431</v>
      </c>
      <c r="G9" s="265">
        <f t="shared" si="1"/>
        <v>0</v>
      </c>
    </row>
    <row r="10" spans="2:8">
      <c r="B10" s="305" t="s">
        <v>94</v>
      </c>
      <c r="C10" s="265">
        <v>1919745</v>
      </c>
      <c r="D10" s="265">
        <v>1353857</v>
      </c>
      <c r="E10" s="265">
        <f t="shared" si="0"/>
        <v>565888</v>
      </c>
      <c r="F10" s="265">
        <v>1919745</v>
      </c>
      <c r="G10" s="265">
        <f t="shared" si="1"/>
        <v>0</v>
      </c>
    </row>
    <row r="11" spans="2:8">
      <c r="B11" s="305" t="s">
        <v>95</v>
      </c>
      <c r="C11" s="265">
        <v>32771651.620000001</v>
      </c>
      <c r="D11" s="265">
        <v>32161891</v>
      </c>
      <c r="E11" s="265">
        <f>C11-D11-D12</f>
        <v>-4985784.379999999</v>
      </c>
      <c r="F11" s="265">
        <v>34136487.083122998</v>
      </c>
      <c r="G11" s="265">
        <f t="shared" si="1"/>
        <v>-1364835.4631229974</v>
      </c>
      <c r="H11" s="265">
        <f>C11-D11</f>
        <v>609760.62000000104</v>
      </c>
    </row>
    <row r="12" spans="2:8">
      <c r="B12" s="305" t="s">
        <v>358</v>
      </c>
      <c r="C12" s="265">
        <v>9337751.4399999995</v>
      </c>
      <c r="D12" s="265">
        <v>5595545</v>
      </c>
      <c r="E12" s="265">
        <f>C12</f>
        <v>9337751.4399999995</v>
      </c>
      <c r="F12" s="265">
        <v>6158394.4975135997</v>
      </c>
      <c r="G12" s="265">
        <f>C12-F12-F13</f>
        <v>4205080.9000000199</v>
      </c>
    </row>
    <row r="13" spans="2:8">
      <c r="C13" s="265"/>
      <c r="F13" s="265">
        <v>-1025723.95751362</v>
      </c>
    </row>
    <row r="14" spans="2:8">
      <c r="B14" s="307" t="s">
        <v>359</v>
      </c>
      <c r="C14" s="329">
        <f>SUM(C4:C12)</f>
        <v>81354702.620000005</v>
      </c>
      <c r="D14" s="306">
        <f>SUM(D4:D12)</f>
        <v>70841302</v>
      </c>
      <c r="E14" s="306">
        <f>SUM(E4:E12)</f>
        <v>10513400.620000001</v>
      </c>
    </row>
    <row r="20" spans="2:25">
      <c r="F20" s="306" t="s">
        <v>352</v>
      </c>
      <c r="G20" s="306" t="s">
        <v>353</v>
      </c>
      <c r="J20" s="306" t="s">
        <v>352</v>
      </c>
      <c r="K20" s="306" t="s">
        <v>353</v>
      </c>
    </row>
    <row r="21" spans="2:25">
      <c r="B21" s="307" t="s">
        <v>354</v>
      </c>
      <c r="C21" s="308" t="s">
        <v>389</v>
      </c>
      <c r="D21" s="308" t="s">
        <v>355</v>
      </c>
      <c r="E21" s="308" t="s">
        <v>5</v>
      </c>
      <c r="F21" s="308"/>
      <c r="G21" s="308"/>
      <c r="H21" s="308" t="s">
        <v>356</v>
      </c>
      <c r="I21" s="308" t="s">
        <v>5</v>
      </c>
      <c r="J21" s="309">
        <f>+R23</f>
        <v>0.75019999999999998</v>
      </c>
      <c r="K21" s="310">
        <f>+R24</f>
        <v>0.24979999999999999</v>
      </c>
      <c r="L21" s="308"/>
    </row>
    <row r="22" spans="2:25">
      <c r="B22" s="305" t="s">
        <v>87</v>
      </c>
      <c r="C22" s="265">
        <f>Participaciones!E3</f>
        <v>5000</v>
      </c>
      <c r="D22" s="265">
        <v>5000</v>
      </c>
      <c r="E22" s="265">
        <f t="shared" ref="E22:E29" si="2">C22-D22</f>
        <v>0</v>
      </c>
      <c r="H22" s="265">
        <v>5000</v>
      </c>
      <c r="I22" s="265">
        <f t="shared" ref="I22:I29" si="3">+D22-H22</f>
        <v>0</v>
      </c>
      <c r="J22" s="265">
        <f t="shared" ref="J22:J29" si="4">+I22*$J$21</f>
        <v>0</v>
      </c>
      <c r="K22" s="265">
        <f t="shared" ref="K22:K29" si="5">+I22*$K$21</f>
        <v>0</v>
      </c>
      <c r="O22" s="1067">
        <v>2018</v>
      </c>
      <c r="P22" s="1067"/>
      <c r="Q22" s="1067">
        <v>2017</v>
      </c>
      <c r="R22" s="1067"/>
      <c r="S22" s="1067">
        <v>2016</v>
      </c>
      <c r="T22" s="1067"/>
      <c r="U22" s="1067" t="s">
        <v>5</v>
      </c>
      <c r="V22" s="1067"/>
    </row>
    <row r="23" spans="2:25">
      <c r="B23" s="305" t="s">
        <v>88</v>
      </c>
      <c r="C23" s="265">
        <f>Participaciones!E4</f>
        <v>41940194</v>
      </c>
      <c r="D23" s="265">
        <f>'ESF - ERI'!T49</f>
        <v>42340052</v>
      </c>
      <c r="E23" s="265">
        <f t="shared" si="2"/>
        <v>-399858</v>
      </c>
      <c r="H23" s="265">
        <v>42837231</v>
      </c>
      <c r="I23" s="265">
        <f t="shared" si="3"/>
        <v>-497179</v>
      </c>
      <c r="J23" s="265">
        <f t="shared" si="4"/>
        <v>-372983.68579999998</v>
      </c>
      <c r="K23" s="265">
        <f t="shared" si="5"/>
        <v>-124195.31419999999</v>
      </c>
      <c r="N23" s="265" t="s">
        <v>293</v>
      </c>
      <c r="O23" s="275">
        <v>3751</v>
      </c>
      <c r="P23" s="276">
        <f>+O23/$O$25</f>
        <v>0.75019999999999998</v>
      </c>
      <c r="Q23" s="275">
        <v>3751</v>
      </c>
      <c r="R23" s="276">
        <f>+Q23/$Q$25</f>
        <v>0.75019999999999998</v>
      </c>
      <c r="S23" s="275">
        <v>3751</v>
      </c>
      <c r="T23" s="276">
        <f>+S23/$S$25</f>
        <v>0.75019999999999998</v>
      </c>
      <c r="U23" s="275">
        <f>+Q23-S23</f>
        <v>0</v>
      </c>
      <c r="V23" s="276">
        <f>+R23-T23</f>
        <v>0</v>
      </c>
    </row>
    <row r="24" spans="2:25">
      <c r="B24" s="305" t="s">
        <v>90</v>
      </c>
      <c r="C24" s="265">
        <f>Participaciones!E5</f>
        <v>0</v>
      </c>
      <c r="D24" s="265">
        <v>0</v>
      </c>
      <c r="E24" s="265">
        <f t="shared" si="2"/>
        <v>0</v>
      </c>
      <c r="I24" s="265">
        <f t="shared" si="3"/>
        <v>0</v>
      </c>
      <c r="J24" s="265">
        <f t="shared" si="4"/>
        <v>0</v>
      </c>
      <c r="K24" s="265">
        <f t="shared" si="5"/>
        <v>0</v>
      </c>
      <c r="N24" s="265" t="s">
        <v>296</v>
      </c>
      <c r="O24" s="280">
        <v>1249</v>
      </c>
      <c r="P24" s="276">
        <f>+O24/$O$25</f>
        <v>0.24979999999999999</v>
      </c>
      <c r="Q24" s="280">
        <v>1249</v>
      </c>
      <c r="R24" s="276">
        <f>+Q24/$Q$25</f>
        <v>0.24979999999999999</v>
      </c>
      <c r="S24" s="280">
        <v>1249</v>
      </c>
      <c r="T24" s="276">
        <f>+S24/$S$25</f>
        <v>0.24979999999999999</v>
      </c>
      <c r="U24" s="275">
        <f>+Q24-S24</f>
        <v>0</v>
      </c>
      <c r="V24" s="276">
        <f>+R24-T24</f>
        <v>0</v>
      </c>
    </row>
    <row r="25" spans="2:25">
      <c r="B25" s="305" t="s">
        <v>91</v>
      </c>
      <c r="C25" s="265">
        <f>Participaciones!E6</f>
        <v>0</v>
      </c>
      <c r="D25" s="265">
        <v>0</v>
      </c>
      <c r="E25" s="265">
        <f t="shared" si="2"/>
        <v>0</v>
      </c>
      <c r="I25" s="265">
        <f t="shared" si="3"/>
        <v>0</v>
      </c>
      <c r="J25" s="265">
        <f t="shared" si="4"/>
        <v>0</v>
      </c>
      <c r="K25" s="265">
        <f t="shared" si="5"/>
        <v>0</v>
      </c>
      <c r="O25" s="275">
        <f>SUM(O23:O24)</f>
        <v>5000</v>
      </c>
      <c r="P25" s="283"/>
      <c r="Q25" s="275">
        <f>SUM(Q23:Q24)</f>
        <v>5000</v>
      </c>
      <c r="R25" s="283"/>
      <c r="S25" s="275">
        <f>SUM(S23:S24)</f>
        <v>5000</v>
      </c>
      <c r="T25" s="283"/>
      <c r="U25" s="275">
        <f>SUM(U23:U24)</f>
        <v>0</v>
      </c>
      <c r="V25" s="283"/>
      <c r="X25" s="311"/>
    </row>
    <row r="26" spans="2:25">
      <c r="B26" s="305" t="s">
        <v>92</v>
      </c>
      <c r="C26" s="265">
        <f>Participaciones!E7</f>
        <v>0</v>
      </c>
      <c r="D26" s="265">
        <v>0</v>
      </c>
      <c r="E26" s="265">
        <f t="shared" si="2"/>
        <v>0</v>
      </c>
      <c r="I26" s="265">
        <f t="shared" si="3"/>
        <v>0</v>
      </c>
      <c r="J26" s="265">
        <f t="shared" si="4"/>
        <v>0</v>
      </c>
      <c r="K26" s="265">
        <f t="shared" si="5"/>
        <v>0</v>
      </c>
      <c r="X26" s="311"/>
    </row>
    <row r="27" spans="2:25">
      <c r="B27" s="305" t="s">
        <v>94</v>
      </c>
      <c r="C27" s="265">
        <f>Participaciones!E8</f>
        <v>0</v>
      </c>
      <c r="D27" s="265">
        <v>0</v>
      </c>
      <c r="E27" s="265">
        <f t="shared" si="2"/>
        <v>0</v>
      </c>
      <c r="I27" s="265">
        <f t="shared" si="3"/>
        <v>0</v>
      </c>
      <c r="J27" s="265">
        <f t="shared" si="4"/>
        <v>0</v>
      </c>
      <c r="K27" s="265">
        <f t="shared" si="5"/>
        <v>0</v>
      </c>
      <c r="N27" s="306" t="s">
        <v>357</v>
      </c>
      <c r="O27" s="306"/>
      <c r="P27" s="306"/>
      <c r="Q27" s="1067">
        <v>2017</v>
      </c>
      <c r="R27" s="1067"/>
      <c r="S27" s="1067">
        <v>2016</v>
      </c>
      <c r="T27" s="1067"/>
      <c r="U27" s="1067" t="s">
        <v>5</v>
      </c>
      <c r="V27" s="1067"/>
    </row>
    <row r="28" spans="2:25">
      <c r="B28" s="305" t="s">
        <v>95</v>
      </c>
      <c r="C28" s="265">
        <v>0</v>
      </c>
      <c r="D28" s="265">
        <f>'ESF - ERI'!T55</f>
        <v>2254833</v>
      </c>
      <c r="E28" s="265">
        <f t="shared" si="2"/>
        <v>-2254833</v>
      </c>
      <c r="H28" s="265">
        <v>-392726</v>
      </c>
      <c r="I28" s="313">
        <f t="shared" si="3"/>
        <v>2647559</v>
      </c>
      <c r="J28" s="265">
        <f t="shared" si="4"/>
        <v>1986198.7618</v>
      </c>
      <c r="K28" s="265">
        <f t="shared" si="5"/>
        <v>661360.23820000002</v>
      </c>
      <c r="N28" s="265" t="s">
        <v>293</v>
      </c>
      <c r="Q28" s="265">
        <f>32414459-497179</f>
        <v>31917280</v>
      </c>
      <c r="R28" s="314">
        <f>+Q28/Q30</f>
        <v>0.75383185641812622</v>
      </c>
      <c r="S28" s="265">
        <v>32414459</v>
      </c>
      <c r="T28" s="314">
        <f>+S28/S30</f>
        <v>0.75668894191597025</v>
      </c>
      <c r="U28" s="275">
        <f>+Q28-S28</f>
        <v>-497179</v>
      </c>
      <c r="V28" s="276">
        <f>+R28-T28</f>
        <v>-2.8570854978440252E-3</v>
      </c>
      <c r="X28" s="271">
        <f>H23*T24</f>
        <v>10700740.3038</v>
      </c>
      <c r="Y28" s="311"/>
    </row>
    <row r="29" spans="2:25">
      <c r="B29" s="305" t="s">
        <v>358</v>
      </c>
      <c r="C29" s="330">
        <f>Participaciones!E11</f>
        <v>-8625165</v>
      </c>
      <c r="D29" s="315">
        <f>'ESF - ERI'!T56</f>
        <v>-1077724</v>
      </c>
      <c r="E29" s="315">
        <f t="shared" si="2"/>
        <v>-7547441</v>
      </c>
      <c r="F29" s="315"/>
      <c r="G29" s="315"/>
      <c r="H29" s="315">
        <v>1823983</v>
      </c>
      <c r="I29" s="315">
        <f t="shared" si="3"/>
        <v>-2901707</v>
      </c>
      <c r="J29" s="315">
        <f t="shared" si="4"/>
        <v>-2176860.5913999998</v>
      </c>
      <c r="K29" s="315">
        <f t="shared" si="5"/>
        <v>-724846.40859999997</v>
      </c>
      <c r="N29" s="265" t="s">
        <v>296</v>
      </c>
      <c r="Q29" s="315">
        <v>10422772</v>
      </c>
      <c r="R29" s="314">
        <f>+Q29/Q30</f>
        <v>0.24616814358187372</v>
      </c>
      <c r="S29" s="315">
        <v>10422772</v>
      </c>
      <c r="T29" s="314">
        <f>+S29/S30</f>
        <v>0.24331105808402975</v>
      </c>
      <c r="U29" s="316">
        <f>+Q29-S29</f>
        <v>0</v>
      </c>
      <c r="V29" s="276">
        <f>+R29-T29</f>
        <v>2.8570854978439697E-3</v>
      </c>
      <c r="X29" s="311"/>
    </row>
    <row r="30" spans="2:25">
      <c r="C30" s="265"/>
      <c r="Q30" s="306">
        <f>SUM(Q28:Q29)</f>
        <v>42340052</v>
      </c>
      <c r="S30" s="306">
        <f>SUM(S28:S29)</f>
        <v>42837231</v>
      </c>
      <c r="U30" s="275">
        <f>SUM(U28:U29)</f>
        <v>-497179</v>
      </c>
      <c r="V30" s="283"/>
    </row>
    <row r="31" spans="2:25">
      <c r="B31" s="307" t="s">
        <v>359</v>
      </c>
      <c r="C31" s="306">
        <f>SUM(C22:C29)</f>
        <v>33320029</v>
      </c>
      <c r="D31" s="306">
        <f>SUM(D22:D29)</f>
        <v>43522161</v>
      </c>
      <c r="E31" s="306">
        <f>SUM(E22:E29)</f>
        <v>-10202132</v>
      </c>
      <c r="F31" s="306">
        <f>SUM(F22:F29)</f>
        <v>0</v>
      </c>
      <c r="G31" s="306">
        <f>SUM(G22:G29)</f>
        <v>0</v>
      </c>
      <c r="H31" s="306">
        <f>SUM(H22:H30)</f>
        <v>44273488</v>
      </c>
      <c r="I31" s="306">
        <f>SUM(I22:I29)</f>
        <v>-751327</v>
      </c>
      <c r="J31" s="306">
        <f>SUM(J22:J29)</f>
        <v>-563645.51539999992</v>
      </c>
      <c r="K31" s="306">
        <f>SUM(K22:K29)</f>
        <v>-187681.48459999997</v>
      </c>
      <c r="L31" s="306"/>
    </row>
    <row r="32" spans="2:25">
      <c r="B32" s="317" t="s">
        <v>360</v>
      </c>
      <c r="C32" s="306">
        <f>+(C31)*$F$21</f>
        <v>0</v>
      </c>
      <c r="D32" s="306">
        <f>+(D31)*$J$21</f>
        <v>32650325.1822</v>
      </c>
      <c r="E32" s="306">
        <f>C32-D32</f>
        <v>-32650325.1822</v>
      </c>
      <c r="F32" s="306"/>
      <c r="G32" s="306"/>
      <c r="H32" s="306">
        <f>+(H31)*$J$21</f>
        <v>33213970.6976</v>
      </c>
      <c r="I32" s="306">
        <f>+D32-H32</f>
        <v>-563645.51539999992</v>
      </c>
      <c r="J32" s="306"/>
      <c r="K32" s="306"/>
      <c r="L32" s="306"/>
    </row>
    <row r="33" spans="2:24">
      <c r="B33" s="317" t="s">
        <v>361</v>
      </c>
      <c r="C33" s="306">
        <f>+(C31)*$G$21</f>
        <v>0</v>
      </c>
      <c r="D33" s="306">
        <f>+(D31)*$K$21</f>
        <v>10871835.8178</v>
      </c>
      <c r="E33" s="306">
        <f>C33-D33</f>
        <v>-10871835.8178</v>
      </c>
      <c r="F33" s="306"/>
      <c r="G33" s="306"/>
      <c r="H33" s="306">
        <f>+(H31)*$K$21</f>
        <v>11059517.3024</v>
      </c>
      <c r="I33" s="306">
        <f>+D33-H33</f>
        <v>-187681.48460000008</v>
      </c>
      <c r="J33" s="306"/>
      <c r="K33" s="306"/>
      <c r="L33" s="306"/>
      <c r="R33" s="318"/>
      <c r="S33" s="265"/>
      <c r="T33" s="319"/>
      <c r="X33" s="311"/>
    </row>
    <row r="34" spans="2:24">
      <c r="B34" s="317" t="s">
        <v>259</v>
      </c>
      <c r="C34" s="306">
        <f>SUM(C32:C33)</f>
        <v>0</v>
      </c>
      <c r="D34" s="306">
        <f>SUM(D32:D33)</f>
        <v>43522161</v>
      </c>
      <c r="E34" s="306">
        <f>C34-D34</f>
        <v>-43522161</v>
      </c>
      <c r="F34" s="306"/>
      <c r="G34" s="306"/>
      <c r="H34" s="306">
        <f>SUM(H32:H33)</f>
        <v>44273488</v>
      </c>
      <c r="I34" s="306">
        <f>+D34-H34</f>
        <v>-751327</v>
      </c>
      <c r="J34" s="306"/>
      <c r="K34" s="306"/>
      <c r="L34" s="306"/>
      <c r="S34" s="265"/>
      <c r="T34" s="319"/>
    </row>
    <row r="35" spans="2:24">
      <c r="B35" s="317"/>
      <c r="C35" s="265">
        <f>C31-C34</f>
        <v>33320029</v>
      </c>
      <c r="D35" s="265">
        <f>D31-D34</f>
        <v>0</v>
      </c>
      <c r="E35" s="306">
        <f>C35-D35</f>
        <v>33320029</v>
      </c>
      <c r="H35" s="265">
        <f>H31-H34</f>
        <v>0</v>
      </c>
      <c r="I35" s="306">
        <f>+D35-H35</f>
        <v>0</v>
      </c>
      <c r="J35" s="306"/>
      <c r="K35" s="306"/>
      <c r="L35" s="306"/>
      <c r="S35" s="265"/>
      <c r="T35" s="319"/>
    </row>
    <row r="36" spans="2:24">
      <c r="B36" s="317"/>
      <c r="C36" s="265"/>
      <c r="E36" s="306"/>
      <c r="I36" s="306"/>
      <c r="J36" s="306"/>
      <c r="K36" s="306"/>
      <c r="L36" s="306"/>
      <c r="S36" s="265"/>
      <c r="T36" s="319"/>
    </row>
    <row r="37" spans="2:24">
      <c r="F37" s="306" t="s">
        <v>352</v>
      </c>
      <c r="G37" s="306" t="s">
        <v>353</v>
      </c>
      <c r="J37" s="306" t="s">
        <v>352</v>
      </c>
      <c r="K37" s="306" t="s">
        <v>353</v>
      </c>
      <c r="S37" s="265"/>
    </row>
    <row r="38" spans="2:24">
      <c r="B38" s="307" t="s">
        <v>362</v>
      </c>
      <c r="C38" s="308" t="s">
        <v>389</v>
      </c>
      <c r="D38" s="308" t="s">
        <v>355</v>
      </c>
      <c r="E38" s="308" t="s">
        <v>5</v>
      </c>
      <c r="F38" s="308"/>
      <c r="G38" s="308"/>
      <c r="H38" s="308" t="s">
        <v>356</v>
      </c>
      <c r="I38" s="308" t="s">
        <v>5</v>
      </c>
      <c r="J38" s="309">
        <f>+R40</f>
        <v>0.99995475113122168</v>
      </c>
      <c r="K38" s="310">
        <f>+R41</f>
        <v>4.5248868778280542E-5</v>
      </c>
      <c r="L38" s="308"/>
    </row>
    <row r="39" spans="2:24">
      <c r="B39" s="305" t="s">
        <v>87</v>
      </c>
      <c r="C39" s="265">
        <f>Participaciones!G3</f>
        <v>1105000</v>
      </c>
      <c r="D39" s="265">
        <v>1105000</v>
      </c>
      <c r="E39" s="265">
        <f t="shared" ref="E39:E46" si="6">C39-D39</f>
        <v>0</v>
      </c>
      <c r="H39" s="265">
        <v>1105000</v>
      </c>
      <c r="I39" s="265">
        <f t="shared" ref="I39:I46" si="7">+D39-H39</f>
        <v>0</v>
      </c>
      <c r="J39" s="265">
        <v>0</v>
      </c>
      <c r="K39" s="265">
        <v>0</v>
      </c>
      <c r="L39" s="308"/>
      <c r="Q39" s="1067">
        <v>2017</v>
      </c>
      <c r="R39" s="1067"/>
      <c r="S39" s="1067">
        <v>2016</v>
      </c>
      <c r="T39" s="1067"/>
      <c r="U39" s="1067" t="s">
        <v>5</v>
      </c>
      <c r="V39" s="1067"/>
    </row>
    <row r="40" spans="2:24">
      <c r="B40" s="305" t="s">
        <v>88</v>
      </c>
      <c r="C40" s="265">
        <f>Participaciones!G4</f>
        <v>877313.05</v>
      </c>
      <c r="D40" s="265">
        <v>877313</v>
      </c>
      <c r="E40" s="265">
        <f t="shared" si="6"/>
        <v>5.0000000046566129E-2</v>
      </c>
      <c r="H40" s="265">
        <v>646013</v>
      </c>
      <c r="I40" s="265">
        <f t="shared" si="7"/>
        <v>231300</v>
      </c>
      <c r="J40" s="265">
        <v>0</v>
      </c>
      <c r="K40" s="265">
        <v>0</v>
      </c>
      <c r="L40" s="308"/>
      <c r="N40" s="265" t="s">
        <v>293</v>
      </c>
      <c r="Q40" s="275">
        <v>1104950</v>
      </c>
      <c r="R40" s="276">
        <f>+Q40/$Q$42</f>
        <v>0.99995475113122168</v>
      </c>
      <c r="S40" s="275">
        <v>1104950</v>
      </c>
      <c r="T40" s="276">
        <f>+S40/$S$42</f>
        <v>0.99995475113122168</v>
      </c>
      <c r="U40" s="275">
        <f>+Q40-S40</f>
        <v>0</v>
      </c>
      <c r="V40" s="276">
        <f>+R40-T40</f>
        <v>0</v>
      </c>
    </row>
    <row r="41" spans="2:24">
      <c r="B41" s="305" t="s">
        <v>90</v>
      </c>
      <c r="C41" s="265">
        <f>Participaciones!G5</f>
        <v>0</v>
      </c>
      <c r="D41" s="265">
        <v>0</v>
      </c>
      <c r="E41" s="265">
        <f t="shared" si="6"/>
        <v>0</v>
      </c>
      <c r="I41" s="265">
        <f t="shared" si="7"/>
        <v>0</v>
      </c>
      <c r="J41" s="265">
        <f t="shared" ref="J41:J46" si="8">+I41*$J$38</f>
        <v>0</v>
      </c>
      <c r="K41" s="265">
        <f t="shared" ref="K41:K46" si="9">+I41*$K$38</f>
        <v>0</v>
      </c>
      <c r="N41" s="265" t="s">
        <v>296</v>
      </c>
      <c r="Q41" s="280">
        <v>50</v>
      </c>
      <c r="R41" s="276">
        <f>+Q41/$Q$42</f>
        <v>4.5248868778280542E-5</v>
      </c>
      <c r="S41" s="280">
        <v>50</v>
      </c>
      <c r="T41" s="276">
        <f>+S41/$S$42</f>
        <v>4.5248868778280542E-5</v>
      </c>
      <c r="U41" s="275">
        <f>+Q41-S41</f>
        <v>0</v>
      </c>
      <c r="V41" s="276">
        <f>+R41-T41</f>
        <v>0</v>
      </c>
    </row>
    <row r="42" spans="2:24">
      <c r="B42" s="305" t="s">
        <v>91</v>
      </c>
      <c r="C42" s="265">
        <f>Participaciones!G6</f>
        <v>0</v>
      </c>
      <c r="D42" s="265">
        <v>0</v>
      </c>
      <c r="E42" s="265">
        <f t="shared" si="6"/>
        <v>0</v>
      </c>
      <c r="I42" s="265">
        <f t="shared" si="7"/>
        <v>0</v>
      </c>
      <c r="J42" s="265">
        <f t="shared" si="8"/>
        <v>0</v>
      </c>
      <c r="K42" s="265">
        <f t="shared" si="9"/>
        <v>0</v>
      </c>
      <c r="Q42" s="275">
        <f>SUM(Q40:Q41)</f>
        <v>1105000</v>
      </c>
      <c r="R42" s="283"/>
      <c r="S42" s="275">
        <f>SUM(S40:S41)</f>
        <v>1105000</v>
      </c>
      <c r="T42" s="283"/>
      <c r="U42" s="275">
        <f>SUM(U40:U41)</f>
        <v>0</v>
      </c>
      <c r="V42" s="283"/>
    </row>
    <row r="43" spans="2:24">
      <c r="B43" s="305" t="s">
        <v>92</v>
      </c>
      <c r="C43" s="265">
        <f>Participaciones!G7</f>
        <v>0</v>
      </c>
      <c r="D43" s="265">
        <v>0</v>
      </c>
      <c r="E43" s="265">
        <f t="shared" si="6"/>
        <v>0</v>
      </c>
      <c r="I43" s="265">
        <f t="shared" si="7"/>
        <v>0</v>
      </c>
      <c r="J43" s="265">
        <f t="shared" si="8"/>
        <v>0</v>
      </c>
      <c r="K43" s="265">
        <f t="shared" si="9"/>
        <v>0</v>
      </c>
    </row>
    <row r="44" spans="2:24">
      <c r="B44" s="305" t="s">
        <v>94</v>
      </c>
      <c r="C44" s="265">
        <f>Participaciones!G8</f>
        <v>0</v>
      </c>
      <c r="D44" s="265">
        <v>0</v>
      </c>
      <c r="E44" s="265">
        <f t="shared" si="6"/>
        <v>0</v>
      </c>
      <c r="I44" s="265">
        <f t="shared" si="7"/>
        <v>0</v>
      </c>
      <c r="J44" s="265">
        <f t="shared" si="8"/>
        <v>0</v>
      </c>
      <c r="K44" s="265">
        <f t="shared" si="9"/>
        <v>0</v>
      </c>
    </row>
    <row r="45" spans="2:24">
      <c r="B45" s="305" t="s">
        <v>95</v>
      </c>
      <c r="C45" s="265">
        <f>Participaciones!G11-C46</f>
        <v>2249492.8199999998</v>
      </c>
      <c r="D45" s="265">
        <f>'ESF - ERI'!U55</f>
        <v>-16937</v>
      </c>
      <c r="E45" s="265">
        <f t="shared" si="6"/>
        <v>2266429.8199999998</v>
      </c>
      <c r="H45" s="265">
        <v>-85803</v>
      </c>
      <c r="I45" s="265">
        <f t="shared" si="7"/>
        <v>68866</v>
      </c>
      <c r="J45" s="265">
        <f t="shared" si="8"/>
        <v>68862.883891402715</v>
      </c>
      <c r="K45" s="265">
        <f t="shared" si="9"/>
        <v>3.1161085972850677</v>
      </c>
      <c r="M45" s="320" t="s">
        <v>363</v>
      </c>
    </row>
    <row r="46" spans="2:24">
      <c r="B46" s="305" t="s">
        <v>358</v>
      </c>
      <c r="C46" s="315">
        <f>'Planilla final'!D76</f>
        <v>399181.97999999992</v>
      </c>
      <c r="D46" s="315">
        <f>'ESF - ERI'!U56</f>
        <v>19337</v>
      </c>
      <c r="E46" s="315">
        <f t="shared" si="6"/>
        <v>379844.97999999992</v>
      </c>
      <c r="F46" s="315"/>
      <c r="G46" s="315"/>
      <c r="H46" s="315">
        <v>-113288</v>
      </c>
      <c r="I46" s="315">
        <f t="shared" si="7"/>
        <v>132625</v>
      </c>
      <c r="J46" s="265">
        <f t="shared" si="8"/>
        <v>132618.99886877826</v>
      </c>
      <c r="K46" s="265">
        <f t="shared" si="9"/>
        <v>6.001131221719457</v>
      </c>
    </row>
    <row r="48" spans="2:24">
      <c r="B48" s="307" t="s">
        <v>359</v>
      </c>
      <c r="C48" s="306">
        <f>SUM(C39:C46)</f>
        <v>4630987.8499999996</v>
      </c>
      <c r="D48" s="306">
        <f>SUM(D39:D46)</f>
        <v>1984713</v>
      </c>
      <c r="E48" s="306">
        <f>C48-D48</f>
        <v>2646274.8499999996</v>
      </c>
      <c r="F48" s="306"/>
      <c r="G48" s="306"/>
      <c r="H48" s="306">
        <f>SUM(H39:H47)</f>
        <v>1551922</v>
      </c>
      <c r="I48" s="306">
        <f>SUM(I39:I46)</f>
        <v>432791</v>
      </c>
      <c r="J48" s="306"/>
      <c r="K48" s="306"/>
      <c r="L48" s="306"/>
    </row>
    <row r="49" spans="2:22">
      <c r="B49" s="305" t="s">
        <v>364</v>
      </c>
      <c r="D49" s="306">
        <v>0</v>
      </c>
      <c r="E49" s="306">
        <f>C49-D49</f>
        <v>0</v>
      </c>
      <c r="F49" s="306"/>
      <c r="G49" s="306"/>
      <c r="H49" s="306">
        <v>0</v>
      </c>
      <c r="I49" s="306"/>
      <c r="J49" s="306"/>
      <c r="K49" s="306"/>
      <c r="L49" s="306"/>
      <c r="N49" s="265" t="s">
        <v>365</v>
      </c>
    </row>
    <row r="50" spans="2:22">
      <c r="B50" s="305" t="s">
        <v>366</v>
      </c>
      <c r="C50" s="321">
        <f>-C40</f>
        <v>-877313.05</v>
      </c>
      <c r="D50" s="321">
        <f>-D40</f>
        <v>-877313</v>
      </c>
      <c r="E50" s="321">
        <f>C50-D50</f>
        <v>-5.0000000046566129E-2</v>
      </c>
      <c r="F50" s="321"/>
      <c r="G50" s="321"/>
      <c r="H50" s="321">
        <f>-H40</f>
        <v>-646013</v>
      </c>
      <c r="J50" s="306"/>
      <c r="K50" s="306"/>
      <c r="L50" s="306"/>
    </row>
    <row r="51" spans="2:22">
      <c r="C51" s="306"/>
      <c r="D51" s="306"/>
      <c r="E51" s="306"/>
      <c r="F51" s="306"/>
      <c r="G51" s="306"/>
      <c r="H51" s="306"/>
      <c r="J51" s="306"/>
      <c r="K51" s="306"/>
      <c r="L51" s="306"/>
    </row>
    <row r="52" spans="2:22">
      <c r="B52" s="307" t="s">
        <v>367</v>
      </c>
      <c r="C52" s="306">
        <f>SUM(C48:C50)</f>
        <v>3753674.8</v>
      </c>
      <c r="D52" s="306">
        <f>SUM(D48:D50)</f>
        <v>1107400</v>
      </c>
      <c r="E52" s="306">
        <f>SUM(E42:E49)</f>
        <v>5292549.6499999994</v>
      </c>
      <c r="F52" s="306"/>
      <c r="G52" s="306"/>
      <c r="H52" s="306">
        <f>SUM(H48:H50)</f>
        <v>905909</v>
      </c>
      <c r="I52" s="265">
        <f>+D52-H52</f>
        <v>201491</v>
      </c>
      <c r="J52" s="306"/>
      <c r="K52" s="306"/>
      <c r="L52" s="306"/>
    </row>
    <row r="53" spans="2:22">
      <c r="B53" s="317" t="s">
        <v>360</v>
      </c>
      <c r="C53" s="306">
        <f>+(C52)*$F$38</f>
        <v>0</v>
      </c>
      <c r="D53" s="306">
        <f>+(D52)*$J$38</f>
        <v>1107349.8914027149</v>
      </c>
      <c r="E53" s="306">
        <f>C53-D53</f>
        <v>-1107349.8914027149</v>
      </c>
      <c r="F53" s="306"/>
      <c r="G53" s="306"/>
      <c r="H53" s="306">
        <f>+(H52)*$J$38</f>
        <v>905868.00864253391</v>
      </c>
      <c r="I53" s="265">
        <f>+D53-H53</f>
        <v>201481.88276018098</v>
      </c>
      <c r="J53" s="306"/>
      <c r="K53" s="306"/>
      <c r="L53" s="306"/>
    </row>
    <row r="54" spans="2:22">
      <c r="B54" s="317" t="s">
        <v>361</v>
      </c>
      <c r="C54" s="306">
        <f>+C52*$G$38</f>
        <v>0</v>
      </c>
      <c r="D54" s="306">
        <f>+D52*$K$38</f>
        <v>50.108597285067873</v>
      </c>
      <c r="E54" s="306">
        <f>C54-D54</f>
        <v>-50.108597285067873</v>
      </c>
      <c r="F54" s="306"/>
      <c r="G54" s="306"/>
      <c r="H54" s="306">
        <f>+H52*$K$38</f>
        <v>40.991357466063349</v>
      </c>
      <c r="I54" s="306">
        <f>+D54-H54</f>
        <v>9.1172398190045243</v>
      </c>
    </row>
    <row r="55" spans="2:22">
      <c r="B55" s="317" t="s">
        <v>259</v>
      </c>
      <c r="C55" s="306">
        <f>SUM(C53:C54)</f>
        <v>0</v>
      </c>
      <c r="D55" s="306">
        <f>SUM(D53:D54)</f>
        <v>1107400</v>
      </c>
      <c r="E55" s="306">
        <f>C55-D55</f>
        <v>-1107400</v>
      </c>
      <c r="F55" s="306"/>
      <c r="G55" s="306"/>
      <c r="H55" s="306">
        <f>SUM(H53:H54)</f>
        <v>905909</v>
      </c>
    </row>
    <row r="56" spans="2:22">
      <c r="C56" s="265">
        <f>C52-C55</f>
        <v>3753674.8</v>
      </c>
      <c r="D56" s="265">
        <f>D52-D55</f>
        <v>0</v>
      </c>
      <c r="E56" s="306">
        <f>C56-D56</f>
        <v>3753674.8</v>
      </c>
      <c r="H56" s="265">
        <f>H52-H55</f>
        <v>0</v>
      </c>
    </row>
    <row r="57" spans="2:22">
      <c r="C57" s="265"/>
      <c r="E57" s="306"/>
    </row>
    <row r="58" spans="2:22">
      <c r="F58" s="306" t="s">
        <v>352</v>
      </c>
      <c r="G58" s="306" t="s">
        <v>353</v>
      </c>
      <c r="J58" s="306" t="s">
        <v>352</v>
      </c>
      <c r="K58" s="306" t="s">
        <v>353</v>
      </c>
    </row>
    <row r="59" spans="2:22">
      <c r="B59" s="307" t="s">
        <v>368</v>
      </c>
      <c r="C59" s="308" t="s">
        <v>389</v>
      </c>
      <c r="D59" s="308" t="s">
        <v>355</v>
      </c>
      <c r="E59" s="308" t="s">
        <v>5</v>
      </c>
      <c r="F59" s="308"/>
      <c r="G59" s="308"/>
      <c r="H59" s="308" t="s">
        <v>356</v>
      </c>
      <c r="I59" s="308" t="s">
        <v>5</v>
      </c>
      <c r="J59" s="309">
        <f>+R61</f>
        <v>0.68</v>
      </c>
      <c r="K59" s="310">
        <f>+R62</f>
        <v>0.32</v>
      </c>
      <c r="L59" s="308"/>
    </row>
    <row r="60" spans="2:22">
      <c r="B60" s="305" t="s">
        <v>87</v>
      </c>
      <c r="C60" s="265">
        <f>Participaciones!I3</f>
        <v>0</v>
      </c>
      <c r="D60" s="265">
        <v>10000</v>
      </c>
      <c r="E60" s="265">
        <f t="shared" ref="E60:E67" si="10">C60-D60</f>
        <v>-10000</v>
      </c>
      <c r="H60" s="265">
        <v>10000</v>
      </c>
      <c r="I60" s="265">
        <f t="shared" ref="I60:I67" si="11">+D60-H60</f>
        <v>0</v>
      </c>
      <c r="J60" s="265">
        <f t="shared" ref="J60:J67" si="12">+I60*$J$59</f>
        <v>0</v>
      </c>
      <c r="K60" s="265">
        <f t="shared" ref="K60:K67" si="13">+I60*$K$59</f>
        <v>0</v>
      </c>
      <c r="Q60" s="1067">
        <v>2017</v>
      </c>
      <c r="R60" s="1067"/>
      <c r="S60" s="1067">
        <v>2016</v>
      </c>
      <c r="T60" s="1067"/>
      <c r="U60" s="1067" t="s">
        <v>5</v>
      </c>
      <c r="V60" s="1067"/>
    </row>
    <row r="61" spans="2:22">
      <c r="B61" s="305" t="s">
        <v>88</v>
      </c>
      <c r="C61" s="265">
        <f>Participaciones!I4</f>
        <v>0</v>
      </c>
      <c r="D61" s="265">
        <v>0</v>
      </c>
      <c r="E61" s="265">
        <f t="shared" si="10"/>
        <v>0</v>
      </c>
      <c r="H61" s="265">
        <v>0</v>
      </c>
      <c r="I61" s="265">
        <f t="shared" si="11"/>
        <v>0</v>
      </c>
      <c r="J61" s="265">
        <f t="shared" si="12"/>
        <v>0</v>
      </c>
      <c r="K61" s="265">
        <f t="shared" si="13"/>
        <v>0</v>
      </c>
      <c r="N61" s="265" t="s">
        <v>293</v>
      </c>
      <c r="Q61" s="275">
        <v>6800</v>
      </c>
      <c r="R61" s="276">
        <f>+Q61/$Q$63</f>
        <v>0.68</v>
      </c>
      <c r="S61" s="275">
        <v>6800</v>
      </c>
      <c r="T61" s="276">
        <f>+S61/$S$63</f>
        <v>0.68</v>
      </c>
      <c r="U61" s="275">
        <f>+Q61-S61</f>
        <v>0</v>
      </c>
      <c r="V61" s="276">
        <f>+R61-T61</f>
        <v>0</v>
      </c>
    </row>
    <row r="62" spans="2:22">
      <c r="B62" s="305" t="s">
        <v>90</v>
      </c>
      <c r="C62" s="265">
        <f>Participaciones!I5</f>
        <v>0</v>
      </c>
      <c r="D62" s="265">
        <f>'ESF - ERI'!V50</f>
        <v>74426</v>
      </c>
      <c r="E62" s="265">
        <f t="shared" si="10"/>
        <v>-74426</v>
      </c>
      <c r="H62" s="265">
        <v>74426.570000000007</v>
      </c>
      <c r="I62" s="265">
        <f t="shared" si="11"/>
        <v>-0.57000000000698492</v>
      </c>
      <c r="J62" s="265">
        <f t="shared" si="12"/>
        <v>-0.38760000000474976</v>
      </c>
      <c r="K62" s="265">
        <f t="shared" si="13"/>
        <v>-0.18240000000223519</v>
      </c>
      <c r="N62" s="265" t="s">
        <v>296</v>
      </c>
      <c r="Q62" s="280">
        <v>3200</v>
      </c>
      <c r="R62" s="276">
        <f>+Q62/$Q$63</f>
        <v>0.32</v>
      </c>
      <c r="S62" s="280">
        <v>3200</v>
      </c>
      <c r="T62" s="276">
        <f>+S62/$S$63</f>
        <v>0.32</v>
      </c>
      <c r="U62" s="275">
        <f>+Q62-S62</f>
        <v>0</v>
      </c>
      <c r="V62" s="276">
        <f>+R62-T62</f>
        <v>0</v>
      </c>
    </row>
    <row r="63" spans="2:22">
      <c r="B63" s="305" t="s">
        <v>91</v>
      </c>
      <c r="C63" s="265">
        <f>Participaciones!I6</f>
        <v>0</v>
      </c>
      <c r="D63" s="265">
        <v>0</v>
      </c>
      <c r="E63" s="265">
        <f t="shared" si="10"/>
        <v>0</v>
      </c>
      <c r="I63" s="265">
        <f t="shared" si="11"/>
        <v>0</v>
      </c>
      <c r="J63" s="265">
        <f t="shared" si="12"/>
        <v>0</v>
      </c>
      <c r="K63" s="265">
        <f t="shared" si="13"/>
        <v>0</v>
      </c>
      <c r="Q63" s="275">
        <f>SUM(Q61:Q62)</f>
        <v>10000</v>
      </c>
      <c r="R63" s="283"/>
      <c r="S63" s="275">
        <f>SUM(S61:S62)</f>
        <v>10000</v>
      </c>
      <c r="T63" s="283"/>
      <c r="U63" s="275">
        <f>SUM(U61:U62)</f>
        <v>0</v>
      </c>
      <c r="V63" s="283"/>
    </row>
    <row r="64" spans="2:22">
      <c r="B64" s="305" t="s">
        <v>92</v>
      </c>
      <c r="C64" s="265">
        <f>Participaciones!I7</f>
        <v>0</v>
      </c>
      <c r="D64" s="265">
        <v>0</v>
      </c>
      <c r="E64" s="265">
        <f t="shared" si="10"/>
        <v>0</v>
      </c>
      <c r="I64" s="265">
        <f t="shared" si="11"/>
        <v>0</v>
      </c>
      <c r="J64" s="265">
        <f t="shared" si="12"/>
        <v>0</v>
      </c>
      <c r="K64" s="265">
        <f t="shared" si="13"/>
        <v>0</v>
      </c>
    </row>
    <row r="65" spans="2:22">
      <c r="B65" s="305" t="s">
        <v>94</v>
      </c>
      <c r="C65" s="265">
        <f>Participaciones!I8</f>
        <v>0</v>
      </c>
      <c r="D65" s="265">
        <v>0</v>
      </c>
      <c r="E65" s="265">
        <f t="shared" si="10"/>
        <v>0</v>
      </c>
      <c r="I65" s="265">
        <f t="shared" si="11"/>
        <v>0</v>
      </c>
      <c r="J65" s="265">
        <f t="shared" si="12"/>
        <v>0</v>
      </c>
      <c r="K65" s="265">
        <f t="shared" si="13"/>
        <v>0</v>
      </c>
    </row>
    <row r="66" spans="2:22">
      <c r="B66" s="305" t="s">
        <v>95</v>
      </c>
      <c r="C66" s="265">
        <f>Participaciones!I11</f>
        <v>0</v>
      </c>
      <c r="D66" s="265">
        <f>'ESF - ERI'!V55</f>
        <v>911628</v>
      </c>
      <c r="E66" s="265">
        <f t="shared" si="10"/>
        <v>-911628</v>
      </c>
      <c r="H66" s="265">
        <v>989917</v>
      </c>
      <c r="I66" s="265">
        <f t="shared" si="11"/>
        <v>-78289</v>
      </c>
      <c r="J66" s="265">
        <f t="shared" si="12"/>
        <v>-53236.520000000004</v>
      </c>
      <c r="K66" s="265">
        <f t="shared" si="13"/>
        <v>-25052.48</v>
      </c>
      <c r="M66" s="320" t="s">
        <v>369</v>
      </c>
      <c r="R66" s="265">
        <f>228012-128950-6829+71048+1931</f>
        <v>165212</v>
      </c>
    </row>
    <row r="67" spans="2:22">
      <c r="B67" s="305" t="s">
        <v>358</v>
      </c>
      <c r="C67" s="330">
        <f>'Planilla final'!E76</f>
        <v>0</v>
      </c>
      <c r="D67" s="315">
        <f>'ESF - ERI'!V56</f>
        <v>-15891</v>
      </c>
      <c r="E67" s="315">
        <f t="shared" si="10"/>
        <v>15891</v>
      </c>
      <c r="F67" s="315"/>
      <c r="G67" s="315"/>
      <c r="H67" s="315">
        <v>-56384</v>
      </c>
      <c r="I67" s="315">
        <f t="shared" si="11"/>
        <v>40493</v>
      </c>
      <c r="J67" s="265">
        <f t="shared" si="12"/>
        <v>27535.24</v>
      </c>
      <c r="K67" s="265">
        <f t="shared" si="13"/>
        <v>12957.76</v>
      </c>
    </row>
    <row r="69" spans="2:22">
      <c r="B69" s="307" t="s">
        <v>359</v>
      </c>
      <c r="C69" s="306">
        <f>SUM(C60:C68)</f>
        <v>0</v>
      </c>
      <c r="D69" s="306">
        <f>SUM(D60:D68)</f>
        <v>980163</v>
      </c>
      <c r="E69" s="306">
        <f>SUM(E59:E66)</f>
        <v>-996054</v>
      </c>
      <c r="F69" s="306"/>
      <c r="G69" s="306"/>
      <c r="H69" s="306">
        <f>SUM(H60:H68)</f>
        <v>1017959.5700000001</v>
      </c>
      <c r="I69" s="306">
        <f>SUM(I60:I67)</f>
        <v>-37796.570000000007</v>
      </c>
      <c r="J69" s="306"/>
      <c r="K69" s="306"/>
      <c r="L69" s="306"/>
    </row>
    <row r="70" spans="2:22">
      <c r="B70" s="317" t="s">
        <v>360</v>
      </c>
      <c r="C70" s="306">
        <f>+(C69)*$F$59</f>
        <v>0</v>
      </c>
      <c r="D70" s="306">
        <f>+(D69)*$J$59</f>
        <v>666510.84000000008</v>
      </c>
      <c r="E70" s="306">
        <f>C70-D70</f>
        <v>-666510.84000000008</v>
      </c>
      <c r="F70" s="306"/>
      <c r="G70" s="306"/>
      <c r="H70" s="306">
        <f>+(H69)*$J$59</f>
        <v>692212.50760000013</v>
      </c>
      <c r="I70" s="306">
        <f>+D70-H70</f>
        <v>-25701.667600000044</v>
      </c>
      <c r="J70" s="306"/>
      <c r="K70" s="306"/>
      <c r="L70" s="306"/>
    </row>
    <row r="71" spans="2:22">
      <c r="B71" s="317" t="s">
        <v>361</v>
      </c>
      <c r="C71" s="306">
        <f>+C69*$G$59</f>
        <v>0</v>
      </c>
      <c r="D71" s="306">
        <f>+D69*$K$59</f>
        <v>313652.16000000003</v>
      </c>
      <c r="E71" s="306">
        <f>C71-D71</f>
        <v>-313652.16000000003</v>
      </c>
      <c r="F71" s="306"/>
      <c r="G71" s="306"/>
      <c r="H71" s="306">
        <f>+H69*$K$59</f>
        <v>325747.06240000005</v>
      </c>
      <c r="I71" s="306">
        <f>+D71-H71</f>
        <v>-12094.902400000021</v>
      </c>
    </row>
    <row r="72" spans="2:22">
      <c r="B72" s="317" t="s">
        <v>259</v>
      </c>
      <c r="C72" s="306">
        <f>SUM(C70:C71)</f>
        <v>0</v>
      </c>
      <c r="D72" s="306">
        <f>SUM(D70:D71)</f>
        <v>980163.00000000012</v>
      </c>
      <c r="E72" s="306">
        <f>C72-D72</f>
        <v>-980163.00000000012</v>
      </c>
      <c r="F72" s="306"/>
      <c r="G72" s="306"/>
      <c r="H72" s="306">
        <f>SUM(H70:H71)</f>
        <v>1017959.5700000002</v>
      </c>
      <c r="I72" s="306">
        <f>+D72-H72</f>
        <v>-37796.570000000065</v>
      </c>
    </row>
    <row r="73" spans="2:22">
      <c r="B73" s="317"/>
      <c r="C73" s="265">
        <f>C69-C72</f>
        <v>0</v>
      </c>
      <c r="D73" s="265">
        <f>D69-D72</f>
        <v>0</v>
      </c>
      <c r="E73" s="306">
        <f>C73-D73</f>
        <v>0</v>
      </c>
      <c r="H73" s="265">
        <f>H69-H72</f>
        <v>0</v>
      </c>
      <c r="I73" s="306"/>
    </row>
    <row r="74" spans="2:22">
      <c r="B74" s="317"/>
      <c r="C74" s="265"/>
      <c r="E74" s="306"/>
      <c r="I74" s="306"/>
    </row>
    <row r="75" spans="2:22">
      <c r="F75" s="306" t="s">
        <v>352</v>
      </c>
      <c r="G75" s="306" t="s">
        <v>353</v>
      </c>
      <c r="H75" s="305"/>
      <c r="J75" s="306" t="s">
        <v>352</v>
      </c>
      <c r="K75" s="306" t="s">
        <v>353</v>
      </c>
    </row>
    <row r="76" spans="2:22">
      <c r="B76" s="307" t="s">
        <v>370</v>
      </c>
      <c r="C76" s="308" t="s">
        <v>389</v>
      </c>
      <c r="D76" s="308" t="s">
        <v>355</v>
      </c>
      <c r="E76" s="308" t="s">
        <v>5</v>
      </c>
      <c r="F76" s="308"/>
      <c r="G76" s="308"/>
      <c r="H76" s="308" t="s">
        <v>356</v>
      </c>
      <c r="I76" s="308" t="s">
        <v>5</v>
      </c>
      <c r="J76" s="309">
        <f>+R78</f>
        <v>0.5</v>
      </c>
      <c r="K76" s="310">
        <f>+R79</f>
        <v>0.5</v>
      </c>
      <c r="L76" s="308"/>
    </row>
    <row r="77" spans="2:22">
      <c r="B77" s="305" t="s">
        <v>87</v>
      </c>
      <c r="C77" s="265">
        <f>Participaciones!K3</f>
        <v>1000</v>
      </c>
      <c r="D77" s="265">
        <v>1000</v>
      </c>
      <c r="E77" s="265">
        <f t="shared" ref="E77:E84" si="14">C77-D77</f>
        <v>0</v>
      </c>
      <c r="H77" s="265">
        <v>1000</v>
      </c>
      <c r="I77" s="265">
        <f t="shared" ref="I77:I84" si="15">+D77-H77</f>
        <v>0</v>
      </c>
      <c r="J77" s="265">
        <f t="shared" ref="J77:J84" si="16">+I77*$J$76</f>
        <v>0</v>
      </c>
      <c r="K77" s="265">
        <f t="shared" ref="K77:K84" si="17">+I77*$K$76</f>
        <v>0</v>
      </c>
      <c r="Q77" s="1067">
        <v>2017</v>
      </c>
      <c r="R77" s="1067"/>
      <c r="S77" s="1067">
        <v>2016</v>
      </c>
      <c r="T77" s="1067"/>
      <c r="U77" s="1067" t="s">
        <v>5</v>
      </c>
      <c r="V77" s="1067"/>
    </row>
    <row r="78" spans="2:22">
      <c r="B78" s="305" t="s">
        <v>88</v>
      </c>
      <c r="C78" s="265">
        <f>Participaciones!K4</f>
        <v>49015</v>
      </c>
      <c r="D78" s="265">
        <v>49015</v>
      </c>
      <c r="E78" s="265">
        <f t="shared" si="14"/>
        <v>0</v>
      </c>
      <c r="H78" s="265">
        <v>49015</v>
      </c>
      <c r="I78" s="265">
        <f t="shared" si="15"/>
        <v>0</v>
      </c>
      <c r="J78" s="265">
        <f t="shared" si="16"/>
        <v>0</v>
      </c>
      <c r="K78" s="265">
        <f t="shared" si="17"/>
        <v>0</v>
      </c>
      <c r="N78" s="265" t="s">
        <v>293</v>
      </c>
      <c r="Q78" s="275">
        <v>500</v>
      </c>
      <c r="R78" s="276">
        <f>+Q78/$Q$80</f>
        <v>0.5</v>
      </c>
      <c r="S78" s="275">
        <v>500</v>
      </c>
      <c r="T78" s="276">
        <f>+S78/$S$80</f>
        <v>0.5</v>
      </c>
      <c r="U78" s="275">
        <f>+Q78-S78</f>
        <v>0</v>
      </c>
      <c r="V78" s="276">
        <f>+R78-T78</f>
        <v>0</v>
      </c>
    </row>
    <row r="79" spans="2:22">
      <c r="B79" s="305" t="s">
        <v>90</v>
      </c>
      <c r="C79" s="265">
        <f>Participaciones!K5</f>
        <v>500</v>
      </c>
      <c r="D79" s="265">
        <v>500</v>
      </c>
      <c r="E79" s="265">
        <f t="shared" si="14"/>
        <v>0</v>
      </c>
      <c r="H79" s="265">
        <v>500</v>
      </c>
      <c r="I79" s="265">
        <f t="shared" si="15"/>
        <v>0</v>
      </c>
      <c r="J79" s="265">
        <f t="shared" si="16"/>
        <v>0</v>
      </c>
      <c r="K79" s="265">
        <f t="shared" si="17"/>
        <v>0</v>
      </c>
      <c r="N79" s="265" t="s">
        <v>296</v>
      </c>
      <c r="Q79" s="280">
        <v>500</v>
      </c>
      <c r="R79" s="276">
        <f>+Q79/$Q$80</f>
        <v>0.5</v>
      </c>
      <c r="S79" s="280">
        <v>500</v>
      </c>
      <c r="T79" s="276">
        <f>+S79/$S$80</f>
        <v>0.5</v>
      </c>
      <c r="U79" s="275">
        <f>+Q79-S79</f>
        <v>0</v>
      </c>
      <c r="V79" s="276">
        <f>+R79-T79</f>
        <v>0</v>
      </c>
    </row>
    <row r="80" spans="2:22">
      <c r="B80" s="305" t="s">
        <v>91</v>
      </c>
      <c r="C80" s="265">
        <f>Participaciones!K6</f>
        <v>0</v>
      </c>
      <c r="D80" s="265">
        <v>0</v>
      </c>
      <c r="E80" s="265">
        <f t="shared" si="14"/>
        <v>0</v>
      </c>
      <c r="H80" s="265">
        <v>0</v>
      </c>
      <c r="I80" s="265">
        <f t="shared" si="15"/>
        <v>0</v>
      </c>
      <c r="J80" s="265">
        <f t="shared" si="16"/>
        <v>0</v>
      </c>
      <c r="K80" s="265">
        <f t="shared" si="17"/>
        <v>0</v>
      </c>
      <c r="Q80" s="275">
        <f>SUM(Q78:Q79)</f>
        <v>1000</v>
      </c>
      <c r="R80" s="283"/>
      <c r="S80" s="275">
        <f>SUM(S78:S79)</f>
        <v>1000</v>
      </c>
      <c r="T80" s="283"/>
      <c r="U80" s="275">
        <f>SUM(U78:U79)</f>
        <v>0</v>
      </c>
      <c r="V80" s="283"/>
    </row>
    <row r="81" spans="2:12">
      <c r="B81" s="305" t="s">
        <v>92</v>
      </c>
      <c r="C81" s="265">
        <f>Participaciones!K7</f>
        <v>0</v>
      </c>
      <c r="D81" s="265">
        <v>0</v>
      </c>
      <c r="E81" s="265">
        <f t="shared" si="14"/>
        <v>0</v>
      </c>
      <c r="H81" s="265">
        <v>0</v>
      </c>
      <c r="I81" s="265">
        <f t="shared" si="15"/>
        <v>0</v>
      </c>
      <c r="J81" s="265">
        <f t="shared" si="16"/>
        <v>0</v>
      </c>
      <c r="K81" s="265">
        <f t="shared" si="17"/>
        <v>0</v>
      </c>
    </row>
    <row r="82" spans="2:12">
      <c r="B82" s="305" t="s">
        <v>94</v>
      </c>
      <c r="C82" s="265">
        <f>Participaciones!K8</f>
        <v>0</v>
      </c>
      <c r="D82" s="265">
        <v>0</v>
      </c>
      <c r="E82" s="265">
        <f t="shared" si="14"/>
        <v>0</v>
      </c>
      <c r="H82" s="265">
        <v>82150.45</v>
      </c>
      <c r="I82" s="265">
        <f t="shared" si="15"/>
        <v>-82150.45</v>
      </c>
      <c r="J82" s="265">
        <f t="shared" si="16"/>
        <v>-41075.224999999999</v>
      </c>
      <c r="K82" s="265">
        <f t="shared" si="17"/>
        <v>-41075.224999999999</v>
      </c>
    </row>
    <row r="83" spans="2:12">
      <c r="B83" s="305" t="s">
        <v>95</v>
      </c>
      <c r="C83" s="265">
        <f>Participaciones!K11-C84</f>
        <v>-94162.889999999898</v>
      </c>
      <c r="D83" s="265">
        <f>'ESF - ERI'!W55</f>
        <v>-488265</v>
      </c>
      <c r="E83" s="265">
        <f t="shared" si="14"/>
        <v>394102.1100000001</v>
      </c>
      <c r="H83" s="265">
        <f>129138.35-489726.7199375</f>
        <v>-360588.36993749999</v>
      </c>
      <c r="I83" s="265">
        <f t="shared" si="15"/>
        <v>-127676.63006250001</v>
      </c>
      <c r="J83" s="265">
        <f t="shared" si="16"/>
        <v>-63838.315031250007</v>
      </c>
      <c r="K83" s="265">
        <f t="shared" si="17"/>
        <v>-63838.315031250007</v>
      </c>
    </row>
    <row r="84" spans="2:12">
      <c r="B84" s="305" t="s">
        <v>358</v>
      </c>
      <c r="C84" s="315">
        <f>'Planilla final'!F76</f>
        <v>0</v>
      </c>
      <c r="D84" s="315">
        <f>'ESF - ERI'!W56</f>
        <v>-493384</v>
      </c>
      <c r="E84" s="315">
        <f t="shared" si="14"/>
        <v>493384</v>
      </c>
      <c r="F84" s="315"/>
      <c r="G84" s="315"/>
      <c r="H84" s="315">
        <v>-209826.66</v>
      </c>
      <c r="I84" s="315">
        <f t="shared" si="15"/>
        <v>-283557.33999999997</v>
      </c>
      <c r="J84" s="265">
        <f t="shared" si="16"/>
        <v>-141778.66999999998</v>
      </c>
      <c r="K84" s="265">
        <f t="shared" si="17"/>
        <v>-141778.66999999998</v>
      </c>
    </row>
    <row r="86" spans="2:12">
      <c r="B86" s="307" t="s">
        <v>359</v>
      </c>
      <c r="C86" s="306">
        <f>SUM(C77:C85)</f>
        <v>-43647.889999999898</v>
      </c>
      <c r="D86" s="306">
        <f>SUM(D77:D85)</f>
        <v>-931134</v>
      </c>
      <c r="E86" s="306">
        <f>C86-D86</f>
        <v>887486.1100000001</v>
      </c>
      <c r="F86" s="306"/>
      <c r="G86" s="306"/>
      <c r="H86" s="306">
        <f>SUM(H77:H85)</f>
        <v>-437749.57993749995</v>
      </c>
      <c r="I86" s="306">
        <f>SUM(I77:I84)</f>
        <v>-493384.42006249999</v>
      </c>
      <c r="J86" s="306"/>
      <c r="K86" s="306"/>
      <c r="L86" s="306"/>
    </row>
    <row r="87" spans="2:12">
      <c r="B87" s="305" t="s">
        <v>366</v>
      </c>
      <c r="C87" s="321">
        <f>-C78</f>
        <v>-49015</v>
      </c>
      <c r="D87" s="321">
        <f>-D78</f>
        <v>-49015</v>
      </c>
      <c r="E87" s="321">
        <f>C87-D87</f>
        <v>0</v>
      </c>
      <c r="F87" s="321"/>
      <c r="G87" s="321"/>
      <c r="H87" s="321">
        <f>-H78</f>
        <v>-49015</v>
      </c>
      <c r="J87" s="306"/>
      <c r="K87" s="306"/>
      <c r="L87" s="306"/>
    </row>
    <row r="88" spans="2:12">
      <c r="C88" s="306"/>
      <c r="D88" s="306"/>
      <c r="E88" s="306"/>
      <c r="F88" s="306"/>
      <c r="G88" s="306"/>
      <c r="H88" s="306"/>
      <c r="J88" s="306"/>
      <c r="K88" s="306"/>
      <c r="L88" s="306"/>
    </row>
    <row r="89" spans="2:12">
      <c r="B89" s="307" t="s">
        <v>367</v>
      </c>
      <c r="C89" s="306">
        <f>SUM(C85:C87)</f>
        <v>-92662.889999999898</v>
      </c>
      <c r="D89" s="306">
        <f>SUM(D85:D87)</f>
        <v>-980149</v>
      </c>
      <c r="E89" s="306">
        <f>SUM(E79:E86)</f>
        <v>1774972.2200000002</v>
      </c>
      <c r="F89" s="306"/>
      <c r="G89" s="306"/>
      <c r="H89" s="306">
        <f>SUM(H85:H87)</f>
        <v>-486764.57993749995</v>
      </c>
      <c r="I89" s="265">
        <f>+D89-H89</f>
        <v>-493384.42006250005</v>
      </c>
      <c r="J89" s="306"/>
      <c r="K89" s="306"/>
      <c r="L89" s="306"/>
    </row>
    <row r="90" spans="2:12">
      <c r="B90" s="317" t="s">
        <v>360</v>
      </c>
      <c r="C90" s="306">
        <f>+(C89)*$F$76</f>
        <v>0</v>
      </c>
      <c r="D90" s="306">
        <f>+(D89)*$J$76</f>
        <v>-490074.5</v>
      </c>
      <c r="E90" s="306">
        <f>C90-D90</f>
        <v>490074.5</v>
      </c>
      <c r="F90" s="306"/>
      <c r="G90" s="306"/>
      <c r="H90" s="306">
        <f>+(H89)*$J$76</f>
        <v>-243382.28996874997</v>
      </c>
      <c r="I90" s="306">
        <f>+D90-H90</f>
        <v>-246692.21003125003</v>
      </c>
      <c r="J90" s="306"/>
      <c r="K90" s="306"/>
      <c r="L90" s="306"/>
    </row>
    <row r="91" spans="2:12">
      <c r="B91" s="317" t="s">
        <v>361</v>
      </c>
      <c r="C91" s="306">
        <f>+C89*$G$76</f>
        <v>0</v>
      </c>
      <c r="D91" s="306">
        <f>+D89*$K$76</f>
        <v>-490074.5</v>
      </c>
      <c r="E91" s="306">
        <f>C91-D91</f>
        <v>490074.5</v>
      </c>
      <c r="F91" s="306"/>
      <c r="G91" s="306"/>
      <c r="H91" s="306">
        <f>+H89*$K$76</f>
        <v>-243382.28996874997</v>
      </c>
      <c r="I91" s="306">
        <f>+D91-H91</f>
        <v>-246692.21003125003</v>
      </c>
    </row>
    <row r="92" spans="2:12">
      <c r="B92" s="317" t="s">
        <v>259</v>
      </c>
      <c r="C92" s="306">
        <f>SUM(C90:C91)</f>
        <v>0</v>
      </c>
      <c r="D92" s="306">
        <f>SUM(D90:D91)</f>
        <v>-980149</v>
      </c>
      <c r="E92" s="306">
        <f>C92-D92</f>
        <v>980149</v>
      </c>
      <c r="F92" s="306"/>
      <c r="G92" s="306"/>
      <c r="H92" s="306">
        <f>SUM(H90:H91)</f>
        <v>-486764.57993749995</v>
      </c>
      <c r="I92" s="306">
        <f>+D92-H92</f>
        <v>-493384.42006250005</v>
      </c>
    </row>
    <row r="93" spans="2:12">
      <c r="B93" s="317"/>
      <c r="C93" s="265">
        <f>C89-C92</f>
        <v>-92662.889999999898</v>
      </c>
      <c r="D93" s="265">
        <f>D89-D92</f>
        <v>0</v>
      </c>
      <c r="E93" s="306">
        <f>C93-D93</f>
        <v>-92662.889999999898</v>
      </c>
      <c r="H93" s="265">
        <f>H89-H92</f>
        <v>0</v>
      </c>
      <c r="I93" s="306"/>
    </row>
    <row r="94" spans="2:12">
      <c r="B94" s="317"/>
      <c r="C94" s="265"/>
      <c r="E94" s="306"/>
      <c r="I94" s="306"/>
    </row>
    <row r="95" spans="2:12">
      <c r="F95" s="306" t="s">
        <v>352</v>
      </c>
      <c r="G95" s="306" t="s">
        <v>353</v>
      </c>
      <c r="J95" s="306" t="s">
        <v>352</v>
      </c>
      <c r="K95" s="306" t="s">
        <v>353</v>
      </c>
    </row>
    <row r="96" spans="2:12">
      <c r="B96" s="307" t="s">
        <v>371</v>
      </c>
      <c r="C96" s="308" t="s">
        <v>389</v>
      </c>
      <c r="D96" s="308" t="s">
        <v>355</v>
      </c>
      <c r="E96" s="308" t="s">
        <v>5</v>
      </c>
      <c r="F96" s="308"/>
      <c r="G96" s="308"/>
      <c r="H96" s="308" t="s">
        <v>356</v>
      </c>
      <c r="I96" s="308" t="s">
        <v>5</v>
      </c>
      <c r="J96" s="309">
        <f>+R98</f>
        <v>0.75</v>
      </c>
      <c r="K96" s="310">
        <f>+R99</f>
        <v>0.25</v>
      </c>
      <c r="L96" s="308"/>
    </row>
    <row r="97" spans="2:22">
      <c r="B97" s="305" t="s">
        <v>87</v>
      </c>
      <c r="C97" s="265">
        <f>Participaciones!M3</f>
        <v>1000</v>
      </c>
      <c r="D97" s="265">
        <v>1000</v>
      </c>
      <c r="E97" s="265">
        <f t="shared" ref="E97:E104" si="18">C97-D97</f>
        <v>0</v>
      </c>
      <c r="H97" s="265">
        <v>1000</v>
      </c>
      <c r="I97" s="265">
        <f t="shared" ref="I97:I104" si="19">+D97-H97</f>
        <v>0</v>
      </c>
      <c r="J97" s="265">
        <f t="shared" ref="J97:J104" si="20">+I97*$J$96</f>
        <v>0</v>
      </c>
      <c r="K97" s="265">
        <f t="shared" ref="K97:K104" si="21">+I97*$K$96</f>
        <v>0</v>
      </c>
      <c r="Q97" s="1067">
        <v>2017</v>
      </c>
      <c r="R97" s="1067"/>
      <c r="S97" s="1067">
        <v>2016</v>
      </c>
      <c r="T97" s="1067"/>
      <c r="U97" s="1067" t="s">
        <v>5</v>
      </c>
      <c r="V97" s="1067"/>
    </row>
    <row r="98" spans="2:22">
      <c r="B98" s="305" t="s">
        <v>88</v>
      </c>
      <c r="C98" s="265">
        <f>Participaciones!M4</f>
        <v>330450</v>
      </c>
      <c r="D98" s="265">
        <v>330450</v>
      </c>
      <c r="E98" s="265">
        <f t="shared" si="18"/>
        <v>0</v>
      </c>
      <c r="H98" s="265">
        <v>330450</v>
      </c>
      <c r="I98" s="265">
        <f t="shared" si="19"/>
        <v>0</v>
      </c>
      <c r="J98" s="265">
        <f t="shared" si="20"/>
        <v>0</v>
      </c>
      <c r="K98" s="265">
        <f t="shared" si="21"/>
        <v>0</v>
      </c>
      <c r="N98" s="265" t="s">
        <v>293</v>
      </c>
      <c r="Q98" s="275">
        <v>750</v>
      </c>
      <c r="R98" s="276">
        <f>+Q98/$Q$100</f>
        <v>0.75</v>
      </c>
      <c r="S98" s="275">
        <v>750</v>
      </c>
      <c r="T98" s="276">
        <f>+S98/$S$100</f>
        <v>0.75</v>
      </c>
      <c r="U98" s="275">
        <f>+Q98-S98</f>
        <v>0</v>
      </c>
      <c r="V98" s="276">
        <f>+R98-T98</f>
        <v>0</v>
      </c>
    </row>
    <row r="99" spans="2:22">
      <c r="B99" s="305" t="s">
        <v>90</v>
      </c>
      <c r="C99" s="265">
        <f>Participaciones!M5</f>
        <v>0</v>
      </c>
      <c r="D99" s="265">
        <v>109633</v>
      </c>
      <c r="E99" s="265">
        <f t="shared" si="18"/>
        <v>-109633</v>
      </c>
      <c r="H99" s="265">
        <v>109633.48</v>
      </c>
      <c r="I99" s="265">
        <f t="shared" si="19"/>
        <v>-0.47999999999592546</v>
      </c>
      <c r="J99" s="265">
        <f t="shared" si="20"/>
        <v>-0.3599999999969441</v>
      </c>
      <c r="K99" s="265">
        <f t="shared" si="21"/>
        <v>-0.11999999999898137</v>
      </c>
      <c r="N99" s="265" t="s">
        <v>296</v>
      </c>
      <c r="Q99" s="280">
        <v>250</v>
      </c>
      <c r="R99" s="276">
        <f>+Q99/$Q$100</f>
        <v>0.25</v>
      </c>
      <c r="S99" s="280">
        <v>250</v>
      </c>
      <c r="T99" s="276">
        <f>+S99/$S$100</f>
        <v>0.25</v>
      </c>
      <c r="U99" s="275">
        <f>+Q99-S99</f>
        <v>0</v>
      </c>
      <c r="V99" s="276">
        <f>+R99-T99</f>
        <v>0</v>
      </c>
    </row>
    <row r="100" spans="2:22">
      <c r="B100" s="305" t="s">
        <v>91</v>
      </c>
      <c r="C100" s="265">
        <f>Participaciones!M6</f>
        <v>0</v>
      </c>
      <c r="D100" s="265">
        <v>0</v>
      </c>
      <c r="E100" s="265">
        <f t="shared" si="18"/>
        <v>0</v>
      </c>
      <c r="H100" s="265">
        <v>0</v>
      </c>
      <c r="I100" s="265">
        <f t="shared" si="19"/>
        <v>0</v>
      </c>
      <c r="J100" s="265">
        <f t="shared" si="20"/>
        <v>0</v>
      </c>
      <c r="K100" s="265">
        <f t="shared" si="21"/>
        <v>0</v>
      </c>
      <c r="Q100" s="275">
        <f>SUM(Q98:Q99)</f>
        <v>1000</v>
      </c>
      <c r="R100" s="283"/>
      <c r="S100" s="275">
        <f>SUM(S98:S99)</f>
        <v>1000</v>
      </c>
      <c r="T100" s="283"/>
      <c r="U100" s="275">
        <f>SUM(U98:U99)</f>
        <v>0</v>
      </c>
      <c r="V100" s="283"/>
    </row>
    <row r="101" spans="2:22">
      <c r="B101" s="305" t="s">
        <v>92</v>
      </c>
      <c r="C101" s="265">
        <f>Participaciones!M7</f>
        <v>109633</v>
      </c>
      <c r="D101" s="265">
        <v>0</v>
      </c>
      <c r="E101" s="265">
        <f t="shared" si="18"/>
        <v>109633</v>
      </c>
      <c r="H101" s="265">
        <v>0</v>
      </c>
      <c r="I101" s="265">
        <f t="shared" si="19"/>
        <v>0</v>
      </c>
      <c r="J101" s="265">
        <f t="shared" si="20"/>
        <v>0</v>
      </c>
      <c r="K101" s="265">
        <f t="shared" si="21"/>
        <v>0</v>
      </c>
    </row>
    <row r="102" spans="2:22">
      <c r="B102" s="305" t="s">
        <v>94</v>
      </c>
      <c r="C102" s="265">
        <f>Participaciones!M8</f>
        <v>0</v>
      </c>
      <c r="D102" s="265">
        <v>0</v>
      </c>
      <c r="E102" s="265">
        <f t="shared" si="18"/>
        <v>0</v>
      </c>
      <c r="H102" s="265">
        <v>0</v>
      </c>
      <c r="I102" s="265">
        <f t="shared" si="19"/>
        <v>0</v>
      </c>
      <c r="J102" s="265">
        <f t="shared" si="20"/>
        <v>0</v>
      </c>
      <c r="K102" s="265">
        <f t="shared" si="21"/>
        <v>0</v>
      </c>
    </row>
    <row r="103" spans="2:22">
      <c r="B103" s="305" t="s">
        <v>95</v>
      </c>
      <c r="C103" s="325">
        <f>Participaciones!M11</f>
        <v>-94319</v>
      </c>
      <c r="D103" s="265">
        <f>'ESF - ERI'!X55</f>
        <v>-53896</v>
      </c>
      <c r="E103" s="265">
        <f t="shared" si="18"/>
        <v>-40423</v>
      </c>
      <c r="H103" s="265">
        <f>-26948.34-13474.17</f>
        <v>-40422.51</v>
      </c>
      <c r="I103" s="265">
        <f t="shared" si="19"/>
        <v>-13473.489999999998</v>
      </c>
      <c r="J103" s="265">
        <f t="shared" si="20"/>
        <v>-10105.117499999998</v>
      </c>
      <c r="K103" s="265">
        <f t="shared" si="21"/>
        <v>-3368.3724999999995</v>
      </c>
    </row>
    <row r="104" spans="2:22">
      <c r="B104" s="305" t="s">
        <v>358</v>
      </c>
      <c r="C104" s="315">
        <f>'Planilla final'!G76</f>
        <v>331439.17</v>
      </c>
      <c r="D104" s="315">
        <f>'ESF - ERI'!X56</f>
        <v>-13474</v>
      </c>
      <c r="E104" s="315">
        <f t="shared" si="18"/>
        <v>344913.17</v>
      </c>
      <c r="F104" s="315"/>
      <c r="G104" s="315"/>
      <c r="H104" s="315">
        <v>-13474</v>
      </c>
      <c r="I104" s="315">
        <f t="shared" si="19"/>
        <v>0</v>
      </c>
      <c r="J104" s="265">
        <f t="shared" si="20"/>
        <v>0</v>
      </c>
      <c r="K104" s="265">
        <f t="shared" si="21"/>
        <v>0</v>
      </c>
    </row>
    <row r="106" spans="2:22">
      <c r="B106" s="307" t="s">
        <v>359</v>
      </c>
      <c r="C106" s="306">
        <f>SUM(C97:C105)</f>
        <v>678203.16999999993</v>
      </c>
      <c r="D106" s="306">
        <f>SUM(D97:D105)</f>
        <v>373713</v>
      </c>
      <c r="E106" s="306">
        <f>C106-D106</f>
        <v>304490.16999999993</v>
      </c>
      <c r="F106" s="306"/>
      <c r="G106" s="306"/>
      <c r="H106" s="306">
        <f>SUM(H97:H105)</f>
        <v>387186.97</v>
      </c>
      <c r="I106" s="306">
        <f>SUM(I97:I104)</f>
        <v>-13473.969999999994</v>
      </c>
      <c r="J106" s="306"/>
      <c r="K106" s="306"/>
      <c r="L106" s="306"/>
    </row>
    <row r="107" spans="2:22">
      <c r="B107" s="305" t="s">
        <v>366</v>
      </c>
      <c r="C107" s="321">
        <f>-C98</f>
        <v>-330450</v>
      </c>
      <c r="D107" s="321">
        <f>-D98</f>
        <v>-330450</v>
      </c>
      <c r="E107" s="321">
        <f>C107-D107</f>
        <v>0</v>
      </c>
      <c r="F107" s="321"/>
      <c r="G107" s="321"/>
      <c r="H107" s="321">
        <f>-H98</f>
        <v>-330450</v>
      </c>
      <c r="J107" s="306"/>
      <c r="K107" s="306"/>
      <c r="L107" s="306"/>
    </row>
    <row r="108" spans="2:22">
      <c r="C108" s="306"/>
      <c r="D108" s="306"/>
      <c r="E108" s="306"/>
      <c r="F108" s="306"/>
      <c r="G108" s="306"/>
      <c r="H108" s="306"/>
      <c r="J108" s="306"/>
      <c r="K108" s="306"/>
      <c r="L108" s="306"/>
    </row>
    <row r="109" spans="2:22">
      <c r="B109" s="307" t="s">
        <v>367</v>
      </c>
      <c r="C109" s="306">
        <f>SUM(C105:C107)</f>
        <v>347753.16999999993</v>
      </c>
      <c r="D109" s="306">
        <f>SUM(D105:D107)</f>
        <v>43263</v>
      </c>
      <c r="E109" s="306">
        <f>SUM(E98:E105)</f>
        <v>304490.17</v>
      </c>
      <c r="F109" s="306"/>
      <c r="G109" s="306"/>
      <c r="H109" s="306">
        <f>SUM(H105:H107)</f>
        <v>56736.969999999972</v>
      </c>
      <c r="I109" s="265">
        <f>+D109-H109</f>
        <v>-13473.969999999972</v>
      </c>
      <c r="J109" s="306"/>
      <c r="K109" s="306"/>
      <c r="L109" s="306"/>
    </row>
    <row r="110" spans="2:22">
      <c r="B110" s="317" t="s">
        <v>360</v>
      </c>
      <c r="C110" s="306">
        <f>+(C109)*$J$96</f>
        <v>260814.87749999994</v>
      </c>
      <c r="D110" s="306">
        <f>+(D109)*$J$96</f>
        <v>32447.25</v>
      </c>
      <c r="E110" s="306">
        <f>C110-D110</f>
        <v>228367.62749999994</v>
      </c>
      <c r="F110" s="306"/>
      <c r="G110" s="306"/>
      <c r="H110" s="306">
        <f>+(H109)*$J$96</f>
        <v>42552.727499999979</v>
      </c>
      <c r="I110" s="306">
        <f>+D110-H110</f>
        <v>-10105.477499999979</v>
      </c>
      <c r="J110" s="306"/>
      <c r="K110" s="306"/>
      <c r="L110" s="306"/>
    </row>
    <row r="111" spans="2:22">
      <c r="B111" s="317" t="s">
        <v>361</v>
      </c>
      <c r="C111" s="306">
        <f>+C109*$K$96</f>
        <v>86938.292499999981</v>
      </c>
      <c r="D111" s="306">
        <f>+D109*$K$96</f>
        <v>10815.75</v>
      </c>
      <c r="E111" s="306">
        <f>C111-D111</f>
        <v>76122.542499999981</v>
      </c>
      <c r="F111" s="306"/>
      <c r="G111" s="306"/>
      <c r="H111" s="306">
        <f>+H109*$K$96</f>
        <v>14184.242499999993</v>
      </c>
      <c r="I111" s="306">
        <f>+D111-H111</f>
        <v>-3368.492499999993</v>
      </c>
    </row>
    <row r="112" spans="2:22">
      <c r="B112" s="317" t="s">
        <v>259</v>
      </c>
      <c r="C112" s="306">
        <f>SUM(C110:C111)</f>
        <v>347753.16999999993</v>
      </c>
      <c r="D112" s="306">
        <f>SUM(D110:D111)</f>
        <v>43263</v>
      </c>
      <c r="E112" s="306">
        <f>C112-D112</f>
        <v>304490.16999999993</v>
      </c>
      <c r="F112" s="306"/>
      <c r="G112" s="306"/>
      <c r="H112" s="306">
        <f>SUM(H110:H111)</f>
        <v>56736.969999999972</v>
      </c>
      <c r="I112" s="306">
        <f>+D112-H112</f>
        <v>-13473.969999999972</v>
      </c>
    </row>
    <row r="113" spans="2:22">
      <c r="B113" s="317"/>
      <c r="C113" s="265">
        <f>C109-C112</f>
        <v>0</v>
      </c>
      <c r="D113" s="265">
        <f>D109-D112</f>
        <v>0</v>
      </c>
      <c r="E113" s="306">
        <f>C113-D113</f>
        <v>0</v>
      </c>
      <c r="H113" s="265">
        <f>H109-H112</f>
        <v>0</v>
      </c>
    </row>
    <row r="114" spans="2:22">
      <c r="B114" s="317"/>
      <c r="C114" s="317"/>
    </row>
    <row r="115" spans="2:22">
      <c r="F115" s="306" t="s">
        <v>352</v>
      </c>
      <c r="G115" s="306" t="s">
        <v>353</v>
      </c>
      <c r="J115" s="306" t="s">
        <v>352</v>
      </c>
      <c r="K115" s="306" t="s">
        <v>353</v>
      </c>
    </row>
    <row r="116" spans="2:22">
      <c r="B116" s="307" t="s">
        <v>372</v>
      </c>
      <c r="C116" s="308" t="s">
        <v>389</v>
      </c>
      <c r="D116" s="308" t="s">
        <v>355</v>
      </c>
      <c r="E116" s="308" t="s">
        <v>5</v>
      </c>
      <c r="F116" s="308"/>
      <c r="G116" s="308"/>
      <c r="H116" s="308" t="s">
        <v>356</v>
      </c>
      <c r="I116" s="308" t="s">
        <v>5</v>
      </c>
      <c r="J116" s="309">
        <f>+R118</f>
        <v>0.92800000000000005</v>
      </c>
      <c r="K116" s="310">
        <f>+R119</f>
        <v>7.1999999999999995E-2</v>
      </c>
      <c r="L116" s="308"/>
    </row>
    <row r="117" spans="2:22">
      <c r="B117" s="305" t="s">
        <v>87</v>
      </c>
      <c r="C117" s="265">
        <v>5000</v>
      </c>
      <c r="D117" s="265">
        <v>5000</v>
      </c>
      <c r="E117" s="265">
        <f t="shared" ref="E117:E124" si="22">C117-D117</f>
        <v>0</v>
      </c>
      <c r="H117" s="265">
        <v>5000</v>
      </c>
      <c r="I117" s="265">
        <f t="shared" ref="I117:I124" si="23">+D117-H117</f>
        <v>0</v>
      </c>
      <c r="J117" s="265">
        <f t="shared" ref="J117:J124" si="24">+I117*$J$116</f>
        <v>0</v>
      </c>
      <c r="K117" s="265">
        <f t="shared" ref="K117:K124" si="25">+I117*$K$116</f>
        <v>0</v>
      </c>
      <c r="Q117" s="1067">
        <v>2017</v>
      </c>
      <c r="R117" s="1067"/>
      <c r="S117" s="1067">
        <v>2016</v>
      </c>
      <c r="T117" s="1067"/>
      <c r="U117" s="1067" t="s">
        <v>5</v>
      </c>
      <c r="V117" s="1067"/>
    </row>
    <row r="118" spans="2:22">
      <c r="B118" s="305" t="s">
        <v>88</v>
      </c>
      <c r="C118" s="265">
        <v>0</v>
      </c>
      <c r="D118" s="265">
        <v>0</v>
      </c>
      <c r="E118" s="265">
        <f t="shared" si="22"/>
        <v>0</v>
      </c>
      <c r="H118" s="265">
        <v>0</v>
      </c>
      <c r="I118" s="265">
        <f t="shared" si="23"/>
        <v>0</v>
      </c>
      <c r="J118" s="265">
        <f t="shared" si="24"/>
        <v>0</v>
      </c>
      <c r="K118" s="265">
        <f t="shared" si="25"/>
        <v>0</v>
      </c>
      <c r="N118" s="265" t="s">
        <v>293</v>
      </c>
      <c r="Q118" s="275">
        <v>4640</v>
      </c>
      <c r="R118" s="276">
        <f>+Q118/$Q$120</f>
        <v>0.92800000000000005</v>
      </c>
      <c r="S118" s="275">
        <v>4640</v>
      </c>
      <c r="T118" s="276">
        <f>+S118/$S$120</f>
        <v>0.92800000000000005</v>
      </c>
      <c r="U118" s="275">
        <f>+Q118-S118</f>
        <v>0</v>
      </c>
      <c r="V118" s="276">
        <f>+R118-T118</f>
        <v>0</v>
      </c>
    </row>
    <row r="119" spans="2:22">
      <c r="B119" s="305" t="s">
        <v>90</v>
      </c>
      <c r="C119" s="265">
        <v>0</v>
      </c>
      <c r="D119" s="265">
        <v>0</v>
      </c>
      <c r="E119" s="265">
        <f t="shared" si="22"/>
        <v>0</v>
      </c>
      <c r="H119" s="265">
        <v>0</v>
      </c>
      <c r="I119" s="265">
        <f t="shared" si="23"/>
        <v>0</v>
      </c>
      <c r="J119" s="265">
        <f t="shared" si="24"/>
        <v>0</v>
      </c>
      <c r="K119" s="265">
        <f t="shared" si="25"/>
        <v>0</v>
      </c>
      <c r="N119" s="265" t="s">
        <v>296</v>
      </c>
      <c r="Q119" s="280">
        <v>360</v>
      </c>
      <c r="R119" s="276">
        <f>+Q119/$Q$120</f>
        <v>7.1999999999999995E-2</v>
      </c>
      <c r="S119" s="280">
        <v>360</v>
      </c>
      <c r="T119" s="276">
        <f>+S119/$S$120</f>
        <v>7.1999999999999995E-2</v>
      </c>
      <c r="U119" s="275">
        <f>+Q119-S119</f>
        <v>0</v>
      </c>
      <c r="V119" s="276">
        <f>+R119-T119</f>
        <v>0</v>
      </c>
    </row>
    <row r="120" spans="2:22">
      <c r="B120" s="305" t="s">
        <v>91</v>
      </c>
      <c r="C120" s="265">
        <v>0</v>
      </c>
      <c r="D120" s="265">
        <v>0</v>
      </c>
      <c r="E120" s="265">
        <f t="shared" si="22"/>
        <v>0</v>
      </c>
      <c r="H120" s="265">
        <v>0</v>
      </c>
      <c r="I120" s="265">
        <f t="shared" si="23"/>
        <v>0</v>
      </c>
      <c r="J120" s="265">
        <f t="shared" si="24"/>
        <v>0</v>
      </c>
      <c r="K120" s="265">
        <f t="shared" si="25"/>
        <v>0</v>
      </c>
      <c r="Q120" s="275">
        <f>SUM(Q118:Q119)</f>
        <v>5000</v>
      </c>
      <c r="R120" s="283"/>
      <c r="S120" s="275">
        <f>SUM(S118:S119)</f>
        <v>5000</v>
      </c>
      <c r="T120" s="283"/>
      <c r="U120" s="275">
        <f>SUM(U118:U119)</f>
        <v>0</v>
      </c>
      <c r="V120" s="283"/>
    </row>
    <row r="121" spans="2:22">
      <c r="B121" s="305" t="s">
        <v>92</v>
      </c>
      <c r="C121" s="265">
        <v>1226</v>
      </c>
      <c r="D121" s="265">
        <v>1226</v>
      </c>
      <c r="E121" s="265">
        <f t="shared" si="22"/>
        <v>0</v>
      </c>
      <c r="H121" s="265">
        <v>1226.1199999999999</v>
      </c>
      <c r="I121" s="265">
        <f t="shared" si="23"/>
        <v>-0.11999999999989086</v>
      </c>
      <c r="J121" s="265">
        <f t="shared" si="24"/>
        <v>-0.11135999999989872</v>
      </c>
      <c r="K121" s="265">
        <f t="shared" si="25"/>
        <v>-8.6399999999921418E-3</v>
      </c>
    </row>
    <row r="122" spans="2:22">
      <c r="B122" s="305" t="s">
        <v>94</v>
      </c>
      <c r="C122" s="265">
        <v>0</v>
      </c>
      <c r="D122" s="265">
        <v>0</v>
      </c>
      <c r="E122" s="265">
        <f t="shared" si="22"/>
        <v>0</v>
      </c>
      <c r="H122" s="265">
        <v>0</v>
      </c>
      <c r="I122" s="265">
        <f t="shared" si="23"/>
        <v>0</v>
      </c>
      <c r="J122" s="265">
        <f t="shared" si="24"/>
        <v>0</v>
      </c>
      <c r="K122" s="265">
        <f t="shared" si="25"/>
        <v>0</v>
      </c>
    </row>
    <row r="123" spans="2:22">
      <c r="B123" s="305" t="s">
        <v>95</v>
      </c>
      <c r="C123" s="265">
        <v>1763</v>
      </c>
      <c r="D123" s="265">
        <v>1763</v>
      </c>
      <c r="E123" s="265">
        <f t="shared" si="22"/>
        <v>0</v>
      </c>
      <c r="H123" s="265">
        <v>1763</v>
      </c>
      <c r="I123" s="265">
        <f t="shared" si="23"/>
        <v>0</v>
      </c>
      <c r="J123" s="265">
        <f t="shared" si="24"/>
        <v>0</v>
      </c>
      <c r="K123" s="265">
        <f t="shared" si="25"/>
        <v>0</v>
      </c>
      <c r="M123" s="320" t="s">
        <v>373</v>
      </c>
    </row>
    <row r="124" spans="2:22">
      <c r="B124" s="305" t="s">
        <v>358</v>
      </c>
      <c r="C124" s="315">
        <v>0</v>
      </c>
      <c r="D124" s="315">
        <v>0</v>
      </c>
      <c r="E124" s="315">
        <f t="shared" si="22"/>
        <v>0</v>
      </c>
      <c r="F124" s="315"/>
      <c r="G124" s="315"/>
      <c r="H124" s="315">
        <v>0</v>
      </c>
      <c r="I124" s="315">
        <f t="shared" si="23"/>
        <v>0</v>
      </c>
      <c r="J124" s="265">
        <f t="shared" si="24"/>
        <v>0</v>
      </c>
      <c r="K124" s="265">
        <f t="shared" si="25"/>
        <v>0</v>
      </c>
    </row>
    <row r="126" spans="2:22">
      <c r="B126" s="307" t="s">
        <v>374</v>
      </c>
      <c r="C126" s="306">
        <f>SUM(C117:C125)</f>
        <v>7989</v>
      </c>
      <c r="D126" s="306">
        <f>SUM(D117:D125)</f>
        <v>7989</v>
      </c>
      <c r="E126" s="306">
        <f>SUM(E115:E122)</f>
        <v>0</v>
      </c>
      <c r="F126" s="306"/>
      <c r="G126" s="306"/>
      <c r="H126" s="306">
        <f>SUM(H117:H125)</f>
        <v>7989.12</v>
      </c>
      <c r="I126" s="306">
        <f>SUM(I117:I124)</f>
        <v>-0.11999999999989086</v>
      </c>
      <c r="J126" s="306"/>
      <c r="K126" s="306"/>
      <c r="L126" s="306"/>
    </row>
    <row r="127" spans="2:22">
      <c r="B127" s="317" t="s">
        <v>360</v>
      </c>
      <c r="C127" s="306">
        <f>+(C126)*$F$116</f>
        <v>0</v>
      </c>
      <c r="D127" s="306">
        <f>+(D126)*$J$116</f>
        <v>7413.7920000000004</v>
      </c>
      <c r="E127" s="306">
        <f>C127-D127</f>
        <v>-7413.7920000000004</v>
      </c>
      <c r="F127" s="306"/>
      <c r="G127" s="306"/>
      <c r="H127" s="306">
        <f>+(H126)*$J$116</f>
        <v>7413.9033600000002</v>
      </c>
      <c r="I127" s="306">
        <f>+D127-H127</f>
        <v>-0.11135999999987689</v>
      </c>
      <c r="J127" s="306"/>
      <c r="K127" s="306"/>
      <c r="L127" s="306"/>
    </row>
    <row r="128" spans="2:22">
      <c r="B128" s="317" t="s">
        <v>361</v>
      </c>
      <c r="C128" s="306">
        <f>+C126*$G$116</f>
        <v>0</v>
      </c>
      <c r="D128" s="306">
        <f>+D126*$K$116</f>
        <v>575.20799999999997</v>
      </c>
      <c r="E128" s="306">
        <f>C128-D128</f>
        <v>-575.20799999999997</v>
      </c>
      <c r="F128" s="306"/>
      <c r="G128" s="306"/>
      <c r="H128" s="306">
        <f>+H126*$K$116</f>
        <v>575.21663999999998</v>
      </c>
      <c r="I128" s="306">
        <f>+D128-H128</f>
        <v>-8.6400000000139698E-3</v>
      </c>
      <c r="J128" s="306"/>
      <c r="K128" s="306"/>
      <c r="L128" s="306"/>
    </row>
    <row r="129" spans="2:22">
      <c r="B129" s="317" t="s">
        <v>259</v>
      </c>
      <c r="C129" s="306">
        <f>SUM(C127:C128)</f>
        <v>0</v>
      </c>
      <c r="D129" s="306">
        <f>SUM(D127:D128)</f>
        <v>7989</v>
      </c>
      <c r="E129" s="306">
        <f>C129-D129</f>
        <v>-7989</v>
      </c>
      <c r="F129" s="306"/>
      <c r="G129" s="306"/>
      <c r="H129" s="306">
        <f>SUM(H127:H128)</f>
        <v>7989.12</v>
      </c>
      <c r="I129" s="306">
        <f>+D129-H129</f>
        <v>-0.11999999999989086</v>
      </c>
    </row>
    <row r="130" spans="2:22">
      <c r="B130" s="317"/>
      <c r="C130" s="265">
        <f>C126-C129</f>
        <v>7989</v>
      </c>
      <c r="D130" s="265">
        <f>D126-D129</f>
        <v>0</v>
      </c>
      <c r="E130" s="306">
        <f>C130-D130</f>
        <v>7989</v>
      </c>
      <c r="H130" s="265">
        <f>H126-H129</f>
        <v>0</v>
      </c>
    </row>
    <row r="132" spans="2:22">
      <c r="F132" s="306" t="s">
        <v>352</v>
      </c>
      <c r="G132" s="306" t="s">
        <v>353</v>
      </c>
      <c r="J132" s="306" t="s">
        <v>352</v>
      </c>
      <c r="K132" s="306" t="s">
        <v>353</v>
      </c>
    </row>
    <row r="133" spans="2:22">
      <c r="B133" s="307" t="s">
        <v>375</v>
      </c>
      <c r="C133" s="308" t="s">
        <v>389</v>
      </c>
      <c r="D133" s="308" t="s">
        <v>355</v>
      </c>
      <c r="E133" s="308" t="s">
        <v>5</v>
      </c>
      <c r="F133" s="308"/>
      <c r="G133" s="308"/>
      <c r="H133" s="308" t="s">
        <v>356</v>
      </c>
      <c r="I133" s="308" t="s">
        <v>5</v>
      </c>
      <c r="J133" s="309">
        <f>+R135</f>
        <v>0.6</v>
      </c>
      <c r="K133" s="310">
        <f>+R136</f>
        <v>0.4</v>
      </c>
      <c r="L133" s="308"/>
    </row>
    <row r="134" spans="2:22">
      <c r="B134" s="305" t="s">
        <v>87</v>
      </c>
      <c r="C134" s="265">
        <f>Participaciones!Q3</f>
        <v>10000</v>
      </c>
      <c r="D134" s="265">
        <v>10000</v>
      </c>
      <c r="E134" s="265">
        <f t="shared" ref="E134:E141" si="26">C134-D134</f>
        <v>0</v>
      </c>
      <c r="H134" s="265">
        <v>10000</v>
      </c>
      <c r="I134" s="265">
        <f t="shared" ref="I134:I141" si="27">+D134-H134</f>
        <v>0</v>
      </c>
      <c r="J134" s="265">
        <f t="shared" ref="J134:J141" si="28">+I134*$J$133</f>
        <v>0</v>
      </c>
      <c r="K134" s="265">
        <f t="shared" ref="K134:K141" si="29">+I134*$K$133</f>
        <v>0</v>
      </c>
      <c r="Q134" s="1067">
        <v>2017</v>
      </c>
      <c r="R134" s="1067"/>
      <c r="S134" s="1067">
        <v>2016</v>
      </c>
      <c r="T134" s="1067"/>
      <c r="U134" s="1067" t="s">
        <v>5</v>
      </c>
      <c r="V134" s="1067"/>
    </row>
    <row r="135" spans="2:22">
      <c r="B135" s="305" t="s">
        <v>88</v>
      </c>
      <c r="C135" s="265">
        <f>Participaciones!Q4</f>
        <v>0</v>
      </c>
      <c r="D135" s="265">
        <v>0</v>
      </c>
      <c r="E135" s="265">
        <f t="shared" si="26"/>
        <v>0</v>
      </c>
      <c r="H135" s="265">
        <v>0</v>
      </c>
      <c r="I135" s="265">
        <f t="shared" si="27"/>
        <v>0</v>
      </c>
      <c r="J135" s="265">
        <f t="shared" si="28"/>
        <v>0</v>
      </c>
      <c r="K135" s="265">
        <f t="shared" si="29"/>
        <v>0</v>
      </c>
      <c r="N135" s="265" t="s">
        <v>293</v>
      </c>
      <c r="Q135" s="275">
        <v>6000</v>
      </c>
      <c r="R135" s="276">
        <f>+Q135/$Q$137</f>
        <v>0.6</v>
      </c>
      <c r="S135" s="275">
        <v>6000</v>
      </c>
      <c r="T135" s="276">
        <f>+S135/$S$137</f>
        <v>0.6</v>
      </c>
      <c r="U135" s="275">
        <f>+Q135-S135</f>
        <v>0</v>
      </c>
      <c r="V135" s="276">
        <f>+R135-T135</f>
        <v>0</v>
      </c>
    </row>
    <row r="136" spans="2:22">
      <c r="B136" s="305" t="s">
        <v>90</v>
      </c>
      <c r="C136" s="265">
        <f>Participaciones!Q5</f>
        <v>0</v>
      </c>
      <c r="D136" s="265">
        <v>0</v>
      </c>
      <c r="E136" s="265">
        <f t="shared" si="26"/>
        <v>0</v>
      </c>
      <c r="H136" s="265">
        <v>0</v>
      </c>
      <c r="I136" s="265">
        <f t="shared" si="27"/>
        <v>0</v>
      </c>
      <c r="J136" s="265">
        <f t="shared" si="28"/>
        <v>0</v>
      </c>
      <c r="K136" s="265">
        <f t="shared" si="29"/>
        <v>0</v>
      </c>
      <c r="N136" s="265" t="s">
        <v>296</v>
      </c>
      <c r="Q136" s="280">
        <v>4000</v>
      </c>
      <c r="R136" s="276">
        <f>+Q136/$Q$137</f>
        <v>0.4</v>
      </c>
      <c r="S136" s="280">
        <v>4000</v>
      </c>
      <c r="T136" s="276">
        <f>+S136/$S$137</f>
        <v>0.4</v>
      </c>
      <c r="U136" s="275">
        <f>+Q136-S136</f>
        <v>0</v>
      </c>
      <c r="V136" s="276">
        <f>+R136-T136</f>
        <v>0</v>
      </c>
    </row>
    <row r="137" spans="2:22">
      <c r="B137" s="305" t="s">
        <v>91</v>
      </c>
      <c r="C137" s="265">
        <f>Participaciones!Q6</f>
        <v>0</v>
      </c>
      <c r="D137" s="265">
        <v>0</v>
      </c>
      <c r="E137" s="265">
        <f t="shared" si="26"/>
        <v>0</v>
      </c>
      <c r="H137" s="265">
        <v>0</v>
      </c>
      <c r="I137" s="265">
        <f t="shared" si="27"/>
        <v>0</v>
      </c>
      <c r="J137" s="265">
        <f t="shared" si="28"/>
        <v>0</v>
      </c>
      <c r="K137" s="265">
        <f t="shared" si="29"/>
        <v>0</v>
      </c>
      <c r="Q137" s="275">
        <f>SUM(Q135:Q136)</f>
        <v>10000</v>
      </c>
      <c r="R137" s="283"/>
      <c r="S137" s="275">
        <f>SUM(S135:S136)</f>
        <v>10000</v>
      </c>
      <c r="T137" s="283"/>
      <c r="U137" s="275">
        <f>SUM(U135:U136)</f>
        <v>0</v>
      </c>
      <c r="V137" s="283"/>
    </row>
    <row r="138" spans="2:22">
      <c r="B138" s="305" t="s">
        <v>92</v>
      </c>
      <c r="C138" s="265">
        <f>Participaciones!Q7</f>
        <v>0</v>
      </c>
      <c r="D138" s="265">
        <v>0</v>
      </c>
      <c r="E138" s="265">
        <f t="shared" si="26"/>
        <v>0</v>
      </c>
      <c r="H138" s="265">
        <v>0</v>
      </c>
      <c r="I138" s="265">
        <f t="shared" si="27"/>
        <v>0</v>
      </c>
      <c r="J138" s="265">
        <f t="shared" si="28"/>
        <v>0</v>
      </c>
      <c r="K138" s="265">
        <f t="shared" si="29"/>
        <v>0</v>
      </c>
    </row>
    <row r="139" spans="2:22">
      <c r="B139" s="305" t="s">
        <v>94</v>
      </c>
      <c r="C139" s="265">
        <f>Participaciones!Q8</f>
        <v>0</v>
      </c>
      <c r="D139" s="265">
        <v>0</v>
      </c>
      <c r="E139" s="265">
        <f t="shared" si="26"/>
        <v>0</v>
      </c>
      <c r="H139" s="265">
        <v>0</v>
      </c>
      <c r="I139" s="265">
        <f t="shared" si="27"/>
        <v>0</v>
      </c>
      <c r="J139" s="265">
        <f t="shared" si="28"/>
        <v>0</v>
      </c>
      <c r="K139" s="265">
        <f t="shared" si="29"/>
        <v>0</v>
      </c>
    </row>
    <row r="140" spans="2:22">
      <c r="B140" s="305" t="s">
        <v>95</v>
      </c>
      <c r="C140" s="265">
        <f>Participaciones!Q11</f>
        <v>0</v>
      </c>
      <c r="D140" s="265">
        <v>0</v>
      </c>
      <c r="E140" s="265">
        <f t="shared" si="26"/>
        <v>0</v>
      </c>
      <c r="H140" s="265">
        <v>0</v>
      </c>
      <c r="I140" s="265">
        <f t="shared" si="27"/>
        <v>0</v>
      </c>
      <c r="J140" s="265">
        <f t="shared" si="28"/>
        <v>0</v>
      </c>
      <c r="K140" s="265">
        <f t="shared" si="29"/>
        <v>0</v>
      </c>
    </row>
    <row r="141" spans="2:22">
      <c r="B141" s="305" t="s">
        <v>358</v>
      </c>
      <c r="C141" s="315">
        <f>'Planilla final'!I76</f>
        <v>0</v>
      </c>
      <c r="D141" s="315">
        <v>0</v>
      </c>
      <c r="E141" s="315">
        <f t="shared" si="26"/>
        <v>0</v>
      </c>
      <c r="F141" s="315"/>
      <c r="G141" s="315"/>
      <c r="H141" s="315">
        <v>0</v>
      </c>
      <c r="I141" s="315">
        <f t="shared" si="27"/>
        <v>0</v>
      </c>
      <c r="J141" s="265">
        <f t="shared" si="28"/>
        <v>0</v>
      </c>
      <c r="K141" s="265">
        <f t="shared" si="29"/>
        <v>0</v>
      </c>
    </row>
    <row r="143" spans="2:22">
      <c r="B143" s="307" t="s">
        <v>374</v>
      </c>
      <c r="C143" s="306">
        <f>SUM(C134:C142)</f>
        <v>10000</v>
      </c>
      <c r="D143" s="306">
        <f>SUM(D134:D142)</f>
        <v>10000</v>
      </c>
      <c r="E143" s="306">
        <f>SUM(E132:E139)</f>
        <v>0</v>
      </c>
      <c r="F143" s="306"/>
      <c r="G143" s="306"/>
      <c r="H143" s="306">
        <f>SUM(H134:H142)</f>
        <v>10000</v>
      </c>
      <c r="I143" s="306">
        <f>SUM(I134:I141)</f>
        <v>0</v>
      </c>
      <c r="J143" s="306"/>
      <c r="K143" s="306"/>
      <c r="L143" s="306"/>
    </row>
    <row r="144" spans="2:22">
      <c r="B144" s="317" t="s">
        <v>360</v>
      </c>
      <c r="C144" s="306">
        <f>+(C143)*$F$133</f>
        <v>0</v>
      </c>
      <c r="D144" s="306">
        <f>+(D143)*$J$133</f>
        <v>6000</v>
      </c>
      <c r="E144" s="306">
        <f>C144-D144</f>
        <v>-6000</v>
      </c>
      <c r="F144" s="306"/>
      <c r="G144" s="306"/>
      <c r="H144" s="306">
        <f>+(H143)*$J$133</f>
        <v>6000</v>
      </c>
      <c r="I144" s="306">
        <f>+D144-H144</f>
        <v>0</v>
      </c>
      <c r="J144" s="306"/>
      <c r="K144" s="306"/>
      <c r="L144" s="306"/>
    </row>
    <row r="145" spans="2:22">
      <c r="B145" s="317" t="s">
        <v>361</v>
      </c>
      <c r="C145" s="306">
        <f>+C143*$G$133</f>
        <v>0</v>
      </c>
      <c r="D145" s="306">
        <f>+D143*$K$133</f>
        <v>4000</v>
      </c>
      <c r="E145" s="306">
        <f>C145-D145</f>
        <v>-4000</v>
      </c>
      <c r="F145" s="306"/>
      <c r="G145" s="306"/>
      <c r="H145" s="306">
        <f>+H143*$K$133</f>
        <v>4000</v>
      </c>
      <c r="I145" s="306">
        <f>+D145-H145</f>
        <v>0</v>
      </c>
    </row>
    <row r="146" spans="2:22">
      <c r="B146" s="317" t="s">
        <v>259</v>
      </c>
      <c r="C146" s="306">
        <f>SUM(C144:C145)</f>
        <v>0</v>
      </c>
      <c r="D146" s="306">
        <f>SUM(D144:D145)</f>
        <v>10000</v>
      </c>
      <c r="E146" s="306">
        <f>C146-D146</f>
        <v>-10000</v>
      </c>
      <c r="F146" s="306"/>
      <c r="G146" s="306"/>
      <c r="H146" s="306">
        <f>SUM(H144:H145)</f>
        <v>10000</v>
      </c>
      <c r="I146" s="306">
        <f>+D146-H146</f>
        <v>0</v>
      </c>
    </row>
    <row r="147" spans="2:22">
      <c r="B147" s="317"/>
      <c r="C147" s="265">
        <f>C143-C146</f>
        <v>10000</v>
      </c>
      <c r="D147" s="265">
        <f>D143-D146</f>
        <v>0</v>
      </c>
      <c r="E147" s="306">
        <f>C147-D147</f>
        <v>10000</v>
      </c>
      <c r="H147" s="265">
        <f>H143-H146</f>
        <v>0</v>
      </c>
    </row>
    <row r="148" spans="2:22">
      <c r="B148" s="317"/>
      <c r="C148" s="317"/>
      <c r="D148" s="306"/>
      <c r="E148" s="306"/>
      <c r="F148" s="306"/>
      <c r="G148" s="306"/>
      <c r="H148" s="306"/>
      <c r="I148" s="306"/>
    </row>
    <row r="149" spans="2:22">
      <c r="F149" s="306" t="s">
        <v>352</v>
      </c>
      <c r="G149" s="306" t="s">
        <v>353</v>
      </c>
      <c r="J149" s="306" t="s">
        <v>352</v>
      </c>
      <c r="K149" s="306" t="s">
        <v>353</v>
      </c>
    </row>
    <row r="150" spans="2:22">
      <c r="B150" s="307" t="s">
        <v>376</v>
      </c>
      <c r="C150" s="308" t="s">
        <v>389</v>
      </c>
      <c r="D150" s="308" t="s">
        <v>355</v>
      </c>
      <c r="E150" s="308" t="s">
        <v>5</v>
      </c>
      <c r="F150" s="308"/>
      <c r="G150" s="308"/>
      <c r="H150" s="308" t="s">
        <v>356</v>
      </c>
      <c r="I150" s="308" t="s">
        <v>5</v>
      </c>
      <c r="J150" s="309">
        <f>+R152</f>
        <v>0.99995000000000001</v>
      </c>
      <c r="K150" s="310">
        <f>+R153</f>
        <v>5.0000000000000002E-5</v>
      </c>
      <c r="L150" s="308"/>
    </row>
    <row r="151" spans="2:22">
      <c r="B151" s="305" t="s">
        <v>87</v>
      </c>
      <c r="C151" s="265">
        <f>Participaciones!S3</f>
        <v>800</v>
      </c>
      <c r="D151" s="265">
        <v>800</v>
      </c>
      <c r="E151" s="265">
        <f t="shared" ref="E151:E158" si="30">C151-D151</f>
        <v>0</v>
      </c>
      <c r="H151" s="265">
        <v>800</v>
      </c>
      <c r="I151" s="265">
        <f t="shared" ref="I151:I158" si="31">+D151-H151</f>
        <v>0</v>
      </c>
      <c r="J151" s="265">
        <f t="shared" ref="J151:J158" si="32">+I151*$J$150</f>
        <v>0</v>
      </c>
      <c r="K151" s="265">
        <f t="shared" ref="K151:K158" si="33">+I151*$K$150</f>
        <v>0</v>
      </c>
      <c r="Q151" s="1067">
        <v>2017</v>
      </c>
      <c r="R151" s="1067"/>
      <c r="S151" s="1067">
        <v>2016</v>
      </c>
      <c r="T151" s="1067"/>
      <c r="U151" s="1067" t="s">
        <v>5</v>
      </c>
      <c r="V151" s="1067"/>
    </row>
    <row r="152" spans="2:22">
      <c r="B152" s="305" t="s">
        <v>88</v>
      </c>
      <c r="C152" s="265">
        <f>Participaciones!S4</f>
        <v>0</v>
      </c>
      <c r="D152" s="265">
        <v>0</v>
      </c>
      <c r="E152" s="265">
        <f t="shared" si="30"/>
        <v>0</v>
      </c>
      <c r="H152" s="265">
        <v>0</v>
      </c>
      <c r="I152" s="265">
        <f t="shared" si="31"/>
        <v>0</v>
      </c>
      <c r="J152" s="265">
        <f t="shared" si="32"/>
        <v>0</v>
      </c>
      <c r="K152" s="265">
        <f t="shared" si="33"/>
        <v>0</v>
      </c>
      <c r="N152" s="265" t="s">
        <v>293</v>
      </c>
      <c r="Q152" s="275">
        <v>799.96</v>
      </c>
      <c r="R152" s="276">
        <f>+Q152/$Q$154</f>
        <v>0.99995000000000001</v>
      </c>
      <c r="S152" s="275">
        <v>799.96</v>
      </c>
      <c r="T152" s="276">
        <f>+S152/$S$154</f>
        <v>0.99995000000000001</v>
      </c>
      <c r="U152" s="275">
        <f>+Q152-S152</f>
        <v>0</v>
      </c>
      <c r="V152" s="276">
        <f>+R152-T152</f>
        <v>0</v>
      </c>
    </row>
    <row r="153" spans="2:22">
      <c r="B153" s="305" t="s">
        <v>90</v>
      </c>
      <c r="C153" s="265">
        <f>Participaciones!S5</f>
        <v>0</v>
      </c>
      <c r="D153" s="265">
        <v>0</v>
      </c>
      <c r="E153" s="265">
        <f t="shared" si="30"/>
        <v>0</v>
      </c>
      <c r="H153" s="265">
        <v>0</v>
      </c>
      <c r="I153" s="265">
        <f t="shared" si="31"/>
        <v>0</v>
      </c>
      <c r="J153" s="265">
        <f t="shared" si="32"/>
        <v>0</v>
      </c>
      <c r="K153" s="265">
        <f t="shared" si="33"/>
        <v>0</v>
      </c>
      <c r="N153" s="265" t="s">
        <v>296</v>
      </c>
      <c r="Q153" s="280">
        <v>0.04</v>
      </c>
      <c r="R153" s="276">
        <f>+Q153/$Q$154</f>
        <v>5.0000000000000002E-5</v>
      </c>
      <c r="S153" s="280">
        <v>0.04</v>
      </c>
      <c r="T153" s="276">
        <f>+S153/$S$154</f>
        <v>5.0000000000000002E-5</v>
      </c>
      <c r="U153" s="275">
        <f>+Q153-S153</f>
        <v>0</v>
      </c>
      <c r="V153" s="276">
        <f>+R153-T153</f>
        <v>0</v>
      </c>
    </row>
    <row r="154" spans="2:22">
      <c r="B154" s="305" t="s">
        <v>91</v>
      </c>
      <c r="C154" s="265">
        <f>Participaciones!S6</f>
        <v>0</v>
      </c>
      <c r="D154" s="265">
        <v>0</v>
      </c>
      <c r="E154" s="265">
        <f t="shared" si="30"/>
        <v>0</v>
      </c>
      <c r="H154" s="265">
        <v>0</v>
      </c>
      <c r="I154" s="265">
        <f t="shared" si="31"/>
        <v>0</v>
      </c>
      <c r="J154" s="265">
        <f t="shared" si="32"/>
        <v>0</v>
      </c>
      <c r="K154" s="265">
        <f t="shared" si="33"/>
        <v>0</v>
      </c>
      <c r="Q154" s="275">
        <f>SUM(Q152:Q153)</f>
        <v>800</v>
      </c>
      <c r="R154" s="283"/>
      <c r="S154" s="275">
        <f>SUM(S152:S153)</f>
        <v>800</v>
      </c>
      <c r="T154" s="283"/>
      <c r="U154" s="275">
        <f>SUM(U152:U153)</f>
        <v>0</v>
      </c>
      <c r="V154" s="283"/>
    </row>
    <row r="155" spans="2:22">
      <c r="B155" s="305" t="s">
        <v>92</v>
      </c>
      <c r="C155" s="265">
        <f>Participaciones!S7</f>
        <v>340.17</v>
      </c>
      <c r="D155" s="265">
        <v>340.17</v>
      </c>
      <c r="E155" s="265">
        <f t="shared" si="30"/>
        <v>0</v>
      </c>
      <c r="H155" s="265">
        <v>340.17</v>
      </c>
      <c r="I155" s="265">
        <f t="shared" si="31"/>
        <v>0</v>
      </c>
      <c r="J155" s="265">
        <f t="shared" si="32"/>
        <v>0</v>
      </c>
      <c r="K155" s="265">
        <f t="shared" si="33"/>
        <v>0</v>
      </c>
    </row>
    <row r="156" spans="2:22">
      <c r="B156" s="305" t="s">
        <v>94</v>
      </c>
      <c r="C156" s="265">
        <f>Participaciones!S8</f>
        <v>0</v>
      </c>
      <c r="D156" s="265">
        <v>0</v>
      </c>
      <c r="E156" s="265">
        <f t="shared" si="30"/>
        <v>0</v>
      </c>
      <c r="H156" s="265">
        <v>0</v>
      </c>
      <c r="I156" s="265">
        <f t="shared" si="31"/>
        <v>0</v>
      </c>
      <c r="J156" s="265">
        <f t="shared" si="32"/>
        <v>0</v>
      </c>
      <c r="K156" s="265">
        <f t="shared" si="33"/>
        <v>0</v>
      </c>
    </row>
    <row r="157" spans="2:22">
      <c r="B157" s="305" t="s">
        <v>95</v>
      </c>
      <c r="C157" s="265">
        <f>Participaciones!S10</f>
        <v>0</v>
      </c>
      <c r="D157" s="265">
        <v>0</v>
      </c>
      <c r="E157" s="265">
        <f t="shared" si="30"/>
        <v>0</v>
      </c>
      <c r="H157" s="265">
        <v>0</v>
      </c>
      <c r="I157" s="265">
        <f t="shared" si="31"/>
        <v>0</v>
      </c>
      <c r="J157" s="265">
        <f t="shared" si="32"/>
        <v>0</v>
      </c>
      <c r="K157" s="265">
        <f t="shared" si="33"/>
        <v>0</v>
      </c>
    </row>
    <row r="158" spans="2:22">
      <c r="B158" s="305" t="s">
        <v>358</v>
      </c>
      <c r="C158" s="315">
        <f>'Planilla final'!J76</f>
        <v>-40586.1</v>
      </c>
      <c r="D158" s="315">
        <v>0</v>
      </c>
      <c r="E158" s="315">
        <f t="shared" si="30"/>
        <v>-40586.1</v>
      </c>
      <c r="F158" s="315"/>
      <c r="G158" s="315"/>
      <c r="H158" s="315">
        <v>0</v>
      </c>
      <c r="I158" s="315">
        <f t="shared" si="31"/>
        <v>0</v>
      </c>
      <c r="J158" s="265">
        <f t="shared" si="32"/>
        <v>0</v>
      </c>
      <c r="K158" s="265">
        <f t="shared" si="33"/>
        <v>0</v>
      </c>
    </row>
    <row r="160" spans="2:22">
      <c r="B160" s="307" t="s">
        <v>374</v>
      </c>
      <c r="C160" s="306">
        <f>SUM(C151:C159)</f>
        <v>-39445.93</v>
      </c>
      <c r="D160" s="306">
        <f>SUM(D151:D159)</f>
        <v>1140.17</v>
      </c>
      <c r="E160" s="306">
        <f>SUM(E149:E156)</f>
        <v>0</v>
      </c>
      <c r="F160" s="306"/>
      <c r="G160" s="306"/>
      <c r="H160" s="306">
        <f>SUM(H151:H159)</f>
        <v>1140.17</v>
      </c>
      <c r="I160" s="306">
        <f>SUM(I151:I158)</f>
        <v>0</v>
      </c>
      <c r="J160" s="306"/>
      <c r="K160" s="306"/>
      <c r="L160" s="306"/>
    </row>
    <row r="161" spans="2:22">
      <c r="B161" s="317" t="s">
        <v>360</v>
      </c>
      <c r="C161" s="306">
        <f>+(C160)*$F$150</f>
        <v>0</v>
      </c>
      <c r="D161" s="306">
        <f>+(D160)*$J$150</f>
        <v>1140.1129915000001</v>
      </c>
      <c r="E161" s="306">
        <f>C161-D161</f>
        <v>-1140.1129915000001</v>
      </c>
      <c r="F161" s="306"/>
      <c r="G161" s="306"/>
      <c r="H161" s="306">
        <f>+(H160)*$J$150</f>
        <v>1140.1129915000001</v>
      </c>
      <c r="I161" s="306"/>
      <c r="J161" s="306"/>
      <c r="K161" s="306"/>
      <c r="L161" s="306"/>
    </row>
    <row r="162" spans="2:22">
      <c r="B162" s="317" t="s">
        <v>361</v>
      </c>
      <c r="C162" s="322">
        <f>+C160*$G$150</f>
        <v>0</v>
      </c>
      <c r="D162" s="322">
        <f>+D160*$K$150</f>
        <v>5.7008500000000004E-2</v>
      </c>
      <c r="E162" s="306">
        <f>C162-D162</f>
        <v>-5.7008500000000004E-2</v>
      </c>
      <c r="F162" s="322"/>
      <c r="G162" s="322"/>
      <c r="H162" s="322">
        <f>+H160*$K$150</f>
        <v>5.7008500000000004E-2</v>
      </c>
      <c r="I162" s="306">
        <f>+D162-H162</f>
        <v>0</v>
      </c>
    </row>
    <row r="163" spans="2:22">
      <c r="B163" s="317" t="s">
        <v>259</v>
      </c>
      <c r="C163" s="306">
        <f>SUM(C161:C162)</f>
        <v>0</v>
      </c>
      <c r="D163" s="306">
        <f>SUM(D161:D162)</f>
        <v>1140.17</v>
      </c>
      <c r="E163" s="306">
        <f>C163-D163</f>
        <v>-1140.17</v>
      </c>
      <c r="F163" s="306"/>
      <c r="G163" s="306"/>
      <c r="H163" s="306">
        <f>SUM(H161:H162)</f>
        <v>1140.17</v>
      </c>
      <c r="I163" s="306">
        <f>+D163-H163</f>
        <v>0</v>
      </c>
    </row>
    <row r="164" spans="2:22">
      <c r="B164" s="317"/>
      <c r="C164" s="265">
        <f>C160-C163</f>
        <v>-39445.93</v>
      </c>
      <c r="D164" s="265">
        <f>D160-D163</f>
        <v>0</v>
      </c>
      <c r="E164" s="306">
        <f>C164-D164</f>
        <v>-39445.93</v>
      </c>
      <c r="H164" s="265">
        <f>H160-H163</f>
        <v>0</v>
      </c>
    </row>
    <row r="165" spans="2:22">
      <c r="B165" s="317"/>
      <c r="C165" s="265"/>
      <c r="E165" s="306"/>
    </row>
    <row r="166" spans="2:22">
      <c r="F166" s="306" t="s">
        <v>352</v>
      </c>
      <c r="G166" s="306" t="s">
        <v>353</v>
      </c>
      <c r="J166" s="306" t="s">
        <v>352</v>
      </c>
      <c r="K166" s="306" t="s">
        <v>353</v>
      </c>
    </row>
    <row r="167" spans="2:22">
      <c r="B167" s="307" t="s">
        <v>377</v>
      </c>
      <c r="C167" s="308" t="s">
        <v>389</v>
      </c>
      <c r="D167" s="308" t="s">
        <v>355</v>
      </c>
      <c r="E167" s="308" t="s">
        <v>5</v>
      </c>
      <c r="F167" s="308"/>
      <c r="G167" s="308"/>
      <c r="H167" s="308" t="s">
        <v>356</v>
      </c>
      <c r="I167" s="308" t="s">
        <v>5</v>
      </c>
      <c r="J167" s="309">
        <f>+R169</f>
        <v>0.92500000000000004</v>
      </c>
      <c r="K167" s="310">
        <f>+R170</f>
        <v>7.4999999999999997E-2</v>
      </c>
      <c r="L167" s="308"/>
    </row>
    <row r="168" spans="2:22">
      <c r="B168" s="305" t="s">
        <v>87</v>
      </c>
      <c r="C168" s="265">
        <f>Participaciones!U3</f>
        <v>800</v>
      </c>
      <c r="D168" s="265">
        <v>800</v>
      </c>
      <c r="E168" s="265">
        <f t="shared" ref="E168:E175" si="34">C168-D168</f>
        <v>0</v>
      </c>
      <c r="H168" s="265">
        <v>800</v>
      </c>
      <c r="I168" s="265">
        <f t="shared" ref="I168:I175" si="35">+D168-H168</f>
        <v>0</v>
      </c>
      <c r="J168" s="265">
        <f t="shared" ref="J168:J175" si="36">+I168*$J$167</f>
        <v>0</v>
      </c>
      <c r="K168" s="265">
        <f t="shared" ref="K168:K175" si="37">+I168*$K$167</f>
        <v>0</v>
      </c>
      <c r="Q168" s="1067">
        <v>2017</v>
      </c>
      <c r="R168" s="1067"/>
      <c r="S168" s="1067">
        <v>2016</v>
      </c>
      <c r="T168" s="1067"/>
      <c r="U168" s="1067" t="s">
        <v>5</v>
      </c>
      <c r="V168" s="1067"/>
    </row>
    <row r="169" spans="2:22">
      <c r="B169" s="305" t="s">
        <v>88</v>
      </c>
      <c r="C169" s="265">
        <f>Participaciones!U4</f>
        <v>1833418</v>
      </c>
      <c r="D169" s="265">
        <f>'ESF - ERI'!AB49</f>
        <v>1833417</v>
      </c>
      <c r="E169" s="265">
        <f t="shared" si="34"/>
        <v>1</v>
      </c>
      <c r="H169" s="265">
        <v>0</v>
      </c>
      <c r="I169" s="265">
        <f t="shared" si="35"/>
        <v>1833417</v>
      </c>
      <c r="J169" s="265">
        <f t="shared" si="36"/>
        <v>1695910.7250000001</v>
      </c>
      <c r="K169" s="265">
        <f t="shared" si="37"/>
        <v>137506.27499999999</v>
      </c>
      <c r="N169" s="265" t="s">
        <v>293</v>
      </c>
      <c r="Q169" s="275">
        <v>740</v>
      </c>
      <c r="R169" s="276">
        <f>+Q169/$Q$171</f>
        <v>0.92500000000000004</v>
      </c>
      <c r="S169" s="275">
        <v>740</v>
      </c>
      <c r="T169" s="276">
        <f>+S169/$S$171</f>
        <v>0.92500000000000004</v>
      </c>
      <c r="U169" s="275">
        <f>+Q169-S169</f>
        <v>0</v>
      </c>
      <c r="V169" s="276">
        <f>+R169-T169</f>
        <v>0</v>
      </c>
    </row>
    <row r="170" spans="2:22">
      <c r="B170" s="305" t="s">
        <v>90</v>
      </c>
      <c r="C170" s="265">
        <f>Participaciones!U5</f>
        <v>0</v>
      </c>
      <c r="D170" s="265">
        <v>0</v>
      </c>
      <c r="E170" s="265">
        <f t="shared" si="34"/>
        <v>0</v>
      </c>
      <c r="H170" s="265">
        <v>0</v>
      </c>
      <c r="I170" s="265">
        <f t="shared" si="35"/>
        <v>0</v>
      </c>
      <c r="J170" s="265">
        <f t="shared" si="36"/>
        <v>0</v>
      </c>
      <c r="K170" s="265">
        <f t="shared" si="37"/>
        <v>0</v>
      </c>
      <c r="N170" s="265" t="s">
        <v>296</v>
      </c>
      <c r="Q170" s="280">
        <v>60</v>
      </c>
      <c r="R170" s="276">
        <f>+Q170/$Q$171</f>
        <v>7.4999999999999997E-2</v>
      </c>
      <c r="S170" s="280">
        <v>60</v>
      </c>
      <c r="T170" s="276">
        <f>+S170/$S$171</f>
        <v>7.4999999999999997E-2</v>
      </c>
      <c r="U170" s="275">
        <f>+Q170-S170</f>
        <v>0</v>
      </c>
      <c r="V170" s="276">
        <f>+R170-T170</f>
        <v>0</v>
      </c>
    </row>
    <row r="171" spans="2:22">
      <c r="B171" s="305" t="s">
        <v>91</v>
      </c>
      <c r="C171" s="265">
        <f>Participaciones!U6</f>
        <v>0</v>
      </c>
      <c r="D171" s="265">
        <v>0</v>
      </c>
      <c r="E171" s="265">
        <f t="shared" si="34"/>
        <v>0</v>
      </c>
      <c r="H171" s="265">
        <v>0</v>
      </c>
      <c r="I171" s="265">
        <f t="shared" si="35"/>
        <v>0</v>
      </c>
      <c r="J171" s="265">
        <f t="shared" si="36"/>
        <v>0</v>
      </c>
      <c r="K171" s="265">
        <f t="shared" si="37"/>
        <v>0</v>
      </c>
      <c r="Q171" s="275">
        <f>SUM(Q169:Q170)</f>
        <v>800</v>
      </c>
      <c r="R171" s="283"/>
      <c r="S171" s="275">
        <f>SUM(S169:S170)</f>
        <v>800</v>
      </c>
      <c r="T171" s="283"/>
      <c r="U171" s="275">
        <f>SUM(U169:U170)</f>
        <v>0</v>
      </c>
      <c r="V171" s="283"/>
    </row>
    <row r="172" spans="2:22">
      <c r="B172" s="305" t="s">
        <v>92</v>
      </c>
      <c r="C172" s="265">
        <f>Participaciones!U7</f>
        <v>0</v>
      </c>
      <c r="D172" s="265">
        <v>0</v>
      </c>
      <c r="E172" s="265">
        <f t="shared" si="34"/>
        <v>0</v>
      </c>
      <c r="H172" s="265">
        <v>0</v>
      </c>
      <c r="I172" s="265">
        <f t="shared" si="35"/>
        <v>0</v>
      </c>
      <c r="J172" s="265">
        <f t="shared" si="36"/>
        <v>0</v>
      </c>
      <c r="K172" s="265">
        <f t="shared" si="37"/>
        <v>0</v>
      </c>
    </row>
    <row r="173" spans="2:22">
      <c r="B173" s="305" t="s">
        <v>94</v>
      </c>
      <c r="C173" s="265">
        <f>Participaciones!U8</f>
        <v>0</v>
      </c>
      <c r="D173" s="265">
        <v>0</v>
      </c>
      <c r="E173" s="265">
        <f t="shared" si="34"/>
        <v>0</v>
      </c>
      <c r="H173" s="265">
        <v>0</v>
      </c>
      <c r="I173" s="265">
        <f t="shared" si="35"/>
        <v>0</v>
      </c>
      <c r="J173" s="265">
        <f t="shared" si="36"/>
        <v>0</v>
      </c>
      <c r="K173" s="265">
        <f t="shared" si="37"/>
        <v>0</v>
      </c>
    </row>
    <row r="174" spans="2:22">
      <c r="B174" s="305" t="s">
        <v>95</v>
      </c>
      <c r="C174" s="325">
        <f>Participaciones!U11-C175</f>
        <v>-475384</v>
      </c>
      <c r="D174" s="265">
        <f>'ESF - ERI'!AB55</f>
        <v>-15422</v>
      </c>
      <c r="E174" s="265">
        <f t="shared" si="34"/>
        <v>-459962</v>
      </c>
      <c r="H174" s="265">
        <v>0</v>
      </c>
      <c r="I174" s="265">
        <f t="shared" si="35"/>
        <v>-15422</v>
      </c>
      <c r="J174" s="265">
        <f t="shared" si="36"/>
        <v>-14265.35</v>
      </c>
      <c r="K174" s="265">
        <f t="shared" si="37"/>
        <v>-1156.6499999999999</v>
      </c>
    </row>
    <row r="175" spans="2:22">
      <c r="B175" s="305" t="s">
        <v>358</v>
      </c>
      <c r="C175" s="315">
        <f>'Planilla final'!K76</f>
        <v>150815</v>
      </c>
      <c r="D175" s="315">
        <f>'ESF - ERI'!AB56</f>
        <v>-344143</v>
      </c>
      <c r="E175" s="315">
        <f t="shared" si="34"/>
        <v>494958</v>
      </c>
      <c r="F175" s="315"/>
      <c r="G175" s="315"/>
      <c r="H175" s="315">
        <v>-15422</v>
      </c>
      <c r="I175" s="315">
        <f t="shared" si="35"/>
        <v>-328721</v>
      </c>
      <c r="J175" s="265">
        <f t="shared" si="36"/>
        <v>-304066.92499999999</v>
      </c>
      <c r="K175" s="265">
        <f t="shared" si="37"/>
        <v>-24654.075000000001</v>
      </c>
    </row>
    <row r="177" spans="2:20">
      <c r="B177" s="307" t="s">
        <v>374</v>
      </c>
      <c r="C177" s="306">
        <f>SUM(C168:C176)</f>
        <v>1509649</v>
      </c>
      <c r="D177" s="306">
        <f>SUM(D168:D176)</f>
        <v>1474652</v>
      </c>
      <c r="E177" s="306">
        <f>SUM(E166:E173)</f>
        <v>1</v>
      </c>
      <c r="F177" s="306"/>
      <c r="G177" s="306"/>
      <c r="H177" s="306">
        <f>SUM(H168:H176)</f>
        <v>-14622</v>
      </c>
      <c r="I177" s="306">
        <f>SUM(I168:I175)</f>
        <v>1489274</v>
      </c>
      <c r="J177" s="306"/>
      <c r="K177" s="306"/>
      <c r="L177" s="306"/>
    </row>
    <row r="178" spans="2:20">
      <c r="B178" s="317" t="s">
        <v>360</v>
      </c>
      <c r="C178" s="306">
        <f>+(C177)*$F$167</f>
        <v>0</v>
      </c>
      <c r="D178" s="306">
        <f>+(D177)*$J$167</f>
        <v>1364053.1</v>
      </c>
      <c r="E178" s="306">
        <f>C178-D178</f>
        <v>-1364053.1</v>
      </c>
      <c r="F178" s="306"/>
      <c r="G178" s="306"/>
      <c r="H178" s="306">
        <f>+(H177)*$J$167</f>
        <v>-13525.35</v>
      </c>
      <c r="I178" s="306">
        <f>+D178-H178</f>
        <v>1377578.4500000002</v>
      </c>
      <c r="J178" s="306"/>
      <c r="K178" s="306"/>
      <c r="L178" s="306"/>
    </row>
    <row r="179" spans="2:20">
      <c r="B179" s="317" t="s">
        <v>361</v>
      </c>
      <c r="C179" s="306">
        <f>+C177*$G$167</f>
        <v>0</v>
      </c>
      <c r="D179" s="306">
        <f>+D177*$K$167</f>
        <v>110598.9</v>
      </c>
      <c r="E179" s="306">
        <f>C179-D179</f>
        <v>-110598.9</v>
      </c>
      <c r="F179" s="306"/>
      <c r="G179" s="306"/>
      <c r="H179" s="306">
        <f>+H177*$K$167</f>
        <v>-1096.6499999999999</v>
      </c>
      <c r="I179" s="306">
        <f>+D179-H179</f>
        <v>111695.54999999999</v>
      </c>
    </row>
    <row r="180" spans="2:20">
      <c r="B180" s="317" t="s">
        <v>259</v>
      </c>
      <c r="C180" s="306">
        <f>SUM(C178:C179)</f>
        <v>0</v>
      </c>
      <c r="D180" s="306">
        <f>SUM(D178:D179)</f>
        <v>1474652</v>
      </c>
      <c r="E180" s="306">
        <f>C180-D180</f>
        <v>-1474652</v>
      </c>
      <c r="F180" s="306"/>
      <c r="G180" s="306"/>
      <c r="H180" s="306">
        <f>SUM(H178:H179)</f>
        <v>-14622</v>
      </c>
      <c r="I180" s="306">
        <f>+D180-H180</f>
        <v>1489274</v>
      </c>
    </row>
    <row r="181" spans="2:20">
      <c r="B181" s="317"/>
      <c r="C181" s="265">
        <f>C177-C180</f>
        <v>1509649</v>
      </c>
      <c r="D181" s="265">
        <f>D177-D180</f>
        <v>0</v>
      </c>
      <c r="E181" s="306">
        <f>C181-D181</f>
        <v>1509649</v>
      </c>
      <c r="H181" s="265">
        <f>H177-H180</f>
        <v>0</v>
      </c>
    </row>
    <row r="183" spans="2:20">
      <c r="F183" s="306" t="s">
        <v>352</v>
      </c>
      <c r="G183" s="306" t="s">
        <v>353</v>
      </c>
      <c r="J183" s="306" t="s">
        <v>352</v>
      </c>
      <c r="K183" s="306" t="s">
        <v>353</v>
      </c>
    </row>
    <row r="184" spans="2:20">
      <c r="B184" s="307" t="s">
        <v>378</v>
      </c>
      <c r="C184" s="308" t="s">
        <v>389</v>
      </c>
      <c r="D184" s="308" t="s">
        <v>355</v>
      </c>
      <c r="E184" s="308" t="s">
        <v>5</v>
      </c>
      <c r="F184" s="308"/>
      <c r="G184" s="308"/>
      <c r="H184" s="308" t="s">
        <v>356</v>
      </c>
      <c r="I184" s="308" t="s">
        <v>5</v>
      </c>
      <c r="J184" s="309">
        <f>+R186</f>
        <v>0.98</v>
      </c>
      <c r="K184" s="310">
        <f>+R187</f>
        <v>0.02</v>
      </c>
      <c r="L184" s="308"/>
    </row>
    <row r="185" spans="2:20">
      <c r="B185" s="305" t="s">
        <v>87</v>
      </c>
      <c r="C185" s="265">
        <f>Participaciones!W3</f>
        <v>3661400</v>
      </c>
      <c r="D185" s="265">
        <v>3661400</v>
      </c>
      <c r="E185" s="265">
        <f t="shared" ref="E185:E192" si="38">C185-D185</f>
        <v>0</v>
      </c>
      <c r="H185" s="265">
        <v>3661400</v>
      </c>
      <c r="I185" s="265">
        <f t="shared" ref="I185:I192" si="39">+D185-H185</f>
        <v>0</v>
      </c>
      <c r="J185" s="265">
        <f t="shared" ref="J185:J192" si="40">+I185*$J$184</f>
        <v>0</v>
      </c>
      <c r="K185" s="265">
        <f t="shared" ref="K185:K192" si="41">+I185*$K$184</f>
        <v>0</v>
      </c>
      <c r="Q185" s="1067">
        <v>2017</v>
      </c>
      <c r="R185" s="1067"/>
      <c r="S185" s="1067">
        <v>2016</v>
      </c>
      <c r="T185" s="1067"/>
    </row>
    <row r="186" spans="2:20">
      <c r="B186" s="305" t="s">
        <v>88</v>
      </c>
      <c r="C186" s="265">
        <f>Participaciones!W4</f>
        <v>406800</v>
      </c>
      <c r="D186" s="265">
        <v>406800</v>
      </c>
      <c r="E186" s="265">
        <f t="shared" si="38"/>
        <v>0</v>
      </c>
      <c r="H186" s="265">
        <v>112799</v>
      </c>
      <c r="I186" s="265">
        <f t="shared" si="39"/>
        <v>294001</v>
      </c>
      <c r="J186" s="265">
        <f t="shared" si="40"/>
        <v>288120.98</v>
      </c>
      <c r="K186" s="265">
        <f t="shared" si="41"/>
        <v>5880.02</v>
      </c>
      <c r="N186" s="265" t="s">
        <v>293</v>
      </c>
      <c r="Q186" s="323">
        <v>3588172</v>
      </c>
      <c r="R186" s="276">
        <f>Q186/Q188</f>
        <v>0.98</v>
      </c>
      <c r="S186" s="323">
        <v>3588172</v>
      </c>
      <c r="T186" s="276">
        <f>S186/S188</f>
        <v>0.98</v>
      </c>
    </row>
    <row r="187" spans="2:20">
      <c r="B187" s="305" t="s">
        <v>90</v>
      </c>
      <c r="C187" s="265">
        <f>Participaciones!W5</f>
        <v>104043</v>
      </c>
      <c r="D187" s="265">
        <v>0</v>
      </c>
      <c r="E187" s="265">
        <f t="shared" si="38"/>
        <v>104043</v>
      </c>
      <c r="H187" s="265">
        <v>0</v>
      </c>
      <c r="I187" s="265">
        <f t="shared" si="39"/>
        <v>0</v>
      </c>
      <c r="J187" s="265">
        <f t="shared" si="40"/>
        <v>0</v>
      </c>
      <c r="K187" s="265">
        <f t="shared" si="41"/>
        <v>0</v>
      </c>
      <c r="N187" s="265" t="s">
        <v>296</v>
      </c>
      <c r="Q187" s="316">
        <f>3661400-Q186</f>
        <v>73228</v>
      </c>
      <c r="R187" s="276">
        <f>Q187/Q188</f>
        <v>0.02</v>
      </c>
      <c r="S187" s="316">
        <f>3661400-S186</f>
        <v>73228</v>
      </c>
      <c r="T187" s="276">
        <f>S187/S188</f>
        <v>0.02</v>
      </c>
    </row>
    <row r="188" spans="2:20">
      <c r="B188" s="305" t="s">
        <v>91</v>
      </c>
      <c r="C188" s="265">
        <f>Participaciones!W6</f>
        <v>0</v>
      </c>
      <c r="D188" s="265">
        <v>0</v>
      </c>
      <c r="E188" s="265">
        <f t="shared" si="38"/>
        <v>0</v>
      </c>
      <c r="H188" s="265">
        <v>0</v>
      </c>
      <c r="I188" s="265">
        <f t="shared" si="39"/>
        <v>0</v>
      </c>
      <c r="J188" s="265">
        <f t="shared" si="40"/>
        <v>0</v>
      </c>
      <c r="K188" s="265">
        <f t="shared" si="41"/>
        <v>0</v>
      </c>
      <c r="Q188" s="323">
        <f>SUM(Q186:Q187)</f>
        <v>3661400</v>
      </c>
      <c r="R188" s="283"/>
      <c r="S188" s="323">
        <f>SUM(S186:S187)</f>
        <v>3661400</v>
      </c>
      <c r="T188" s="283"/>
    </row>
    <row r="189" spans="2:20">
      <c r="B189" s="305" t="s">
        <v>92</v>
      </c>
      <c r="C189" s="265">
        <f>Participaciones!W7</f>
        <v>0</v>
      </c>
      <c r="D189" s="265">
        <v>274690</v>
      </c>
      <c r="E189" s="265">
        <f t="shared" si="38"/>
        <v>-274690</v>
      </c>
      <c r="H189" s="265">
        <v>0</v>
      </c>
      <c r="I189" s="265">
        <f t="shared" si="39"/>
        <v>274690</v>
      </c>
      <c r="J189" s="265">
        <f t="shared" si="40"/>
        <v>269196.2</v>
      </c>
      <c r="K189" s="265">
        <f t="shared" si="41"/>
        <v>5493.8</v>
      </c>
    </row>
    <row r="190" spans="2:20">
      <c r="B190" s="305" t="s">
        <v>94</v>
      </c>
      <c r="C190" s="265">
        <f>Participaciones!W8</f>
        <v>202047</v>
      </c>
      <c r="D190" s="265">
        <v>-56932</v>
      </c>
      <c r="E190" s="265">
        <f t="shared" si="38"/>
        <v>258979</v>
      </c>
      <c r="H190" s="265">
        <v>-56932</v>
      </c>
      <c r="I190" s="265">
        <f t="shared" si="39"/>
        <v>0</v>
      </c>
      <c r="J190" s="265">
        <f t="shared" si="40"/>
        <v>0</v>
      </c>
      <c r="K190" s="265">
        <f t="shared" si="41"/>
        <v>0</v>
      </c>
    </row>
    <row r="191" spans="2:20">
      <c r="B191" s="305" t="s">
        <v>95</v>
      </c>
      <c r="C191" s="265">
        <f>Participaciones!W11-C192</f>
        <v>-4128581</v>
      </c>
      <c r="D191" s="265">
        <v>-3886526</v>
      </c>
      <c r="E191" s="265">
        <f t="shared" si="38"/>
        <v>-242055</v>
      </c>
      <c r="H191" s="265">
        <v>-3026105</v>
      </c>
      <c r="I191" s="265">
        <f t="shared" si="39"/>
        <v>-860421</v>
      </c>
      <c r="J191" s="265">
        <f t="shared" si="40"/>
        <v>-843212.58</v>
      </c>
      <c r="K191" s="265">
        <f t="shared" si="41"/>
        <v>-17208.420000000002</v>
      </c>
    </row>
    <row r="192" spans="2:20">
      <c r="B192" s="305" t="s">
        <v>358</v>
      </c>
      <c r="C192" s="315">
        <f>'Planilla final'!L76</f>
        <v>155307</v>
      </c>
      <c r="D192" s="315">
        <v>-502401</v>
      </c>
      <c r="E192" s="315">
        <f t="shared" si="38"/>
        <v>657708</v>
      </c>
      <c r="F192" s="315"/>
      <c r="G192" s="315"/>
      <c r="H192" s="315">
        <v>-494302</v>
      </c>
      <c r="I192" s="315">
        <f t="shared" si="39"/>
        <v>-8099</v>
      </c>
      <c r="J192" s="265">
        <f t="shared" si="40"/>
        <v>-7937.0199999999995</v>
      </c>
      <c r="K192" s="265">
        <f t="shared" si="41"/>
        <v>-161.97999999999999</v>
      </c>
    </row>
    <row r="194" spans="2:18">
      <c r="B194" s="307" t="s">
        <v>374</v>
      </c>
      <c r="C194" s="306">
        <f>SUM(C185:C192)</f>
        <v>401016</v>
      </c>
      <c r="D194" s="306">
        <f>SUM(D185:D192)</f>
        <v>-102969</v>
      </c>
      <c r="E194" s="306">
        <f>SUM(E185:E192)</f>
        <v>503985</v>
      </c>
      <c r="F194" s="306"/>
      <c r="G194" s="306"/>
      <c r="H194" s="306">
        <f>SUM(H185:H193)</f>
        <v>196860</v>
      </c>
      <c r="I194" s="306">
        <f>SUM(I185:I192)</f>
        <v>-299829</v>
      </c>
      <c r="J194" s="306"/>
      <c r="K194" s="306"/>
      <c r="L194" s="306"/>
    </row>
    <row r="195" spans="2:18">
      <c r="B195" s="324" t="s">
        <v>379</v>
      </c>
      <c r="C195" s="315">
        <f>C194-C186</f>
        <v>-5784</v>
      </c>
      <c r="D195" s="315">
        <f>D194-D186</f>
        <v>-509769</v>
      </c>
      <c r="E195" s="315">
        <f>E194-E186</f>
        <v>503985</v>
      </c>
      <c r="F195" s="315"/>
      <c r="G195" s="315"/>
      <c r="H195" s="315">
        <f>H194-H186</f>
        <v>84061</v>
      </c>
      <c r="I195" s="315" t="s">
        <v>380</v>
      </c>
    </row>
    <row r="196" spans="2:18">
      <c r="B196" s="265"/>
      <c r="C196" s="265"/>
    </row>
    <row r="197" spans="2:18">
      <c r="B197" s="317" t="s">
        <v>360</v>
      </c>
      <c r="C197" s="306">
        <f>+(C195)*$F$184</f>
        <v>0</v>
      </c>
      <c r="D197" s="265">
        <f>D195*$J$184</f>
        <v>-499573.62</v>
      </c>
      <c r="E197" s="306">
        <f>C197-D197</f>
        <v>499573.62</v>
      </c>
      <c r="H197" s="265" t="e">
        <f>#REF!</f>
        <v>#REF!</v>
      </c>
      <c r="K197" s="265">
        <f>H195-H198</f>
        <v>82379.78</v>
      </c>
    </row>
    <row r="198" spans="2:18">
      <c r="B198" s="317" t="s">
        <v>361</v>
      </c>
      <c r="C198" s="321">
        <f>+C195*$G$184</f>
        <v>0</v>
      </c>
      <c r="D198" s="315">
        <f>D195*$K$184</f>
        <v>-10195.380000000001</v>
      </c>
      <c r="E198" s="321">
        <f>C198-D198</f>
        <v>10195.380000000001</v>
      </c>
      <c r="F198" s="315"/>
      <c r="G198" s="315"/>
      <c r="H198" s="315">
        <f>H195*$K$184</f>
        <v>1681.22</v>
      </c>
      <c r="I198" s="325">
        <f>H198*2</f>
        <v>3362.44</v>
      </c>
      <c r="K198" s="265" t="e">
        <f>H197-K197</f>
        <v>#REF!</v>
      </c>
      <c r="L198" s="324"/>
    </row>
    <row r="199" spans="2:18">
      <c r="B199" s="317" t="s">
        <v>259</v>
      </c>
      <c r="C199" s="265">
        <f>SUM(C197:C198)</f>
        <v>0</v>
      </c>
      <c r="D199" s="265">
        <f>SUM(D197:D198)</f>
        <v>-509769</v>
      </c>
      <c r="E199" s="306">
        <f>C199-D199</f>
        <v>509769</v>
      </c>
      <c r="H199" s="265" t="e">
        <f>SUM(H197:H198)</f>
        <v>#REF!</v>
      </c>
    </row>
    <row r="200" spans="2:18">
      <c r="B200" s="324" t="s">
        <v>382</v>
      </c>
      <c r="C200" s="315">
        <f>C195</f>
        <v>-5784</v>
      </c>
      <c r="D200" s="315">
        <f>D195</f>
        <v>-509769</v>
      </c>
      <c r="E200" s="321">
        <f>C200-D200</f>
        <v>503985</v>
      </c>
      <c r="F200" s="315"/>
      <c r="G200" s="315"/>
      <c r="H200" s="315">
        <f>H195</f>
        <v>84061</v>
      </c>
    </row>
    <row r="201" spans="2:18">
      <c r="B201" s="265" t="s">
        <v>62</v>
      </c>
      <c r="C201" s="265">
        <f>C199-C200</f>
        <v>5784</v>
      </c>
      <c r="D201" s="265">
        <f>D199-D200</f>
        <v>0</v>
      </c>
      <c r="E201" s="265">
        <f>E199-E200</f>
        <v>5784</v>
      </c>
      <c r="H201" s="265" t="e">
        <f>H199-H200</f>
        <v>#REF!</v>
      </c>
      <c r="I201" s="306" t="s">
        <v>149</v>
      </c>
      <c r="K201" s="305"/>
    </row>
    <row r="204" spans="2:18">
      <c r="F204" s="306" t="s">
        <v>352</v>
      </c>
      <c r="G204" s="306" t="s">
        <v>353</v>
      </c>
      <c r="J204" s="306" t="s">
        <v>352</v>
      </c>
      <c r="K204" s="306" t="s">
        <v>353</v>
      </c>
    </row>
    <row r="205" spans="2:18">
      <c r="B205" s="307" t="s">
        <v>383</v>
      </c>
      <c r="C205" s="308" t="s">
        <v>389</v>
      </c>
      <c r="D205" s="308" t="s">
        <v>355</v>
      </c>
      <c r="E205" s="308" t="s">
        <v>5</v>
      </c>
      <c r="F205" s="308"/>
      <c r="G205" s="308"/>
      <c r="H205" s="308" t="s">
        <v>356</v>
      </c>
      <c r="I205" s="308" t="s">
        <v>5</v>
      </c>
      <c r="J205" s="309">
        <f>+R207</f>
        <v>1</v>
      </c>
      <c r="K205" s="310">
        <f>+R208</f>
        <v>0</v>
      </c>
      <c r="L205" s="308"/>
    </row>
    <row r="206" spans="2:18">
      <c r="B206" s="305" t="s">
        <v>87</v>
      </c>
      <c r="C206" s="265">
        <f>Participaciones!Y3</f>
        <v>10000</v>
      </c>
      <c r="D206" s="265">
        <v>10000</v>
      </c>
      <c r="E206" s="265">
        <f t="shared" ref="E206:E213" si="42">C206-D206</f>
        <v>0</v>
      </c>
      <c r="H206" s="265">
        <v>10000</v>
      </c>
      <c r="I206" s="265">
        <f t="shared" ref="I206:I213" si="43">+D206-H206</f>
        <v>0</v>
      </c>
      <c r="J206" s="265">
        <f t="shared" ref="J206:J213" si="44">+I206*$J$205</f>
        <v>0</v>
      </c>
      <c r="K206" s="265">
        <f t="shared" ref="K206:K213" si="45">+I206*$K$205</f>
        <v>0</v>
      </c>
      <c r="Q206" s="1067">
        <v>2017</v>
      </c>
      <c r="R206" s="1067"/>
    </row>
    <row r="207" spans="2:18">
      <c r="B207" s="305" t="s">
        <v>88</v>
      </c>
      <c r="C207" s="265">
        <f>Participaciones!Y4</f>
        <v>0</v>
      </c>
      <c r="D207" s="265">
        <v>0</v>
      </c>
      <c r="E207" s="265">
        <f t="shared" si="42"/>
        <v>0</v>
      </c>
      <c r="H207" s="265">
        <v>0</v>
      </c>
      <c r="I207" s="265">
        <f t="shared" si="43"/>
        <v>0</v>
      </c>
      <c r="J207" s="265">
        <f t="shared" si="44"/>
        <v>0</v>
      </c>
      <c r="K207" s="265">
        <f t="shared" si="45"/>
        <v>0</v>
      </c>
      <c r="N207" s="265" t="s">
        <v>293</v>
      </c>
      <c r="Q207" s="323">
        <v>10000</v>
      </c>
      <c r="R207" s="276">
        <f>Q207/Q209</f>
        <v>1</v>
      </c>
    </row>
    <row r="208" spans="2:18">
      <c r="B208" s="305" t="s">
        <v>90</v>
      </c>
      <c r="C208" s="265">
        <f>Participaciones!Y5</f>
        <v>0</v>
      </c>
      <c r="D208" s="265">
        <v>0</v>
      </c>
      <c r="E208" s="265">
        <f t="shared" si="42"/>
        <v>0</v>
      </c>
      <c r="H208" s="265">
        <v>0</v>
      </c>
      <c r="I208" s="265">
        <f t="shared" si="43"/>
        <v>0</v>
      </c>
      <c r="J208" s="265">
        <f t="shared" si="44"/>
        <v>0</v>
      </c>
      <c r="K208" s="265">
        <f t="shared" si="45"/>
        <v>0</v>
      </c>
      <c r="N208" s="265" t="s">
        <v>296</v>
      </c>
      <c r="Q208" s="316">
        <v>0</v>
      </c>
      <c r="R208" s="276">
        <f>Q208/Q209</f>
        <v>0</v>
      </c>
    </row>
    <row r="209" spans="2:19">
      <c r="B209" s="305" t="s">
        <v>91</v>
      </c>
      <c r="C209" s="265">
        <f>Participaciones!Y6</f>
        <v>0</v>
      </c>
      <c r="D209" s="265">
        <v>0</v>
      </c>
      <c r="E209" s="265">
        <f t="shared" si="42"/>
        <v>0</v>
      </c>
      <c r="H209" s="265">
        <v>0</v>
      </c>
      <c r="I209" s="265">
        <f t="shared" si="43"/>
        <v>0</v>
      </c>
      <c r="J209" s="265">
        <f t="shared" si="44"/>
        <v>0</v>
      </c>
      <c r="K209" s="265">
        <f t="shared" si="45"/>
        <v>0</v>
      </c>
      <c r="Q209" s="323">
        <v>10000</v>
      </c>
      <c r="R209" s="283"/>
    </row>
    <row r="210" spans="2:19">
      <c r="B210" s="305" t="s">
        <v>92</v>
      </c>
      <c r="C210" s="265">
        <f>Participaciones!Y7</f>
        <v>0</v>
      </c>
      <c r="D210" s="265">
        <v>0</v>
      </c>
      <c r="E210" s="265">
        <f t="shared" si="42"/>
        <v>0</v>
      </c>
      <c r="H210" s="265">
        <v>0</v>
      </c>
      <c r="I210" s="265">
        <f t="shared" si="43"/>
        <v>0</v>
      </c>
      <c r="J210" s="265">
        <f t="shared" si="44"/>
        <v>0</v>
      </c>
      <c r="K210" s="265">
        <f t="shared" si="45"/>
        <v>0</v>
      </c>
    </row>
    <row r="211" spans="2:19">
      <c r="B211" s="305" t="s">
        <v>94</v>
      </c>
      <c r="C211" s="265">
        <f>Participaciones!Y8</f>
        <v>0</v>
      </c>
      <c r="D211" s="265">
        <v>0</v>
      </c>
      <c r="E211" s="265">
        <f t="shared" si="42"/>
        <v>0</v>
      </c>
      <c r="H211" s="265">
        <v>0</v>
      </c>
      <c r="I211" s="265">
        <f t="shared" si="43"/>
        <v>0</v>
      </c>
      <c r="J211" s="265">
        <f t="shared" si="44"/>
        <v>0</v>
      </c>
      <c r="K211" s="265">
        <f t="shared" si="45"/>
        <v>0</v>
      </c>
    </row>
    <row r="212" spans="2:19">
      <c r="B212" s="305" t="s">
        <v>95</v>
      </c>
      <c r="C212" s="265">
        <f>Participaciones!Y11-C213</f>
        <v>-965577</v>
      </c>
      <c r="D212" s="265">
        <f>'ESF - ERI'!AD55</f>
        <v>-144335</v>
      </c>
      <c r="E212" s="265">
        <f t="shared" si="42"/>
        <v>-821242</v>
      </c>
      <c r="H212" s="265">
        <v>0</v>
      </c>
      <c r="I212" s="265">
        <f t="shared" si="43"/>
        <v>-144335</v>
      </c>
      <c r="J212" s="265">
        <f t="shared" si="44"/>
        <v>-144335</v>
      </c>
      <c r="K212" s="265">
        <f t="shared" si="45"/>
        <v>0</v>
      </c>
    </row>
    <row r="213" spans="2:19">
      <c r="B213" s="305" t="s">
        <v>358</v>
      </c>
      <c r="C213" s="315">
        <f>'Planilla final'!M76</f>
        <v>-93297</v>
      </c>
      <c r="D213" s="315">
        <f>'ESF - ERI'!AD56</f>
        <v>-395559</v>
      </c>
      <c r="E213" s="315">
        <f t="shared" si="42"/>
        <v>302262</v>
      </c>
      <c r="F213" s="315"/>
      <c r="G213" s="315"/>
      <c r="H213" s="315">
        <v>-126652</v>
      </c>
      <c r="I213" s="315">
        <f t="shared" si="43"/>
        <v>-268907</v>
      </c>
      <c r="J213" s="265">
        <f t="shared" si="44"/>
        <v>-268907</v>
      </c>
      <c r="K213" s="265">
        <f t="shared" si="45"/>
        <v>0</v>
      </c>
    </row>
    <row r="215" spans="2:19">
      <c r="B215" s="307" t="s">
        <v>374</v>
      </c>
      <c r="C215" s="306">
        <f>SUM(C206:C214)</f>
        <v>-1048874</v>
      </c>
      <c r="D215" s="306">
        <f>SUM(D206:D214)</f>
        <v>-529894</v>
      </c>
      <c r="E215" s="306">
        <f>SUM(E204:E211)</f>
        <v>0</v>
      </c>
      <c r="F215" s="306"/>
      <c r="G215" s="306"/>
      <c r="H215" s="306">
        <f>SUM(H206:H214)</f>
        <v>-116652</v>
      </c>
      <c r="I215" s="306">
        <f>SUM(I206:I213)</f>
        <v>-413242</v>
      </c>
      <c r="J215" s="306"/>
      <c r="K215" s="306"/>
      <c r="L215" s="306"/>
    </row>
    <row r="216" spans="2:19">
      <c r="B216" s="317" t="s">
        <v>360</v>
      </c>
      <c r="C216" s="306">
        <f>+(C215)*$F$205</f>
        <v>0</v>
      </c>
      <c r="D216" s="306">
        <f>+(D215)*$J$167</f>
        <v>-490151.95</v>
      </c>
      <c r="E216" s="306">
        <f>C216-D216</f>
        <v>490151.95</v>
      </c>
      <c r="F216" s="306"/>
      <c r="G216" s="306"/>
      <c r="H216" s="306">
        <f>+(H215)*$J$167</f>
        <v>-107903.1</v>
      </c>
      <c r="I216" s="306">
        <f>+D216-H216</f>
        <v>-382248.85</v>
      </c>
    </row>
    <row r="217" spans="2:19">
      <c r="B217" s="317" t="s">
        <v>361</v>
      </c>
      <c r="C217" s="306">
        <f>+C215*$G$205</f>
        <v>0</v>
      </c>
      <c r="D217" s="306">
        <f>+D215*$K$167</f>
        <v>-39742.049999999996</v>
      </c>
      <c r="E217" s="306">
        <f>C217-D217</f>
        <v>39742.049999999996</v>
      </c>
      <c r="F217" s="306"/>
      <c r="G217" s="306"/>
      <c r="H217" s="306">
        <f>+H215*$K$167</f>
        <v>-8748.9</v>
      </c>
      <c r="I217" s="306">
        <f>+D217-H217</f>
        <v>-30993.149999999994</v>
      </c>
    </row>
    <row r="218" spans="2:19">
      <c r="B218" s="317" t="s">
        <v>259</v>
      </c>
      <c r="C218" s="306">
        <f>SUM(C216:C217)</f>
        <v>0</v>
      </c>
      <c r="D218" s="306">
        <f>SUM(D216:D217)</f>
        <v>-529894</v>
      </c>
      <c r="E218" s="306">
        <f>C218-D218</f>
        <v>529894</v>
      </c>
      <c r="F218" s="306"/>
      <c r="G218" s="306"/>
      <c r="H218" s="306">
        <f>SUM(H216:H217)</f>
        <v>-116652</v>
      </c>
      <c r="I218" s="306">
        <f>+D218-H218</f>
        <v>-413242</v>
      </c>
    </row>
    <row r="219" spans="2:19">
      <c r="B219" s="317"/>
      <c r="C219" s="265">
        <f>C215-C218</f>
        <v>-1048874</v>
      </c>
      <c r="D219" s="265">
        <f>D215-D218</f>
        <v>0</v>
      </c>
      <c r="E219" s="306">
        <f>C219-D219</f>
        <v>-1048874</v>
      </c>
      <c r="H219" s="265">
        <f>H215-H218</f>
        <v>0</v>
      </c>
    </row>
    <row r="223" spans="2:19">
      <c r="B223" s="307" t="s">
        <v>384</v>
      </c>
      <c r="C223" s="306">
        <f t="shared" ref="C223:D225" si="46">+C32+C53+C70+C90+C110+C127+C144+C161+C178+G197+C197+C216</f>
        <v>260814.87749999994</v>
      </c>
      <c r="D223" s="306" t="e">
        <f t="shared" si="46"/>
        <v>#REF!</v>
      </c>
      <c r="E223" s="306" t="e">
        <f>C223-D223</f>
        <v>#REF!</v>
      </c>
      <c r="F223" s="306"/>
      <c r="G223" s="306"/>
      <c r="H223" s="306" t="e">
        <f>+H32+H53+H70+H90+H110+H127+H144+H161+H178+H197+H216</f>
        <v>#REF!</v>
      </c>
      <c r="I223" s="265" t="e">
        <f>+D223-H223</f>
        <v>#REF!</v>
      </c>
      <c r="N223" s="265" t="s">
        <v>293</v>
      </c>
      <c r="Q223" s="306">
        <f>+Q23+Q28+Q40+Q61+Q78+Q98+Q118+Q135+Q152+Q169+Q186+Q207</f>
        <v>36644382.960000001</v>
      </c>
      <c r="S223" s="306">
        <f>+S23+S28+S40+S61+S78+S98+S118+S135+S152+S169+S186+S207</f>
        <v>37131561.960000001</v>
      </c>
    </row>
    <row r="224" spans="2:19">
      <c r="B224" s="307" t="s">
        <v>385</v>
      </c>
      <c r="C224" s="306">
        <f t="shared" si="46"/>
        <v>86938.292499999981</v>
      </c>
      <c r="D224" s="306">
        <f t="shared" si="46"/>
        <v>10773197.291405784</v>
      </c>
      <c r="E224" s="306">
        <f>C224-D224</f>
        <v>-10686258.998905784</v>
      </c>
      <c r="F224" s="306"/>
      <c r="G224" s="306"/>
      <c r="H224" s="306">
        <f>+H33+H54+H71+H91+H111+H128+H145+H162+H179+H198+H217</f>
        <v>11152518.252337215</v>
      </c>
      <c r="I224" s="265">
        <f>+D224-H224</f>
        <v>-379320.9609314315</v>
      </c>
      <c r="N224" s="265" t="s">
        <v>296</v>
      </c>
      <c r="Q224" s="306">
        <f>+Q24+Q29+Q41+Q62+Q79+Q99+Q119+Q136+Q153+Q170+Q187+Q208</f>
        <v>10505669.039999999</v>
      </c>
      <c r="S224" s="306">
        <f>+S24+S29+S41+S62+S79+S99+S119+S136+S153+S170+S187+S208</f>
        <v>10505669.039999999</v>
      </c>
    </row>
    <row r="225" spans="2:19">
      <c r="B225" s="307" t="s">
        <v>386</v>
      </c>
      <c r="C225" s="306">
        <f t="shared" si="46"/>
        <v>347753.16999999993</v>
      </c>
      <c r="D225" s="306" t="e">
        <f t="shared" si="46"/>
        <v>#REF!</v>
      </c>
      <c r="E225" s="306" t="e">
        <f>C225-D225</f>
        <v>#REF!</v>
      </c>
      <c r="F225" s="306"/>
      <c r="G225" s="306"/>
      <c r="H225" s="306" t="e">
        <f>+H34+H55+H72+H92+H112+H129+H146+H163+H180+H199+H218</f>
        <v>#REF!</v>
      </c>
      <c r="I225" s="265" t="e">
        <f>+D225-H225</f>
        <v>#REF!</v>
      </c>
      <c r="Q225" s="265">
        <f>SUM(Q223:Q224)</f>
        <v>47150052</v>
      </c>
      <c r="S225" s="265">
        <f>SUM(S223:S224)</f>
        <v>47637231</v>
      </c>
    </row>
    <row r="226" spans="2:19">
      <c r="B226" s="307" t="s">
        <v>387</v>
      </c>
      <c r="C226" s="326">
        <f>C223+C224-C225</f>
        <v>0</v>
      </c>
      <c r="D226" s="326" t="e">
        <f>D223+D224-D225</f>
        <v>#REF!</v>
      </c>
      <c r="E226" s="326" t="e">
        <f>E223+E224-E225</f>
        <v>#REF!</v>
      </c>
      <c r="F226" s="326"/>
      <c r="G226" s="326"/>
      <c r="H226" s="326" t="e">
        <f>H223+H224-H225</f>
        <v>#REF!</v>
      </c>
      <c r="I226" s="265" t="e">
        <f>+D226-H226</f>
        <v>#REF!</v>
      </c>
    </row>
    <row r="227" spans="2:19">
      <c r="Q227" s="327">
        <v>44513438</v>
      </c>
    </row>
    <row r="228" spans="2:19">
      <c r="Q228" s="328">
        <v>6468792</v>
      </c>
    </row>
    <row r="229" spans="2:19">
      <c r="D229" s="305"/>
      <c r="E229" s="305"/>
      <c r="F229" s="305"/>
      <c r="G229" s="305"/>
      <c r="Q229" s="265">
        <f>Q227-Q228</f>
        <v>38044646</v>
      </c>
      <c r="R229" s="305">
        <v>38835024.049999997</v>
      </c>
      <c r="S229" s="319">
        <f>R229-Q229</f>
        <v>790378.04999999702</v>
      </c>
    </row>
    <row r="230" spans="2:19">
      <c r="Q230" s="265">
        <f>Q223-Q229</f>
        <v>-1400263.0399999991</v>
      </c>
    </row>
  </sheetData>
  <mergeCells count="34">
    <mergeCell ref="O22:P22"/>
    <mergeCell ref="Q22:R22"/>
    <mergeCell ref="S22:T22"/>
    <mergeCell ref="U22:V22"/>
    <mergeCell ref="Q27:R27"/>
    <mergeCell ref="S27:T27"/>
    <mergeCell ref="U27:V27"/>
    <mergeCell ref="Q39:R39"/>
    <mergeCell ref="S39:T39"/>
    <mergeCell ref="U39:V39"/>
    <mergeCell ref="Q60:R60"/>
    <mergeCell ref="S60:T60"/>
    <mergeCell ref="U60:V60"/>
    <mergeCell ref="Q77:R77"/>
    <mergeCell ref="S77:T77"/>
    <mergeCell ref="U77:V77"/>
    <mergeCell ref="Q97:R97"/>
    <mergeCell ref="S97:T97"/>
    <mergeCell ref="U97:V97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Q185:R185"/>
    <mergeCell ref="S185:T185"/>
    <mergeCell ref="Q206:R206"/>
    <mergeCell ref="Q151:R151"/>
    <mergeCell ref="S151:T15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C32"/>
  <sheetViews>
    <sheetView topLeftCell="A4" zoomScale="80" zoomScaleNormal="80" workbookViewId="0">
      <selection activeCell="D27" sqref="D27"/>
    </sheetView>
  </sheetViews>
  <sheetFormatPr defaultColWidth="11.5703125" defaultRowHeight="15"/>
  <cols>
    <col min="1" max="1" width="5.5703125" style="331" customWidth="1"/>
    <col min="2" max="2" width="5.85546875" style="331" customWidth="1"/>
    <col min="3" max="3" width="65.28515625" style="331" customWidth="1"/>
    <col min="4" max="4" width="15.5703125" style="331" customWidth="1"/>
    <col min="5" max="5" width="12.140625" style="331" customWidth="1"/>
    <col min="6" max="6" width="15.5703125" style="331" customWidth="1"/>
    <col min="7" max="7" width="11.140625" style="331" customWidth="1"/>
    <col min="8" max="991" width="11.5703125" style="331"/>
  </cols>
  <sheetData>
    <row r="1" spans="1:7">
      <c r="A1" s="332" t="s">
        <v>390</v>
      </c>
    </row>
    <row r="2" spans="1:7">
      <c r="A2" s="332" t="s">
        <v>391</v>
      </c>
    </row>
    <row r="3" spans="1:7">
      <c r="A3" s="332" t="s">
        <v>392</v>
      </c>
    </row>
    <row r="5" spans="1:7">
      <c r="B5" s="333"/>
      <c r="C5" s="334" t="s">
        <v>393</v>
      </c>
      <c r="D5" s="335"/>
      <c r="E5" s="336">
        <v>2020</v>
      </c>
      <c r="F5" s="337">
        <v>2019</v>
      </c>
      <c r="G5" s="338" t="s">
        <v>5</v>
      </c>
    </row>
    <row r="6" spans="1:7">
      <c r="B6" s="339">
        <v>2320</v>
      </c>
      <c r="C6" s="335" t="s">
        <v>394</v>
      </c>
      <c r="D6" s="340" t="s">
        <v>395</v>
      </c>
      <c r="E6" s="341">
        <v>31463534.27</v>
      </c>
      <c r="F6" s="341">
        <v>27858699</v>
      </c>
      <c r="G6" s="342">
        <f t="shared" ref="G6:G27" si="0">E6-F6</f>
        <v>3604835.2699999996</v>
      </c>
    </row>
    <row r="7" spans="1:7">
      <c r="B7" s="339">
        <v>2342</v>
      </c>
      <c r="C7" s="343" t="s">
        <v>396</v>
      </c>
      <c r="D7" s="344" t="s">
        <v>397</v>
      </c>
      <c r="E7" s="345">
        <v>1982263.02</v>
      </c>
      <c r="F7" s="345">
        <v>1982263</v>
      </c>
      <c r="G7" s="346">
        <f t="shared" si="0"/>
        <v>2.0000000018626451E-2</v>
      </c>
    </row>
    <row r="8" spans="1:7" ht="13.9" customHeight="1">
      <c r="B8" s="339">
        <v>2322</v>
      </c>
      <c r="C8" s="343" t="s">
        <v>398</v>
      </c>
      <c r="D8" s="344" t="s">
        <v>399</v>
      </c>
      <c r="E8" s="345">
        <v>943459.2</v>
      </c>
      <c r="F8" s="345">
        <v>943459</v>
      </c>
      <c r="G8" s="346">
        <f t="shared" si="0"/>
        <v>0.19999999995343387</v>
      </c>
    </row>
    <row r="9" spans="1:7">
      <c r="B9" s="339">
        <v>2324</v>
      </c>
      <c r="C9" s="343" t="s">
        <v>400</v>
      </c>
      <c r="D9" s="344" t="s">
        <v>401</v>
      </c>
      <c r="E9" s="345">
        <v>147840</v>
      </c>
      <c r="F9" s="345">
        <v>147840</v>
      </c>
      <c r="G9" s="346">
        <f t="shared" si="0"/>
        <v>0</v>
      </c>
    </row>
    <row r="10" spans="1:7">
      <c r="B10" s="339">
        <v>2326</v>
      </c>
      <c r="C10" s="343" t="s">
        <v>402</v>
      </c>
      <c r="D10" s="344" t="s">
        <v>403</v>
      </c>
      <c r="E10" s="345">
        <v>462500</v>
      </c>
      <c r="F10" s="345">
        <v>462500</v>
      </c>
      <c r="G10" s="346">
        <f t="shared" si="0"/>
        <v>0</v>
      </c>
    </row>
    <row r="11" spans="1:7">
      <c r="B11" s="339">
        <v>2328</v>
      </c>
      <c r="C11" s="343" t="s">
        <v>404</v>
      </c>
      <c r="D11" s="344" t="s">
        <v>405</v>
      </c>
      <c r="E11" s="345">
        <v>140052.15</v>
      </c>
      <c r="F11" s="345">
        <v>140052</v>
      </c>
      <c r="G11" s="346">
        <f t="shared" si="0"/>
        <v>0.14999999999417923</v>
      </c>
    </row>
    <row r="12" spans="1:7">
      <c r="B12" s="339">
        <v>2334</v>
      </c>
      <c r="C12" s="343" t="s">
        <v>406</v>
      </c>
      <c r="D12" s="344" t="s">
        <v>407</v>
      </c>
      <c r="E12" s="345">
        <v>6000</v>
      </c>
      <c r="F12" s="345">
        <v>6000</v>
      </c>
      <c r="G12" s="346">
        <f t="shared" si="0"/>
        <v>0</v>
      </c>
    </row>
    <row r="13" spans="1:7">
      <c r="B13" s="339">
        <v>2336</v>
      </c>
      <c r="C13" s="343" t="s">
        <v>408</v>
      </c>
      <c r="D13" s="344" t="s">
        <v>409</v>
      </c>
      <c r="E13" s="345">
        <v>1173781.21</v>
      </c>
      <c r="F13" s="345">
        <v>1173781</v>
      </c>
      <c r="G13" s="346">
        <f t="shared" si="0"/>
        <v>0.2099999999627471</v>
      </c>
    </row>
    <row r="14" spans="1:7">
      <c r="B14" s="339">
        <v>2340</v>
      </c>
      <c r="C14" s="343" t="s">
        <v>410</v>
      </c>
      <c r="D14" s="344" t="s">
        <v>411</v>
      </c>
      <c r="E14" s="345">
        <v>1114175.56</v>
      </c>
      <c r="F14" s="345">
        <v>1114176</v>
      </c>
      <c r="G14" s="346">
        <f t="shared" si="0"/>
        <v>-0.43999999994412065</v>
      </c>
    </row>
    <row r="15" spans="1:7">
      <c r="B15" s="339">
        <v>2344</v>
      </c>
      <c r="C15" s="343" t="s">
        <v>412</v>
      </c>
      <c r="D15" s="344" t="s">
        <v>413</v>
      </c>
      <c r="E15" s="345">
        <v>1834157.69</v>
      </c>
      <c r="F15" s="345">
        <v>1834158</v>
      </c>
      <c r="G15" s="346">
        <f t="shared" si="0"/>
        <v>-0.31000000005587935</v>
      </c>
    </row>
    <row r="16" spans="1:7">
      <c r="B16" s="339">
        <v>2348</v>
      </c>
      <c r="C16" s="343" t="s">
        <v>414</v>
      </c>
      <c r="D16" s="344" t="s">
        <v>415</v>
      </c>
      <c r="E16" s="345">
        <v>1193125.8899999999</v>
      </c>
      <c r="F16" s="345">
        <v>1193126</v>
      </c>
      <c r="G16" s="346">
        <f t="shared" si="0"/>
        <v>-0.11000000010244548</v>
      </c>
    </row>
    <row r="17" spans="2:7">
      <c r="B17" s="339">
        <v>2350</v>
      </c>
      <c r="C17" s="343" t="s">
        <v>416</v>
      </c>
      <c r="D17" s="344" t="s">
        <v>417</v>
      </c>
      <c r="E17" s="345">
        <v>-1598182.88</v>
      </c>
      <c r="F17" s="345">
        <f>-1606183+8000</f>
        <v>-1598183</v>
      </c>
      <c r="G17" s="346">
        <f t="shared" si="0"/>
        <v>0.12000000011175871</v>
      </c>
    </row>
    <row r="18" spans="2:7">
      <c r="B18" s="347"/>
      <c r="C18" s="343"/>
      <c r="D18" s="343"/>
      <c r="E18" s="348">
        <f>SUM(E6:E17)</f>
        <v>38862706.109999999</v>
      </c>
      <c r="F18" s="348">
        <f>SUM(F6:F17)</f>
        <v>35257871</v>
      </c>
      <c r="G18" s="349">
        <f t="shared" si="0"/>
        <v>3604835.1099999994</v>
      </c>
    </row>
    <row r="19" spans="2:7">
      <c r="B19" s="347"/>
      <c r="C19" s="350" t="s">
        <v>418</v>
      </c>
      <c r="D19" s="343"/>
      <c r="E19" s="351">
        <f>SUM(E6:E16)</f>
        <v>40460888.990000002</v>
      </c>
      <c r="F19" s="351">
        <f>SUM(F6:F16)</f>
        <v>36856054</v>
      </c>
      <c r="G19" s="349">
        <f t="shared" si="0"/>
        <v>3604834.9900000021</v>
      </c>
    </row>
    <row r="20" spans="2:7">
      <c r="B20" s="347">
        <v>2102</v>
      </c>
      <c r="C20" s="343" t="s">
        <v>419</v>
      </c>
      <c r="D20" s="344" t="s">
        <v>420</v>
      </c>
      <c r="E20" s="345"/>
      <c r="F20" s="345">
        <v>0</v>
      </c>
      <c r="G20" s="346">
        <f t="shared" si="0"/>
        <v>0</v>
      </c>
    </row>
    <row r="21" spans="2:7">
      <c r="B21" s="339">
        <v>2330</v>
      </c>
      <c r="C21" s="343" t="s">
        <v>421</v>
      </c>
      <c r="D21" s="344" t="s">
        <v>422</v>
      </c>
      <c r="E21" s="345">
        <v>84000</v>
      </c>
      <c r="F21" s="345">
        <v>84000</v>
      </c>
      <c r="G21" s="346">
        <f t="shared" si="0"/>
        <v>0</v>
      </c>
    </row>
    <row r="22" spans="2:7">
      <c r="B22" s="339">
        <v>2332</v>
      </c>
      <c r="C22" s="343" t="s">
        <v>423</v>
      </c>
      <c r="D22" s="344" t="s">
        <v>424</v>
      </c>
      <c r="E22" s="345">
        <v>3675000</v>
      </c>
      <c r="F22" s="345">
        <v>3675000</v>
      </c>
      <c r="G22" s="346">
        <f t="shared" si="0"/>
        <v>0</v>
      </c>
    </row>
    <row r="23" spans="2:7">
      <c r="B23" s="339">
        <v>2338</v>
      </c>
      <c r="C23" s="343" t="s">
        <v>425</v>
      </c>
      <c r="D23" s="344" t="s">
        <v>426</v>
      </c>
      <c r="E23" s="345">
        <v>8000</v>
      </c>
      <c r="F23" s="345">
        <v>8000</v>
      </c>
      <c r="G23" s="346">
        <f t="shared" si="0"/>
        <v>0</v>
      </c>
    </row>
    <row r="24" spans="2:7">
      <c r="B24" s="339">
        <v>2346</v>
      </c>
      <c r="C24" s="343" t="s">
        <v>427</v>
      </c>
      <c r="D24" s="344" t="s">
        <v>428</v>
      </c>
      <c r="E24" s="345">
        <v>1500</v>
      </c>
      <c r="F24" s="345">
        <v>1500</v>
      </c>
      <c r="G24" s="346">
        <f t="shared" si="0"/>
        <v>0</v>
      </c>
    </row>
    <row r="25" spans="2:7">
      <c r="B25" s="339">
        <v>2350</v>
      </c>
      <c r="C25" s="343" t="s">
        <v>416</v>
      </c>
      <c r="D25" s="344" t="s">
        <v>417</v>
      </c>
      <c r="E25" s="345">
        <v>-8000</v>
      </c>
      <c r="F25" s="345">
        <v>-8000</v>
      </c>
      <c r="G25" s="346">
        <f t="shared" si="0"/>
        <v>0</v>
      </c>
    </row>
    <row r="26" spans="2:7">
      <c r="B26" s="347"/>
      <c r="C26" s="343"/>
      <c r="D26" s="343"/>
      <c r="E26" s="348">
        <f>SUM(E20:E25)</f>
        <v>3760500</v>
      </c>
      <c r="F26" s="348">
        <f>SUM(F20:F25)</f>
        <v>3760500</v>
      </c>
      <c r="G26" s="349">
        <f t="shared" si="0"/>
        <v>0</v>
      </c>
    </row>
    <row r="27" spans="2:7">
      <c r="B27" s="347"/>
      <c r="C27" s="343"/>
      <c r="D27" s="343"/>
      <c r="E27" s="348">
        <f>E18+E26</f>
        <v>42623206.109999999</v>
      </c>
      <c r="F27" s="348">
        <f>F18+F26</f>
        <v>39018371</v>
      </c>
      <c r="G27" s="349">
        <f t="shared" si="0"/>
        <v>3604835.1099999994</v>
      </c>
    </row>
    <row r="28" spans="2:7">
      <c r="B28" s="352"/>
      <c r="C28" s="353"/>
      <c r="D28" s="353"/>
      <c r="E28" s="354"/>
      <c r="F28" s="354"/>
      <c r="G28" s="349"/>
    </row>
    <row r="32" spans="2:7">
      <c r="C32" s="331" t="s">
        <v>429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75"/>
  <sheetViews>
    <sheetView showGridLines="0" topLeftCell="A45" zoomScale="90" zoomScaleNormal="90" workbookViewId="0">
      <selection activeCell="E61" sqref="E61"/>
    </sheetView>
  </sheetViews>
  <sheetFormatPr defaultColWidth="11.42578125" defaultRowHeight="15" outlineLevelRow="1"/>
  <cols>
    <col min="1" max="1" width="28" style="355" customWidth="1"/>
    <col min="2" max="2" width="1.7109375" style="355" customWidth="1"/>
    <col min="3" max="3" width="12.42578125" style="355" customWidth="1"/>
    <col min="4" max="4" width="1.7109375" style="355" customWidth="1"/>
    <col min="5" max="5" width="12.7109375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12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 hidden="1" outlineLevel="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2" spans="1:35" hidden="1" outlineLevel="1"/>
    <row r="3" spans="1:35" hidden="1" outlineLevel="1">
      <c r="A3" s="358" t="s">
        <v>172</v>
      </c>
      <c r="B3" s="358"/>
      <c r="C3" s="359">
        <f>'Planilla final'!B48</f>
        <v>21629181</v>
      </c>
      <c r="D3" s="360"/>
      <c r="E3" s="359">
        <f>'Planilla final'!C48</f>
        <v>5000</v>
      </c>
      <c r="F3" s="360"/>
      <c r="G3" s="359">
        <f>'Planilla final'!D48</f>
        <v>1105000</v>
      </c>
      <c r="H3" s="360"/>
      <c r="I3" s="359">
        <f>'Planilla final'!E48</f>
        <v>0</v>
      </c>
      <c r="J3" s="360"/>
      <c r="K3" s="359">
        <f>'Planilla final'!F48</f>
        <v>1000</v>
      </c>
      <c r="L3" s="360"/>
      <c r="M3" s="359">
        <f>'Planilla final'!G48</f>
        <v>1000</v>
      </c>
      <c r="N3" s="360"/>
      <c r="O3" s="359">
        <f>'Planilla final'!H48</f>
        <v>5000</v>
      </c>
      <c r="P3" s="360"/>
      <c r="Q3" s="359">
        <f>'Planilla final'!I48</f>
        <v>10000</v>
      </c>
      <c r="R3" s="360"/>
      <c r="S3" s="359">
        <f>'Planilla final'!J48</f>
        <v>800</v>
      </c>
      <c r="T3" s="360"/>
      <c r="U3" s="359">
        <f>'Planilla final'!K48</f>
        <v>800</v>
      </c>
      <c r="V3" s="361"/>
      <c r="W3" s="359">
        <f>'Planilla final'!L48</f>
        <v>3661400</v>
      </c>
      <c r="X3" s="361"/>
      <c r="Y3" s="359">
        <f>'Planilla final'!M48</f>
        <v>10000</v>
      </c>
      <c r="Z3" s="360"/>
      <c r="AA3" s="360">
        <f t="shared" ref="AA3:AA11" si="0">+SUM(C3:Y3)</f>
        <v>26429181</v>
      </c>
      <c r="AB3" s="360"/>
      <c r="AC3" s="360">
        <f>+'Planilla final'!O48</f>
        <v>4800000</v>
      </c>
      <c r="AD3" s="360"/>
      <c r="AE3" s="360">
        <f>+'Planilla final'!P48</f>
        <v>0</v>
      </c>
      <c r="AF3" s="360"/>
      <c r="AG3" s="362">
        <f t="shared" ref="AG3:AG8" si="1">AA3-AC3+AE3</f>
        <v>21629181</v>
      </c>
      <c r="AI3" s="363"/>
    </row>
    <row r="4" spans="1:35" hidden="1" outlineLevel="1">
      <c r="A4" s="358" t="s">
        <v>435</v>
      </c>
      <c r="B4" s="358"/>
      <c r="C4" s="360">
        <f>'Planilla final'!B49</f>
        <v>920</v>
      </c>
      <c r="D4" s="360"/>
      <c r="E4" s="359">
        <f>'Planilla final'!C49</f>
        <v>41940194</v>
      </c>
      <c r="F4" s="360"/>
      <c r="G4" s="359">
        <f>'Planilla final'!D49</f>
        <v>877313.05</v>
      </c>
      <c r="H4" s="360"/>
      <c r="I4" s="359">
        <f>'Planilla final'!E49</f>
        <v>0</v>
      </c>
      <c r="J4" s="360"/>
      <c r="K4" s="359">
        <f>'Planilla final'!F49</f>
        <v>49015</v>
      </c>
      <c r="L4" s="360"/>
      <c r="M4" s="359">
        <f>'Planilla final'!G49</f>
        <v>330450</v>
      </c>
      <c r="N4" s="360"/>
      <c r="O4" s="359">
        <f>'Planilla final'!H49</f>
        <v>0</v>
      </c>
      <c r="P4" s="360"/>
      <c r="Q4" s="359">
        <f>'Planilla final'!I49</f>
        <v>0</v>
      </c>
      <c r="R4" s="360"/>
      <c r="S4" s="359">
        <f>'Planilla final'!J49</f>
        <v>0</v>
      </c>
      <c r="T4" s="360"/>
      <c r="U4" s="359">
        <f>'Planilla final'!K49</f>
        <v>1833418</v>
      </c>
      <c r="V4" s="361"/>
      <c r="W4" s="359">
        <f>'Planilla final'!L49</f>
        <v>406800</v>
      </c>
      <c r="X4" s="361"/>
      <c r="Y4" s="359">
        <f>'Planilla final'!M49</f>
        <v>0</v>
      </c>
      <c r="Z4" s="360"/>
      <c r="AA4" s="360">
        <f t="shared" si="0"/>
        <v>45438110.049999997</v>
      </c>
      <c r="AB4" s="360"/>
      <c r="AC4" s="360">
        <f>+'Planilla final'!O49</f>
        <v>45437188</v>
      </c>
      <c r="AD4" s="360"/>
      <c r="AE4" s="360">
        <f>+'Planilla final'!P49</f>
        <v>0</v>
      </c>
      <c r="AF4" s="360"/>
      <c r="AG4" s="362">
        <f t="shared" si="1"/>
        <v>922.04999999701977</v>
      </c>
    </row>
    <row r="5" spans="1:35" hidden="1" outlineLevel="1">
      <c r="A5" s="358" t="s">
        <v>90</v>
      </c>
      <c r="B5" s="364"/>
      <c r="C5" s="360">
        <f>'Planilla final'!B50</f>
        <v>6135362</v>
      </c>
      <c r="D5" s="360"/>
      <c r="E5" s="359">
        <f>'Planilla final'!C50</f>
        <v>0</v>
      </c>
      <c r="F5" s="360"/>
      <c r="G5" s="359">
        <f>'Planilla final'!D50</f>
        <v>0</v>
      </c>
      <c r="H5" s="360"/>
      <c r="I5" s="359">
        <f>'Planilla final'!E50</f>
        <v>0</v>
      </c>
      <c r="J5" s="360"/>
      <c r="K5" s="359">
        <f>'Planilla final'!F50</f>
        <v>500</v>
      </c>
      <c r="L5" s="360"/>
      <c r="M5" s="359">
        <f>'Planilla final'!G50</f>
        <v>0</v>
      </c>
      <c r="N5" s="360"/>
      <c r="O5" s="359">
        <f>'Planilla final'!H50</f>
        <v>0</v>
      </c>
      <c r="P5" s="360"/>
      <c r="Q5" s="359">
        <f>'Planilla final'!I50</f>
        <v>0</v>
      </c>
      <c r="R5" s="360"/>
      <c r="S5" s="359">
        <f>'Planilla final'!J50</f>
        <v>0</v>
      </c>
      <c r="T5" s="360"/>
      <c r="U5" s="359">
        <f>'Planilla final'!K50</f>
        <v>0</v>
      </c>
      <c r="V5" s="361"/>
      <c r="W5" s="359">
        <f>'Planilla final'!L50</f>
        <v>104043</v>
      </c>
      <c r="X5" s="361"/>
      <c r="Y5" s="359">
        <f>'Planilla final'!M50</f>
        <v>0</v>
      </c>
      <c r="Z5" s="360"/>
      <c r="AA5" s="360">
        <f t="shared" si="0"/>
        <v>6239905</v>
      </c>
      <c r="AB5" s="360"/>
      <c r="AC5" s="360">
        <f>+'Planilla final'!O50</f>
        <v>104543</v>
      </c>
      <c r="AD5" s="360"/>
      <c r="AE5" s="360">
        <f>+'Planilla final'!P50</f>
        <v>0</v>
      </c>
      <c r="AF5" s="360"/>
      <c r="AG5" s="362">
        <f t="shared" si="1"/>
        <v>6135362</v>
      </c>
    </row>
    <row r="6" spans="1:35" hidden="1" outlineLevel="1">
      <c r="A6" s="358" t="s">
        <v>91</v>
      </c>
      <c r="B6" s="364"/>
      <c r="C6" s="360">
        <f>'Planilla final'!B51</f>
        <v>34797</v>
      </c>
      <c r="D6" s="360"/>
      <c r="E6" s="359">
        <f>'Planilla final'!C51</f>
        <v>0</v>
      </c>
      <c r="F6" s="360"/>
      <c r="G6" s="359">
        <f>'Planilla final'!D51</f>
        <v>0</v>
      </c>
      <c r="H6" s="360"/>
      <c r="I6" s="359">
        <f>'Planilla final'!E51</f>
        <v>0</v>
      </c>
      <c r="J6" s="360"/>
      <c r="K6" s="359">
        <f>'Planilla final'!F51</f>
        <v>0</v>
      </c>
      <c r="L6" s="360"/>
      <c r="M6" s="359">
        <f>'Planilla final'!G51</f>
        <v>0</v>
      </c>
      <c r="N6" s="360"/>
      <c r="O6" s="359">
        <f>'Planilla final'!H51</f>
        <v>0</v>
      </c>
      <c r="P6" s="360"/>
      <c r="Q6" s="359">
        <f>'Planilla final'!I51</f>
        <v>0</v>
      </c>
      <c r="R6" s="360"/>
      <c r="S6" s="359">
        <f>'Planilla final'!J51</f>
        <v>0</v>
      </c>
      <c r="T6" s="360"/>
      <c r="U6" s="359">
        <f>'Planilla final'!K51</f>
        <v>0</v>
      </c>
      <c r="V6" s="361"/>
      <c r="W6" s="359">
        <f>'Planilla final'!L51</f>
        <v>0</v>
      </c>
      <c r="X6" s="361"/>
      <c r="Y6" s="359">
        <f>'Planilla final'!M51</f>
        <v>0</v>
      </c>
      <c r="Z6" s="360"/>
      <c r="AA6" s="360">
        <f t="shared" si="0"/>
        <v>34797</v>
      </c>
      <c r="AB6" s="360"/>
      <c r="AC6" s="360">
        <f>+'Planilla final'!O51</f>
        <v>0</v>
      </c>
      <c r="AD6" s="360"/>
      <c r="AE6" s="360">
        <f>+'Planilla final'!P51</f>
        <v>0</v>
      </c>
      <c r="AF6" s="360"/>
      <c r="AG6" s="362">
        <f t="shared" si="1"/>
        <v>34797</v>
      </c>
    </row>
    <row r="7" spans="1:35" hidden="1" outlineLevel="1">
      <c r="A7" s="358" t="s">
        <v>436</v>
      </c>
      <c r="B7" s="364"/>
      <c r="C7" s="360">
        <f>'Planilla final'!B52</f>
        <v>227072</v>
      </c>
      <c r="D7" s="360"/>
      <c r="E7" s="359">
        <f>'Planilla final'!C52</f>
        <v>0</v>
      </c>
      <c r="F7" s="360"/>
      <c r="G7" s="359">
        <f>'Planilla final'!D52</f>
        <v>0</v>
      </c>
      <c r="H7" s="360"/>
      <c r="I7" s="359">
        <f>'Planilla final'!E52</f>
        <v>0</v>
      </c>
      <c r="J7" s="360"/>
      <c r="K7" s="359">
        <f>'Planilla final'!F52</f>
        <v>0</v>
      </c>
      <c r="L7" s="360"/>
      <c r="M7" s="359">
        <f>'Planilla final'!G52</f>
        <v>109633</v>
      </c>
      <c r="N7" s="360"/>
      <c r="O7" s="359">
        <f>'Planilla final'!H52</f>
        <v>0</v>
      </c>
      <c r="P7" s="360"/>
      <c r="Q7" s="359">
        <f>'Planilla final'!I52</f>
        <v>0</v>
      </c>
      <c r="R7" s="360"/>
      <c r="S7" s="359">
        <f>'Planilla final'!J52</f>
        <v>340.17</v>
      </c>
      <c r="T7" s="360"/>
      <c r="U7" s="359">
        <f>'Planilla final'!K52</f>
        <v>0</v>
      </c>
      <c r="V7" s="361"/>
      <c r="W7" s="359">
        <f>'Planilla final'!L52</f>
        <v>0</v>
      </c>
      <c r="X7" s="361"/>
      <c r="Y7" s="359">
        <f>'Planilla final'!M52</f>
        <v>0</v>
      </c>
      <c r="Z7" s="360"/>
      <c r="AA7" s="360">
        <f t="shared" si="0"/>
        <v>337045.17</v>
      </c>
      <c r="AB7" s="360"/>
      <c r="AC7" s="360">
        <f>+'Planilla final'!O52</f>
        <v>109973</v>
      </c>
      <c r="AD7" s="360"/>
      <c r="AE7" s="360">
        <f>+'Planilla final'!P52</f>
        <v>0</v>
      </c>
      <c r="AF7" s="360"/>
      <c r="AG7" s="362">
        <f t="shared" si="1"/>
        <v>227072.16999999998</v>
      </c>
    </row>
    <row r="8" spans="1:35" hidden="1" outlineLevel="1">
      <c r="A8" s="358" t="s">
        <v>437</v>
      </c>
      <c r="B8" s="364"/>
      <c r="C8" s="360">
        <f>'Planilla final'!B53</f>
        <v>324243</v>
      </c>
      <c r="D8" s="360"/>
      <c r="E8" s="359">
        <f>'Planilla final'!C53</f>
        <v>0</v>
      </c>
      <c r="F8" s="360"/>
      <c r="G8" s="359">
        <f>'Planilla final'!D53</f>
        <v>0</v>
      </c>
      <c r="H8" s="360"/>
      <c r="I8" s="359">
        <f>'Planilla final'!E53</f>
        <v>0</v>
      </c>
      <c r="J8" s="360"/>
      <c r="K8" s="359">
        <f>'Planilla final'!F53</f>
        <v>0</v>
      </c>
      <c r="L8" s="360"/>
      <c r="M8" s="359">
        <f>'Planilla final'!G53</f>
        <v>0</v>
      </c>
      <c r="N8" s="360"/>
      <c r="O8" s="359">
        <f>'Planilla final'!H53</f>
        <v>0</v>
      </c>
      <c r="P8" s="360"/>
      <c r="Q8" s="359">
        <f>'Planilla final'!I53</f>
        <v>0</v>
      </c>
      <c r="R8" s="360"/>
      <c r="S8" s="359">
        <f>'Planilla final'!J53</f>
        <v>0</v>
      </c>
      <c r="T8" s="360"/>
      <c r="U8" s="359">
        <f>'Planilla final'!K53</f>
        <v>0</v>
      </c>
      <c r="V8" s="361"/>
      <c r="W8" s="359">
        <f>'Planilla final'!L54</f>
        <v>202047</v>
      </c>
      <c r="X8" s="361"/>
      <c r="Y8" s="359">
        <f>'Planilla final'!M53</f>
        <v>0</v>
      </c>
      <c r="Z8" s="360"/>
      <c r="AA8" s="360">
        <f t="shared" si="0"/>
        <v>526290</v>
      </c>
      <c r="AB8" s="360"/>
      <c r="AC8" s="360">
        <f>+'Planilla final'!O53</f>
        <v>0</v>
      </c>
      <c r="AD8" s="360"/>
      <c r="AE8" s="360">
        <f>+'Planilla final'!P53</f>
        <v>0</v>
      </c>
      <c r="AF8" s="360"/>
      <c r="AG8" s="362">
        <f t="shared" si="1"/>
        <v>526290</v>
      </c>
    </row>
    <row r="9" spans="1:35" hidden="1" outlineLevel="1">
      <c r="A9" s="358" t="s">
        <v>438</v>
      </c>
      <c r="B9" s="364"/>
      <c r="C9" s="360">
        <f>'Planilla final'!B54</f>
        <v>0</v>
      </c>
      <c r="D9" s="360"/>
      <c r="E9" s="359">
        <f>'Planilla final'!C54</f>
        <v>0</v>
      </c>
      <c r="F9" s="360"/>
      <c r="G9" s="359">
        <f>'Planilla final'!D54</f>
        <v>0</v>
      </c>
      <c r="H9" s="360"/>
      <c r="I9" s="359">
        <f>'Planilla final'!E54</f>
        <v>0</v>
      </c>
      <c r="J9" s="360"/>
      <c r="K9" s="359">
        <f>'Planilla final'!F54</f>
        <v>0</v>
      </c>
      <c r="L9" s="360"/>
      <c r="M9" s="359">
        <f>'Planilla final'!G54</f>
        <v>0</v>
      </c>
      <c r="N9" s="360"/>
      <c r="O9" s="359">
        <f>'Planilla final'!H54</f>
        <v>0</v>
      </c>
      <c r="P9" s="360"/>
      <c r="Q9" s="359">
        <f>'Planilla final'!I54</f>
        <v>0</v>
      </c>
      <c r="R9" s="360"/>
      <c r="S9" s="359">
        <f>'Planilla final'!J54</f>
        <v>1378711.65</v>
      </c>
      <c r="T9" s="360"/>
      <c r="U9" s="359">
        <f>'Planilla final'!K54</f>
        <v>0</v>
      </c>
      <c r="V9" s="361"/>
      <c r="W9" s="359">
        <f>'Planilla final'!L54</f>
        <v>202047</v>
      </c>
      <c r="X9" s="361"/>
      <c r="Y9" s="359">
        <f>'Planilla final'!M54</f>
        <v>0</v>
      </c>
      <c r="Z9" s="360"/>
      <c r="AA9" s="360">
        <f t="shared" si="0"/>
        <v>1580758.65</v>
      </c>
      <c r="AB9" s="360"/>
      <c r="AC9" s="360">
        <f>+'Planilla final'!O54</f>
        <v>1580759</v>
      </c>
      <c r="AD9" s="360"/>
      <c r="AE9" s="360">
        <f>+'Planilla final'!P54</f>
        <v>0</v>
      </c>
      <c r="AF9" s="360"/>
      <c r="AG9" s="362"/>
    </row>
    <row r="10" spans="1:35" hidden="1" outlineLevel="1">
      <c r="A10" s="358" t="s">
        <v>439</v>
      </c>
      <c r="B10" s="364"/>
      <c r="C10" s="360">
        <f>'Planilla final'!B55</f>
        <v>-3202431</v>
      </c>
      <c r="D10" s="360"/>
      <c r="E10" s="359">
        <f>'Planilla final'!C55</f>
        <v>0</v>
      </c>
      <c r="F10" s="360"/>
      <c r="G10" s="359">
        <f>'Planilla final'!D55</f>
        <v>0</v>
      </c>
      <c r="H10" s="360"/>
      <c r="I10" s="359">
        <f>'Planilla final'!E55</f>
        <v>0</v>
      </c>
      <c r="J10" s="360"/>
      <c r="K10" s="359">
        <f>'Planilla final'!F55</f>
        <v>82150.45</v>
      </c>
      <c r="L10" s="360"/>
      <c r="M10" s="359">
        <f>'Planilla final'!G55</f>
        <v>0</v>
      </c>
      <c r="N10" s="360"/>
      <c r="O10" s="359">
        <f>'Planilla final'!H55</f>
        <v>0</v>
      </c>
      <c r="P10" s="360"/>
      <c r="Q10" s="359">
        <f>'Planilla final'!I55</f>
        <v>0</v>
      </c>
      <c r="R10" s="360"/>
      <c r="S10" s="359">
        <f>'Planilla final'!J55</f>
        <v>0</v>
      </c>
      <c r="T10" s="360"/>
      <c r="U10" s="359">
        <f>'Planilla final'!K55</f>
        <v>0</v>
      </c>
      <c r="V10" s="361"/>
      <c r="W10" s="359">
        <f>'Planilla final'!L55</f>
        <v>-56932</v>
      </c>
      <c r="X10" s="361"/>
      <c r="Y10" s="359">
        <f>'Planilla final'!M55</f>
        <v>0</v>
      </c>
      <c r="Z10" s="360"/>
      <c r="AA10" s="360">
        <f t="shared" si="0"/>
        <v>-3177212.55</v>
      </c>
      <c r="AB10" s="360"/>
      <c r="AC10" s="360">
        <f>+'Planilla final'!O55</f>
        <v>25218</v>
      </c>
      <c r="AD10" s="360"/>
      <c r="AE10" s="360">
        <f>+'Planilla final'!P55</f>
        <v>0</v>
      </c>
      <c r="AF10" s="360"/>
      <c r="AG10" s="362">
        <f>AA10-AC10+AE10</f>
        <v>-3202430.55</v>
      </c>
    </row>
    <row r="11" spans="1:35" hidden="1" outlineLevel="1">
      <c r="A11" s="358" t="s">
        <v>149</v>
      </c>
      <c r="B11" s="364"/>
      <c r="C11" s="360">
        <f>'Planilla final'!B56</f>
        <v>44007629</v>
      </c>
      <c r="D11" s="360"/>
      <c r="E11" s="359">
        <f>'Planilla final'!C56</f>
        <v>-8625165</v>
      </c>
      <c r="F11" s="360"/>
      <c r="G11" s="359">
        <f>'Planilla final'!D56</f>
        <v>2648674.7999999998</v>
      </c>
      <c r="H11" s="360"/>
      <c r="I11" s="359">
        <f>'Planilla final'!E56</f>
        <v>0</v>
      </c>
      <c r="J11" s="360"/>
      <c r="K11" s="359">
        <f>'Planilla final'!F56</f>
        <v>-94162.889999999898</v>
      </c>
      <c r="L11" s="360"/>
      <c r="M11" s="359">
        <f>'Planilla final'!G56</f>
        <v>-94319</v>
      </c>
      <c r="N11" s="360"/>
      <c r="O11" s="359">
        <f>'Planilla final'!H56</f>
        <v>0</v>
      </c>
      <c r="P11" s="360"/>
      <c r="Q11" s="359">
        <f>'Planilla final'!I56</f>
        <v>0</v>
      </c>
      <c r="R11" s="360"/>
      <c r="S11" s="359">
        <f>'Planilla final'!J56</f>
        <v>-241624.27</v>
      </c>
      <c r="T11" s="360"/>
      <c r="U11" s="359">
        <f>'Planilla final'!K56</f>
        <v>-324569</v>
      </c>
      <c r="V11" s="361"/>
      <c r="W11" s="359">
        <f>'Planilla final'!L56</f>
        <v>-3973274</v>
      </c>
      <c r="X11" s="361"/>
      <c r="Y11" s="359">
        <f>'Planilla final'!M56</f>
        <v>-1058874</v>
      </c>
      <c r="Z11" s="360"/>
      <c r="AA11" s="360">
        <f t="shared" si="0"/>
        <v>32244315.639999993</v>
      </c>
      <c r="AB11" s="360"/>
      <c r="AC11" s="360">
        <f>+'Planilla final'!O56</f>
        <v>3484702</v>
      </c>
      <c r="AD11" s="360"/>
      <c r="AE11" s="360">
        <f>+'Planilla final'!P56</f>
        <v>7621259</v>
      </c>
      <c r="AF11" s="360"/>
      <c r="AG11" s="362">
        <f>AA11-AC11+AE11</f>
        <v>36380872.639999993</v>
      </c>
    </row>
    <row r="12" spans="1:35" ht="5.0999999999999996" hidden="1" customHeight="1" outlineLevel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 hidden="1" outlineLevel="1">
      <c r="A13" s="355" t="s">
        <v>359</v>
      </c>
      <c r="C13" s="365">
        <f>+SUM(C3:C11)</f>
        <v>69156773</v>
      </c>
      <c r="D13" s="360"/>
      <c r="E13" s="365">
        <f>+SUM(E3:E11)</f>
        <v>33320029</v>
      </c>
      <c r="F13" s="360"/>
      <c r="G13" s="365">
        <f>+SUM(G3:G11)</f>
        <v>4630987.8499999996</v>
      </c>
      <c r="H13" s="360"/>
      <c r="I13" s="365">
        <f>+SUM(I3:I11)</f>
        <v>0</v>
      </c>
      <c r="J13" s="360"/>
      <c r="K13" s="365">
        <f>+SUM(K3:K11)</f>
        <v>38502.560000000114</v>
      </c>
      <c r="L13" s="360"/>
      <c r="M13" s="365">
        <f>+SUM(M3:M11)</f>
        <v>346764</v>
      </c>
      <c r="N13" s="360"/>
      <c r="O13" s="365">
        <f>+SUM(O3:O11)</f>
        <v>5000</v>
      </c>
      <c r="P13" s="360"/>
      <c r="Q13" s="365">
        <f>+SUM(Q3:Q11)</f>
        <v>10000</v>
      </c>
      <c r="R13" s="360"/>
      <c r="S13" s="365">
        <f>+SUM(S3:S11)</f>
        <v>1138227.5499999998</v>
      </c>
      <c r="T13" s="360"/>
      <c r="U13" s="365">
        <f>+SUM(U3:U11)</f>
        <v>1509649</v>
      </c>
      <c r="V13" s="361"/>
      <c r="W13" s="365">
        <f>+SUM(W3:W11)</f>
        <v>546131</v>
      </c>
      <c r="X13" s="361"/>
      <c r="Y13" s="365">
        <f>+SUM(Y3:Y11)</f>
        <v>-1048874</v>
      </c>
      <c r="Z13" s="360"/>
      <c r="AA13" s="365">
        <f>+SUM(AA3:AA11)</f>
        <v>109653189.96000001</v>
      </c>
      <c r="AB13" s="360"/>
      <c r="AC13" s="365">
        <f>+SUM(AC3:AC11)</f>
        <v>55542383</v>
      </c>
      <c r="AD13" s="360"/>
      <c r="AE13" s="365">
        <f>+SUM(AE3:AE11)</f>
        <v>7621259</v>
      </c>
      <c r="AF13" s="360"/>
      <c r="AG13" s="366">
        <f>+SUM(AG3:AG11)</f>
        <v>61732066.309999987</v>
      </c>
    </row>
    <row r="14" spans="1:35" ht="5.0999999999999996" hidden="1" customHeight="1" outlineLevel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hidden="1" customHeight="1" outlineLevel="1">
      <c r="V15" s="367"/>
      <c r="X15" s="367"/>
      <c r="AC15" s="368"/>
      <c r="AE15" s="368"/>
    </row>
    <row r="16" spans="1:35" s="369" customFormat="1" ht="10.5" hidden="1" outlineLevel="1">
      <c r="A16" s="369" t="s">
        <v>440</v>
      </c>
      <c r="C16" s="370">
        <v>1</v>
      </c>
      <c r="E16" s="370">
        <v>0.75019999999999998</v>
      </c>
      <c r="G16" s="371">
        <f>+(1104950/1105000)</f>
        <v>0.99995475113122168</v>
      </c>
      <c r="I16" s="370">
        <f>+(0.68)*100%</f>
        <v>0.68</v>
      </c>
      <c r="K16" s="370">
        <v>0.5</v>
      </c>
      <c r="M16" s="370">
        <v>0.75</v>
      </c>
      <c r="O16" s="370">
        <f>+(0.928)*100%</f>
        <v>0.92800000000000005</v>
      </c>
      <c r="Q16" s="370">
        <v>0.6</v>
      </c>
      <c r="S16" s="371">
        <f>+(799.96/800)*100%</f>
        <v>0.99995000000000001</v>
      </c>
      <c r="U16" s="370">
        <v>0.92500000000000004</v>
      </c>
      <c r="V16" s="372"/>
      <c r="W16" s="370">
        <v>0.99</v>
      </c>
      <c r="X16" s="372"/>
      <c r="Y16" s="370">
        <v>1</v>
      </c>
      <c r="AE16" s="373"/>
      <c r="AG16" s="374"/>
      <c r="AH16" s="355"/>
      <c r="AI16" s="355"/>
    </row>
    <row r="17" spans="1:33" ht="5.0999999999999996" hidden="1" customHeight="1" outlineLevel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 hidden="1" outlineLevel="1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 hidden="1" outlineLevel="1">
      <c r="A19" s="358" t="s">
        <v>172</v>
      </c>
      <c r="C19" s="360">
        <f t="shared" ref="C19:C24" si="2">+C3*C$16</f>
        <v>21629181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0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4" si="3">+Q3*Q$16</f>
        <v>6000</v>
      </c>
      <c r="R19" s="360"/>
      <c r="S19" s="360">
        <v>800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4" si="4">+Y3*Y$16</f>
        <v>10000</v>
      </c>
      <c r="Z19" s="360"/>
      <c r="AA19" s="360">
        <f t="shared" ref="AA19:AA27" si="5">+SUM(C19:Z19)</f>
        <v>26386098</v>
      </c>
      <c r="AC19" s="368">
        <f t="shared" ref="AC19:AC27" si="6">+AC3</f>
        <v>4800000</v>
      </c>
      <c r="AE19" s="377">
        <f t="shared" ref="AE19:AE24" si="7">+AE3</f>
        <v>0</v>
      </c>
      <c r="AG19" s="362">
        <f t="shared" ref="AG19:AG27" si="8">AA19-AC19+AE19</f>
        <v>21586098</v>
      </c>
    </row>
    <row r="20" spans="1:33" hidden="1" outlineLevel="1">
      <c r="A20" s="358" t="s">
        <v>435</v>
      </c>
      <c r="C20" s="360">
        <f t="shared" si="2"/>
        <v>920</v>
      </c>
      <c r="D20" s="360"/>
      <c r="E20" s="360">
        <v>27854948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>+S4*S$16</f>
        <v>0</v>
      </c>
      <c r="T20" s="360"/>
      <c r="U20" s="360">
        <v>1833418</v>
      </c>
      <c r="V20" s="361"/>
      <c r="W20" s="360">
        <v>292500</v>
      </c>
      <c r="X20" s="361"/>
      <c r="Y20" s="360">
        <f t="shared" si="4"/>
        <v>0</v>
      </c>
      <c r="Z20" s="360"/>
      <c r="AA20" s="360">
        <f t="shared" si="5"/>
        <v>31238564</v>
      </c>
      <c r="AC20" s="368">
        <f t="shared" si="6"/>
        <v>45437188</v>
      </c>
      <c r="AE20" s="377">
        <f t="shared" si="7"/>
        <v>0</v>
      </c>
      <c r="AG20" s="362">
        <f t="shared" si="8"/>
        <v>-14198624</v>
      </c>
    </row>
    <row r="21" spans="1:33" hidden="1" outlineLevel="1">
      <c r="A21" s="358" t="s">
        <v>90</v>
      </c>
      <c r="C21" s="360">
        <f t="shared" si="2"/>
        <v>6135362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v>74427</v>
      </c>
      <c r="J21" s="360"/>
      <c r="K21" s="360">
        <v>500</v>
      </c>
      <c r="L21" s="360"/>
      <c r="M21" s="360">
        <f>+M5*M$16</f>
        <v>0</v>
      </c>
      <c r="N21" s="360"/>
      <c r="O21" s="360">
        <v>1226</v>
      </c>
      <c r="P21" s="360"/>
      <c r="Q21" s="360">
        <f t="shared" si="3"/>
        <v>0</v>
      </c>
      <c r="R21" s="360"/>
      <c r="S21" s="360">
        <f>+S5*S$16</f>
        <v>0</v>
      </c>
      <c r="T21" s="360"/>
      <c r="U21" s="360">
        <f>+U5*U$16</f>
        <v>0</v>
      </c>
      <c r="V21" s="361"/>
      <c r="W21" s="360">
        <f>+W5*W$16</f>
        <v>103002.56999999999</v>
      </c>
      <c r="X21" s="361"/>
      <c r="Y21" s="360">
        <f t="shared" si="4"/>
        <v>0</v>
      </c>
      <c r="Z21" s="360"/>
      <c r="AA21" s="360">
        <f t="shared" si="5"/>
        <v>6314517.5700000003</v>
      </c>
      <c r="AC21" s="368">
        <f t="shared" si="6"/>
        <v>104543</v>
      </c>
      <c r="AE21" s="377">
        <f t="shared" si="7"/>
        <v>0</v>
      </c>
      <c r="AG21" s="362">
        <f t="shared" si="8"/>
        <v>6209974.5700000003</v>
      </c>
    </row>
    <row r="22" spans="1:33" hidden="1" outlineLevel="1">
      <c r="A22" s="358" t="s">
        <v>91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>+S6*S$16</f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4"/>
        <v>0</v>
      </c>
      <c r="Z22" s="360"/>
      <c r="AA22" s="360">
        <f t="shared" si="5"/>
        <v>34797</v>
      </c>
      <c r="AC22" s="368">
        <f t="shared" si="6"/>
        <v>0</v>
      </c>
      <c r="AE22" s="377">
        <f t="shared" si="7"/>
        <v>0</v>
      </c>
      <c r="AG22" s="362">
        <f t="shared" si="8"/>
        <v>34797</v>
      </c>
    </row>
    <row r="23" spans="1:33" hidden="1" outlineLevel="1">
      <c r="A23" s="358" t="s">
        <v>436</v>
      </c>
      <c r="C23" s="360">
        <f t="shared" si="2"/>
        <v>227072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v>109633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v>340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4"/>
        <v>0</v>
      </c>
      <c r="Z23" s="360"/>
      <c r="AA23" s="360">
        <f t="shared" si="5"/>
        <v>337045</v>
      </c>
      <c r="AC23" s="368">
        <f t="shared" si="6"/>
        <v>109973</v>
      </c>
      <c r="AE23" s="377">
        <f t="shared" si="7"/>
        <v>0</v>
      </c>
      <c r="AG23" s="362">
        <f t="shared" si="8"/>
        <v>227072</v>
      </c>
    </row>
    <row r="24" spans="1:33" hidden="1" outlineLevel="1">
      <c r="A24" s="358" t="s">
        <v>437</v>
      </c>
      <c r="C24" s="360">
        <f t="shared" si="2"/>
        <v>324243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f>+I8*I$16</f>
        <v>0</v>
      </c>
      <c r="J24" s="360"/>
      <c r="K24" s="360">
        <f>+K8*K$16</f>
        <v>0</v>
      </c>
      <c r="L24" s="360"/>
      <c r="M24" s="360">
        <f>+M8*M$16</f>
        <v>0</v>
      </c>
      <c r="N24" s="360"/>
      <c r="O24" s="360">
        <f>+O8*O$16</f>
        <v>0</v>
      </c>
      <c r="P24" s="360"/>
      <c r="Q24" s="360">
        <f t="shared" si="3"/>
        <v>0</v>
      </c>
      <c r="R24" s="360"/>
      <c r="S24" s="360">
        <f>+S8*S$16</f>
        <v>0</v>
      </c>
      <c r="T24" s="360"/>
      <c r="U24" s="360">
        <f>+U8*U$16</f>
        <v>0</v>
      </c>
      <c r="V24" s="361"/>
      <c r="W24" s="360"/>
      <c r="X24" s="361"/>
      <c r="Y24" s="360">
        <f t="shared" si="4"/>
        <v>0</v>
      </c>
      <c r="Z24" s="360"/>
      <c r="AA24" s="360">
        <f t="shared" si="5"/>
        <v>324243</v>
      </c>
      <c r="AC24" s="368">
        <f t="shared" si="6"/>
        <v>0</v>
      </c>
      <c r="AE24" s="377">
        <f t="shared" si="7"/>
        <v>0</v>
      </c>
      <c r="AG24" s="362">
        <f t="shared" si="8"/>
        <v>324243</v>
      </c>
    </row>
    <row r="25" spans="1:33" hidden="1" outlineLevel="1">
      <c r="A25" s="358" t="s">
        <v>438</v>
      </c>
      <c r="C25" s="360">
        <v>0</v>
      </c>
      <c r="D25" s="360"/>
      <c r="E25" s="360">
        <v>0</v>
      </c>
      <c r="F25" s="360"/>
      <c r="G25" s="360">
        <v>0</v>
      </c>
      <c r="H25" s="360"/>
      <c r="I25" s="360">
        <v>0</v>
      </c>
      <c r="J25" s="360"/>
      <c r="K25" s="360">
        <v>0</v>
      </c>
      <c r="L25" s="360"/>
      <c r="M25" s="360">
        <v>0</v>
      </c>
      <c r="N25" s="360"/>
      <c r="O25" s="360">
        <v>0</v>
      </c>
      <c r="P25" s="360"/>
      <c r="Q25" s="360">
        <v>0</v>
      </c>
      <c r="R25" s="360"/>
      <c r="S25" s="360">
        <v>0</v>
      </c>
      <c r="T25" s="360"/>
      <c r="U25" s="360">
        <v>0</v>
      </c>
      <c r="V25" s="361"/>
      <c r="W25" s="360">
        <v>274690</v>
      </c>
      <c r="X25" s="361"/>
      <c r="Y25" s="360">
        <v>0</v>
      </c>
      <c r="Z25" s="360"/>
      <c r="AA25" s="360">
        <f t="shared" si="5"/>
        <v>274690</v>
      </c>
      <c r="AC25" s="368">
        <f t="shared" si="6"/>
        <v>1580759</v>
      </c>
      <c r="AE25" s="377">
        <v>0</v>
      </c>
      <c r="AG25" s="362">
        <f t="shared" si="8"/>
        <v>-1306069</v>
      </c>
    </row>
    <row r="26" spans="1:33" hidden="1" outlineLevel="1">
      <c r="A26" s="358" t="s">
        <v>442</v>
      </c>
      <c r="C26" s="360">
        <f>+C10*C$16</f>
        <v>-3202431</v>
      </c>
      <c r="D26" s="360"/>
      <c r="E26" s="360">
        <f>+E10*E$16</f>
        <v>0</v>
      </c>
      <c r="F26" s="360"/>
      <c r="G26" s="360">
        <f>+G10*G$16</f>
        <v>0</v>
      </c>
      <c r="H26" s="360"/>
      <c r="I26" s="360">
        <f>+I10*I$16</f>
        <v>0</v>
      </c>
      <c r="J26" s="360"/>
      <c r="K26" s="360">
        <f>+K10*K$16</f>
        <v>41075.224999999999</v>
      </c>
      <c r="L26" s="360"/>
      <c r="M26" s="360">
        <f>+M10*M$16</f>
        <v>0</v>
      </c>
      <c r="N26" s="360"/>
      <c r="O26" s="360">
        <f>+O10*O$16</f>
        <v>0</v>
      </c>
      <c r="P26" s="360"/>
      <c r="Q26" s="360">
        <f>+Q10*Q$16</f>
        <v>0</v>
      </c>
      <c r="R26" s="360"/>
      <c r="S26" s="360">
        <f>+S10*S$16</f>
        <v>0</v>
      </c>
      <c r="T26" s="360"/>
      <c r="U26" s="360">
        <f>+U10*U$16</f>
        <v>0</v>
      </c>
      <c r="V26" s="361"/>
      <c r="W26" s="359">
        <v>-56932</v>
      </c>
      <c r="X26" s="361"/>
      <c r="Y26" s="360">
        <f>+Y10*Y$16</f>
        <v>0</v>
      </c>
      <c r="Z26" s="360"/>
      <c r="AA26" s="360">
        <f t="shared" si="5"/>
        <v>-3218287.7749999999</v>
      </c>
      <c r="AC26" s="368">
        <f t="shared" si="6"/>
        <v>25218</v>
      </c>
      <c r="AE26" s="377">
        <f>+AE10</f>
        <v>0</v>
      </c>
      <c r="AG26" s="362">
        <f t="shared" si="8"/>
        <v>-3243505.7749999999</v>
      </c>
    </row>
    <row r="27" spans="1:33" hidden="1" outlineLevel="1">
      <c r="A27" s="358" t="s">
        <v>149</v>
      </c>
      <c r="C27" s="378">
        <f>+C11*C$16</f>
        <v>44007629</v>
      </c>
      <c r="D27" s="360"/>
      <c r="E27" s="378">
        <f>+E11*E$16</f>
        <v>-6470598.7829999998</v>
      </c>
      <c r="F27" s="360"/>
      <c r="G27" s="378">
        <f>+G11*G$16</f>
        <v>2648554.950461538</v>
      </c>
      <c r="H27" s="360"/>
      <c r="I27" s="378">
        <f>+I11*I$16</f>
        <v>0</v>
      </c>
      <c r="J27" s="360"/>
      <c r="K27" s="378">
        <f>+K11*K$16</f>
        <v>-47081.444999999949</v>
      </c>
      <c r="L27" s="360"/>
      <c r="M27" s="378">
        <f>+M11*M$16</f>
        <v>-70739.25</v>
      </c>
      <c r="N27" s="360"/>
      <c r="O27" s="378">
        <f>+O11*O$16</f>
        <v>0</v>
      </c>
      <c r="P27" s="360"/>
      <c r="Q27" s="378">
        <f>+Q11*Q$16</f>
        <v>0</v>
      </c>
      <c r="R27" s="360"/>
      <c r="S27" s="378">
        <f>+S11*S$16</f>
        <v>-241612.18878649999</v>
      </c>
      <c r="T27" s="360"/>
      <c r="U27" s="378">
        <f>+U11*U$16</f>
        <v>-300226.32500000001</v>
      </c>
      <c r="V27" s="361"/>
      <c r="W27" s="378">
        <f>+W11*W$16</f>
        <v>-3933541.26</v>
      </c>
      <c r="X27" s="361"/>
      <c r="Y27" s="378">
        <f>+Y11*Y$16</f>
        <v>-1058874</v>
      </c>
      <c r="Z27" s="360"/>
      <c r="AA27" s="378">
        <f t="shared" si="5"/>
        <v>34533510.698675036</v>
      </c>
      <c r="AC27" s="379">
        <f t="shared" si="6"/>
        <v>3484702</v>
      </c>
      <c r="AE27" s="380">
        <f>+AE11</f>
        <v>7621259</v>
      </c>
      <c r="AG27" s="381">
        <f t="shared" si="8"/>
        <v>38670067.698675036</v>
      </c>
    </row>
    <row r="28" spans="1:33" hidden="1" outlineLevel="1">
      <c r="A28" s="358"/>
      <c r="C28" s="368">
        <f>+SUM(C19:C27)</f>
        <v>69156773</v>
      </c>
      <c r="E28" s="368">
        <f>+SUM(E19:E27)</f>
        <v>21388100.217</v>
      </c>
      <c r="G28" s="368">
        <f>+SUM(G19:G27)</f>
        <v>4630817.9504615385</v>
      </c>
      <c r="I28" s="368">
        <f>+SUM(I19:I27)</f>
        <v>74427</v>
      </c>
      <c r="K28" s="368">
        <f>+SUM(K19:K27)</f>
        <v>44008.780000000057</v>
      </c>
      <c r="M28" s="368">
        <f>+SUM(M19:M27)</f>
        <v>370093.75</v>
      </c>
      <c r="O28" s="368">
        <f>+SUM(O19:O27)</f>
        <v>5866</v>
      </c>
      <c r="Q28" s="368">
        <f>+SUM(Q19:Q27)</f>
        <v>6000</v>
      </c>
      <c r="S28" s="368">
        <f>+SUM(S19:S27)</f>
        <v>-240472.18878649999</v>
      </c>
      <c r="U28" s="368">
        <f>+SUM(U19:U27)</f>
        <v>1533931.675</v>
      </c>
      <c r="V28" s="367"/>
      <c r="W28" s="368">
        <f>+SUM(W19:W27)</f>
        <v>304505.31000000052</v>
      </c>
      <c r="X28" s="367"/>
      <c r="Y28" s="368">
        <f>+SUM(Y19:Y27)</f>
        <v>-1048874</v>
      </c>
      <c r="AA28" s="368">
        <f>+SUM(AA19:AA27)</f>
        <v>96225177.493675038</v>
      </c>
      <c r="AC28" s="368">
        <f>+SUM(AC19:AC27)</f>
        <v>55542383</v>
      </c>
      <c r="AE28" s="368">
        <f>+SUM(AE19:AE27)</f>
        <v>7621259</v>
      </c>
      <c r="AG28" s="362">
        <f>+SUM(AG19:AG27)</f>
        <v>48304053.493675038</v>
      </c>
    </row>
    <row r="29" spans="1:33" ht="5.0999999999999996" hidden="1" customHeight="1" outlineLevel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 hidden="1" outlineLevel="1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 hidden="1" outlineLevel="1">
      <c r="A31" s="358" t="s">
        <v>172</v>
      </c>
      <c r="C31" s="368">
        <f t="shared" ref="C31:C36" si="9">+C3-C19</f>
        <v>0</v>
      </c>
      <c r="E31" s="368">
        <f t="shared" ref="E31:E36" si="10">+E3-E19</f>
        <v>1249</v>
      </c>
      <c r="G31" s="368">
        <f t="shared" ref="G31:G36" si="11">+G3-G19</f>
        <v>50</v>
      </c>
      <c r="I31" s="368">
        <f t="shared" ref="I31:I36" si="12">+I3-I19</f>
        <v>0</v>
      </c>
      <c r="K31" s="368">
        <f t="shared" ref="K31:K36" si="13">+K3-K19</f>
        <v>500</v>
      </c>
      <c r="M31" s="368">
        <f t="shared" ref="M31:M36" si="14">+M3-M19</f>
        <v>250</v>
      </c>
      <c r="O31" s="368">
        <f t="shared" ref="O31:O36" si="15">+O3-O19</f>
        <v>360</v>
      </c>
      <c r="Q31" s="368">
        <f t="shared" ref="Q31:Q36" si="16">+Q3-Q19</f>
        <v>4000</v>
      </c>
      <c r="S31" s="368">
        <f t="shared" ref="S31:S36" si="17">+S3-S19</f>
        <v>0</v>
      </c>
      <c r="U31" s="368">
        <f t="shared" ref="U31:U36" si="18">+U3-U19</f>
        <v>60</v>
      </c>
      <c r="V31" s="367"/>
      <c r="W31" s="368">
        <f t="shared" ref="W31:W36" si="19">+W3-W19</f>
        <v>36614</v>
      </c>
      <c r="X31" s="367"/>
      <c r="Y31" s="368">
        <f t="shared" ref="Y31:Y36" si="20">+Y3-Y19</f>
        <v>0</v>
      </c>
      <c r="AA31" s="360">
        <f t="shared" ref="AA31:AA36" si="21">+SUM(C31:Z31)</f>
        <v>43083</v>
      </c>
      <c r="AC31" s="368">
        <v>0</v>
      </c>
      <c r="AE31" s="368">
        <v>0</v>
      </c>
      <c r="AG31" s="362">
        <f t="shared" ref="AG31:AG36" si="22">+AA31+AC31+AE31</f>
        <v>43083</v>
      </c>
    </row>
    <row r="32" spans="1:33" hidden="1" outlineLevel="1">
      <c r="A32" s="358" t="s">
        <v>435</v>
      </c>
      <c r="C32" s="368">
        <f t="shared" si="9"/>
        <v>0</v>
      </c>
      <c r="E32" s="368">
        <f t="shared" si="10"/>
        <v>14085246</v>
      </c>
      <c r="G32" s="368">
        <f t="shared" si="11"/>
        <v>5.0000000046566129E-2</v>
      </c>
      <c r="I32" s="368">
        <f t="shared" si="12"/>
        <v>0</v>
      </c>
      <c r="K32" s="368">
        <f t="shared" si="13"/>
        <v>0</v>
      </c>
      <c r="M32" s="368">
        <f t="shared" si="14"/>
        <v>0</v>
      </c>
      <c r="O32" s="368">
        <f t="shared" si="15"/>
        <v>0</v>
      </c>
      <c r="Q32" s="368">
        <f t="shared" si="16"/>
        <v>0</v>
      </c>
      <c r="S32" s="368">
        <f t="shared" si="17"/>
        <v>0</v>
      </c>
      <c r="U32" s="368">
        <f t="shared" si="18"/>
        <v>0</v>
      </c>
      <c r="V32" s="367"/>
      <c r="W32" s="368">
        <f t="shared" si="19"/>
        <v>114300</v>
      </c>
      <c r="X32" s="367"/>
      <c r="Y32" s="368">
        <f t="shared" si="20"/>
        <v>0</v>
      </c>
      <c r="AA32" s="360">
        <f t="shared" si="21"/>
        <v>14199546.050000001</v>
      </c>
      <c r="AC32" s="368">
        <v>0</v>
      </c>
      <c r="AE32" s="368">
        <v>0</v>
      </c>
      <c r="AG32" s="362">
        <f t="shared" si="22"/>
        <v>14199546.050000001</v>
      </c>
    </row>
    <row r="33" spans="1:34" hidden="1" outlineLevel="1">
      <c r="A33" s="358" t="s">
        <v>90</v>
      </c>
      <c r="C33" s="368">
        <f t="shared" si="9"/>
        <v>0</v>
      </c>
      <c r="E33" s="368">
        <f t="shared" si="10"/>
        <v>0</v>
      </c>
      <c r="G33" s="368">
        <f t="shared" si="11"/>
        <v>0</v>
      </c>
      <c r="I33" s="368">
        <f t="shared" si="12"/>
        <v>-74427</v>
      </c>
      <c r="K33" s="368">
        <f t="shared" si="13"/>
        <v>0</v>
      </c>
      <c r="M33" s="368">
        <f t="shared" si="14"/>
        <v>0</v>
      </c>
      <c r="O33" s="368">
        <f t="shared" si="15"/>
        <v>-1226</v>
      </c>
      <c r="Q33" s="368">
        <f t="shared" si="16"/>
        <v>0</v>
      </c>
      <c r="S33" s="368">
        <f t="shared" si="17"/>
        <v>0</v>
      </c>
      <c r="U33" s="368">
        <f t="shared" si="18"/>
        <v>0</v>
      </c>
      <c r="V33" s="367"/>
      <c r="W33" s="368">
        <f t="shared" si="19"/>
        <v>1040.4300000000076</v>
      </c>
      <c r="X33" s="367"/>
      <c r="Y33" s="368">
        <f t="shared" si="20"/>
        <v>0</v>
      </c>
      <c r="AA33" s="360">
        <f t="shared" si="21"/>
        <v>-74612.569999999992</v>
      </c>
      <c r="AC33" s="368">
        <v>0</v>
      </c>
      <c r="AE33" s="368">
        <v>0</v>
      </c>
      <c r="AG33" s="362">
        <f t="shared" si="22"/>
        <v>-74612.569999999992</v>
      </c>
    </row>
    <row r="34" spans="1:34" hidden="1" outlineLevel="1">
      <c r="A34" s="358" t="s">
        <v>91</v>
      </c>
      <c r="C34" s="368">
        <f t="shared" si="9"/>
        <v>0</v>
      </c>
      <c r="E34" s="368">
        <f t="shared" si="10"/>
        <v>0</v>
      </c>
      <c r="G34" s="368">
        <f t="shared" si="11"/>
        <v>0</v>
      </c>
      <c r="I34" s="368">
        <f t="shared" si="12"/>
        <v>0</v>
      </c>
      <c r="K34" s="368">
        <f t="shared" si="13"/>
        <v>0</v>
      </c>
      <c r="M34" s="368">
        <f t="shared" si="14"/>
        <v>0</v>
      </c>
      <c r="O34" s="368">
        <f t="shared" si="15"/>
        <v>0</v>
      </c>
      <c r="Q34" s="368">
        <f t="shared" si="16"/>
        <v>0</v>
      </c>
      <c r="S34" s="368">
        <f t="shared" si="17"/>
        <v>0</v>
      </c>
      <c r="U34" s="368">
        <f t="shared" si="18"/>
        <v>0</v>
      </c>
      <c r="V34" s="367"/>
      <c r="W34" s="368">
        <f t="shared" si="19"/>
        <v>0</v>
      </c>
      <c r="X34" s="367"/>
      <c r="Y34" s="368">
        <f t="shared" si="20"/>
        <v>0</v>
      </c>
      <c r="AA34" s="360">
        <f t="shared" si="21"/>
        <v>0</v>
      </c>
      <c r="AC34" s="368">
        <v>0</v>
      </c>
      <c r="AE34" s="368">
        <v>0</v>
      </c>
      <c r="AG34" s="362">
        <f t="shared" si="22"/>
        <v>0</v>
      </c>
    </row>
    <row r="35" spans="1:34" hidden="1" outlineLevel="1">
      <c r="A35" s="358" t="s">
        <v>436</v>
      </c>
      <c r="C35" s="368">
        <f t="shared" si="9"/>
        <v>0</v>
      </c>
      <c r="E35" s="368">
        <f t="shared" si="10"/>
        <v>0</v>
      </c>
      <c r="G35" s="368">
        <f t="shared" si="11"/>
        <v>0</v>
      </c>
      <c r="I35" s="368">
        <f t="shared" si="12"/>
        <v>0</v>
      </c>
      <c r="K35" s="368">
        <f t="shared" si="13"/>
        <v>0</v>
      </c>
      <c r="M35" s="368">
        <f t="shared" si="14"/>
        <v>0</v>
      </c>
      <c r="O35" s="368">
        <f t="shared" si="15"/>
        <v>0</v>
      </c>
      <c r="Q35" s="368">
        <f t="shared" si="16"/>
        <v>0</v>
      </c>
      <c r="S35" s="368">
        <f t="shared" si="17"/>
        <v>0.17000000000001592</v>
      </c>
      <c r="U35" s="368">
        <f t="shared" si="18"/>
        <v>0</v>
      </c>
      <c r="V35" s="367"/>
      <c r="W35" s="368">
        <f t="shared" si="19"/>
        <v>0</v>
      </c>
      <c r="X35" s="367"/>
      <c r="Y35" s="368">
        <f t="shared" si="20"/>
        <v>0</v>
      </c>
      <c r="AA35" s="360">
        <f t="shared" si="21"/>
        <v>0.17000000000001592</v>
      </c>
      <c r="AC35" s="368">
        <v>0</v>
      </c>
      <c r="AE35" s="368">
        <v>0</v>
      </c>
      <c r="AG35" s="362">
        <f t="shared" si="22"/>
        <v>0.17000000000001592</v>
      </c>
    </row>
    <row r="36" spans="1:34" hidden="1" outlineLevel="1">
      <c r="A36" s="358" t="s">
        <v>437</v>
      </c>
      <c r="C36" s="368">
        <f t="shared" si="9"/>
        <v>0</v>
      </c>
      <c r="E36" s="368">
        <f t="shared" si="10"/>
        <v>0</v>
      </c>
      <c r="G36" s="368">
        <f t="shared" si="11"/>
        <v>0</v>
      </c>
      <c r="I36" s="368">
        <f t="shared" si="12"/>
        <v>0</v>
      </c>
      <c r="K36" s="368">
        <f t="shared" si="13"/>
        <v>0</v>
      </c>
      <c r="M36" s="368">
        <f t="shared" si="14"/>
        <v>0</v>
      </c>
      <c r="O36" s="368">
        <f t="shared" si="15"/>
        <v>0</v>
      </c>
      <c r="Q36" s="368">
        <f t="shared" si="16"/>
        <v>0</v>
      </c>
      <c r="S36" s="368">
        <f t="shared" si="17"/>
        <v>0</v>
      </c>
      <c r="U36" s="368">
        <f t="shared" si="18"/>
        <v>0</v>
      </c>
      <c r="V36" s="367"/>
      <c r="W36" s="368">
        <f t="shared" si="19"/>
        <v>202047</v>
      </c>
      <c r="X36" s="367"/>
      <c r="Y36" s="368">
        <f t="shared" si="20"/>
        <v>0</v>
      </c>
      <c r="AA36" s="360">
        <f t="shared" si="21"/>
        <v>202047</v>
      </c>
      <c r="AC36" s="368">
        <v>0</v>
      </c>
      <c r="AE36" s="368">
        <v>0</v>
      </c>
      <c r="AG36" s="362">
        <f t="shared" si="22"/>
        <v>202047</v>
      </c>
    </row>
    <row r="37" spans="1:34" hidden="1" outlineLevel="1">
      <c r="A37" s="358" t="s">
        <v>438</v>
      </c>
      <c r="C37" s="368"/>
      <c r="E37" s="368"/>
      <c r="G37" s="368"/>
      <c r="I37" s="368"/>
      <c r="K37" s="368"/>
      <c r="M37" s="368"/>
      <c r="O37" s="368"/>
      <c r="Q37" s="368"/>
      <c r="S37" s="368"/>
      <c r="U37" s="368"/>
      <c r="V37" s="367"/>
      <c r="W37" s="368"/>
      <c r="X37" s="367"/>
      <c r="Y37" s="368"/>
      <c r="AA37" s="360"/>
      <c r="AC37" s="368"/>
      <c r="AE37" s="368"/>
      <c r="AG37" s="362"/>
    </row>
    <row r="38" spans="1:34" hidden="1" outlineLevel="1">
      <c r="A38" s="358" t="s">
        <v>442</v>
      </c>
      <c r="C38" s="368">
        <f>+C10-C26</f>
        <v>0</v>
      </c>
      <c r="E38" s="368">
        <f>+E10-E26</f>
        <v>0</v>
      </c>
      <c r="G38" s="368">
        <f>+G10-G26</f>
        <v>0</v>
      </c>
      <c r="I38" s="368">
        <f>+I10-I26</f>
        <v>0</v>
      </c>
      <c r="K38" s="368">
        <f>+K10-K26</f>
        <v>41075.224999999999</v>
      </c>
      <c r="M38" s="368">
        <f>+M10-M26</f>
        <v>0</v>
      </c>
      <c r="O38" s="368">
        <f>+O10-O26</f>
        <v>0</v>
      </c>
      <c r="Q38" s="368">
        <f>+Q10-Q26</f>
        <v>0</v>
      </c>
      <c r="S38" s="368">
        <f>+S10-S26</f>
        <v>0</v>
      </c>
      <c r="U38" s="368">
        <f>+U10-U26</f>
        <v>0</v>
      </c>
      <c r="V38" s="367"/>
      <c r="W38" s="368">
        <f>+W10-W26</f>
        <v>0</v>
      </c>
      <c r="X38" s="367"/>
      <c r="Y38" s="368">
        <f>+Y10-Y26</f>
        <v>0</v>
      </c>
      <c r="AA38" s="360">
        <f>+SUM(C38:Z38)</f>
        <v>41075.224999999999</v>
      </c>
      <c r="AC38" s="368">
        <v>0</v>
      </c>
      <c r="AE38" s="368">
        <v>0</v>
      </c>
      <c r="AG38" s="362">
        <f>+AA38+AC38+AE38</f>
        <v>41075.224999999999</v>
      </c>
    </row>
    <row r="39" spans="1:34" hidden="1" outlineLevel="1">
      <c r="A39" s="358" t="s">
        <v>149</v>
      </c>
      <c r="C39" s="379">
        <f>+C11-C27</f>
        <v>0</v>
      </c>
      <c r="E39" s="379">
        <f>+E11-E27</f>
        <v>-2154566.2170000002</v>
      </c>
      <c r="G39" s="379">
        <f>+G11-G27</f>
        <v>119.84953846177086</v>
      </c>
      <c r="I39" s="379">
        <f>+I11-I27</f>
        <v>0</v>
      </c>
      <c r="K39" s="379">
        <f>+K11-K27</f>
        <v>-47081.444999999949</v>
      </c>
      <c r="M39" s="379">
        <f>+M11-M27</f>
        <v>-23579.75</v>
      </c>
      <c r="O39" s="379">
        <f>+O11-O27</f>
        <v>0</v>
      </c>
      <c r="Q39" s="379">
        <f>+Q11-Q27</f>
        <v>0</v>
      </c>
      <c r="S39" s="379">
        <f>+S11-S27</f>
        <v>-12.081213500001468</v>
      </c>
      <c r="U39" s="379">
        <f>+U11-U27</f>
        <v>-24342.674999999988</v>
      </c>
      <c r="V39" s="367"/>
      <c r="W39" s="379">
        <f>+W11-W27</f>
        <v>-39732.740000000224</v>
      </c>
      <c r="X39" s="367"/>
      <c r="Y39" s="379">
        <f>+Y11-Y27</f>
        <v>0</v>
      </c>
      <c r="AA39" s="378">
        <f>+SUM(C39:Z39)</f>
        <v>-2289195.0586750382</v>
      </c>
      <c r="AC39" s="379">
        <v>0</v>
      </c>
      <c r="AE39" s="379">
        <v>0</v>
      </c>
      <c r="AG39" s="381">
        <f>+AA39+AC39+AE39</f>
        <v>-2289195.0586750382</v>
      </c>
    </row>
    <row r="40" spans="1:34" hidden="1" outlineLevel="1">
      <c r="C40" s="368">
        <f>+SUM(C31:C39)</f>
        <v>0</v>
      </c>
      <c r="E40" s="368">
        <f>+SUM(E31:E39)</f>
        <v>11931928.783</v>
      </c>
      <c r="G40" s="368">
        <f>+SUM(G31:G39)</f>
        <v>169.89953846181743</v>
      </c>
      <c r="I40" s="368">
        <f>+SUM(I31:I39)</f>
        <v>-74427</v>
      </c>
      <c r="K40" s="368">
        <f>+SUM(K31:K39)</f>
        <v>-5506.2199999999502</v>
      </c>
      <c r="M40" s="368">
        <f>+SUM(M31:M39)</f>
        <v>-23329.75</v>
      </c>
      <c r="O40" s="368">
        <f>+SUM(O31:O39)</f>
        <v>-866</v>
      </c>
      <c r="Q40" s="368">
        <f>+SUM(Q31:Q39)</f>
        <v>4000</v>
      </c>
      <c r="S40" s="368">
        <f>+SUM(S31:S39)</f>
        <v>-11.911213500001452</v>
      </c>
      <c r="U40" s="368">
        <f>+SUM(U31:U39)</f>
        <v>-24282.674999999988</v>
      </c>
      <c r="V40" s="367"/>
      <c r="W40" s="368">
        <f>+SUM(W31:W39)</f>
        <v>314268.68999999977</v>
      </c>
      <c r="X40" s="367"/>
      <c r="Y40" s="368">
        <f>+SUM(Y31:Y39)</f>
        <v>0</v>
      </c>
      <c r="AA40" s="368">
        <f>+SUM(AA31:AA39)</f>
        <v>12121943.816324962</v>
      </c>
      <c r="AC40" s="368">
        <f>+SUM(AC31:AC39)</f>
        <v>0</v>
      </c>
      <c r="AE40" s="368">
        <f>+SUM(AE31:AE39)</f>
        <v>0</v>
      </c>
      <c r="AG40" s="375">
        <f>+SUM(AG31:AG39)</f>
        <v>12121943.816324962</v>
      </c>
      <c r="AH40" s="368"/>
    </row>
    <row r="41" spans="1:34" ht="5.0999999999999996" hidden="1" customHeight="1" outlineLevel="1">
      <c r="V41" s="367"/>
      <c r="X41" s="367"/>
    </row>
    <row r="42" spans="1:34" hidden="1" outlineLevel="1">
      <c r="A42" s="355" t="s">
        <v>259</v>
      </c>
      <c r="C42" s="368">
        <f>+C40+C28</f>
        <v>69156773</v>
      </c>
      <c r="E42" s="368">
        <f>+E40+E28</f>
        <v>33320029</v>
      </c>
      <c r="G42" s="368">
        <f>+G40+G28</f>
        <v>4630987.8500000006</v>
      </c>
      <c r="I42" s="368">
        <f>+I40+I28</f>
        <v>0</v>
      </c>
      <c r="K42" s="368">
        <f>+K40+K28</f>
        <v>38502.560000000107</v>
      </c>
      <c r="M42" s="368">
        <f>+M40+M28</f>
        <v>346764</v>
      </c>
      <c r="O42" s="368">
        <f>+O40+O28</f>
        <v>5000</v>
      </c>
      <c r="Q42" s="368">
        <f>+Q40+Q28</f>
        <v>10000</v>
      </c>
      <c r="S42" s="368">
        <f>+S40+S28</f>
        <v>-240484.09999999998</v>
      </c>
      <c r="U42" s="368">
        <f>+U40+U28</f>
        <v>1509649</v>
      </c>
      <c r="V42" s="367"/>
      <c r="W42" s="368">
        <f>+W40+W28</f>
        <v>618774.00000000023</v>
      </c>
      <c r="X42" s="367"/>
      <c r="Y42" s="368">
        <f>+Y40+Y28</f>
        <v>-1048874</v>
      </c>
      <c r="AA42" s="368">
        <f>+AA40+AA28</f>
        <v>108347121.31</v>
      </c>
      <c r="AC42" s="368">
        <f>+AC40+AC28</f>
        <v>55542383</v>
      </c>
      <c r="AE42" s="368">
        <f>+AE40+AE28</f>
        <v>7621259</v>
      </c>
      <c r="AG42" s="368">
        <f>+AG40+AG28</f>
        <v>60425997.310000002</v>
      </c>
    </row>
    <row r="43" spans="1:34" s="355" customFormat="1" ht="5.0999999999999996" hidden="1" customHeight="1" outlineLevel="1">
      <c r="V43" s="367"/>
      <c r="X43" s="367"/>
    </row>
    <row r="44" spans="1:34" s="382" customFormat="1" ht="9.75" hidden="1" outlineLevel="1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1378711.65</v>
      </c>
      <c r="U44" s="383">
        <f>+SUM(U3:U11)-U42</f>
        <v>0</v>
      </c>
      <c r="V44" s="384"/>
      <c r="W44" s="383">
        <f>+SUM(W3:W11)-W42</f>
        <v>-72643.000000000233</v>
      </c>
      <c r="X44" s="384"/>
      <c r="Y44" s="383">
        <f>+SUM(Y3:Y11)-Y42</f>
        <v>0</v>
      </c>
      <c r="AA44" s="383">
        <f>+SUM(AA3:AA11)-AA42</f>
        <v>1306068.650000006</v>
      </c>
      <c r="AC44" s="383">
        <f>+SUM(AC3:AC11)-AC42</f>
        <v>0</v>
      </c>
      <c r="AE44" s="383">
        <f>+SUM(AE3:AE11)-AE42</f>
        <v>0</v>
      </c>
      <c r="AG44" s="383">
        <f>+SUM(AG3:AG11)-AG42</f>
        <v>1306068.9999999851</v>
      </c>
    </row>
    <row r="45" spans="1:34" ht="15" customHeight="1" collapsed="1"/>
    <row r="46" spans="1:34" ht="15" customHeight="1">
      <c r="A46" s="385" t="s">
        <v>390</v>
      </c>
    </row>
    <row r="47" spans="1:34" ht="15" customHeight="1">
      <c r="A47" s="385" t="s">
        <v>445</v>
      </c>
    </row>
    <row r="48" spans="1:34" ht="43.5">
      <c r="A48" s="386" t="s">
        <v>446</v>
      </c>
      <c r="B48" s="387"/>
      <c r="C48" s="388" t="s">
        <v>447</v>
      </c>
      <c r="D48" s="389"/>
      <c r="E48" s="390" t="s">
        <v>864</v>
      </c>
      <c r="F48" s="389"/>
      <c r="G48" s="390" t="s">
        <v>448</v>
      </c>
      <c r="H48" s="389"/>
      <c r="I48" s="391" t="s">
        <v>449</v>
      </c>
    </row>
    <row r="49" spans="1:9">
      <c r="A49" s="392" t="s">
        <v>212</v>
      </c>
      <c r="B49" s="393"/>
      <c r="C49" s="394">
        <v>1</v>
      </c>
      <c r="D49" s="395"/>
      <c r="E49" s="265">
        <f>+'Planilla final'!B76</f>
        <v>19151165</v>
      </c>
      <c r="F49" s="395"/>
      <c r="G49" s="265">
        <f t="shared" ref="G49:G60" si="23">+E49*C49</f>
        <v>19151165</v>
      </c>
      <c r="H49" s="395"/>
      <c r="I49" s="396">
        <f t="shared" ref="I49:I60" si="24">+E49-G49</f>
        <v>0</v>
      </c>
    </row>
    <row r="50" spans="1:9">
      <c r="A50" s="395" t="s">
        <v>243</v>
      </c>
      <c r="B50" s="397"/>
      <c r="C50" s="394">
        <v>0.75019999999999998</v>
      </c>
      <c r="D50" s="395"/>
      <c r="E50" s="265">
        <f>+'Planilla final'!C76</f>
        <v>-3188003</v>
      </c>
      <c r="F50" s="395"/>
      <c r="G50" s="265">
        <f t="shared" si="23"/>
        <v>-2391639.8506</v>
      </c>
      <c r="H50" s="395"/>
      <c r="I50" s="396">
        <f t="shared" si="24"/>
        <v>-796363.14939999999</v>
      </c>
    </row>
    <row r="51" spans="1:9">
      <c r="A51" s="395" t="s">
        <v>450</v>
      </c>
      <c r="B51" s="397"/>
      <c r="C51" s="398">
        <v>0.99995500000000004</v>
      </c>
      <c r="D51" s="395"/>
      <c r="E51" s="265">
        <f>+'Planilla final'!D76</f>
        <v>399181.97999999992</v>
      </c>
      <c r="F51" s="395"/>
      <c r="G51" s="265">
        <f t="shared" si="23"/>
        <v>399164.01681089995</v>
      </c>
      <c r="H51" s="395"/>
      <c r="I51" s="396">
        <f t="shared" si="24"/>
        <v>17.963189099973533</v>
      </c>
    </row>
    <row r="52" spans="1:9">
      <c r="A52" s="395" t="s">
        <v>280</v>
      </c>
      <c r="B52" s="397"/>
      <c r="C52" s="394">
        <v>0.68</v>
      </c>
      <c r="D52" s="395"/>
      <c r="E52" s="265">
        <f>+'Planilla final'!E76</f>
        <v>0</v>
      </c>
      <c r="F52" s="395"/>
      <c r="G52" s="265">
        <f t="shared" si="23"/>
        <v>0</v>
      </c>
      <c r="H52" s="395"/>
      <c r="I52" s="396">
        <f t="shared" si="24"/>
        <v>0</v>
      </c>
    </row>
    <row r="53" spans="1:9">
      <c r="A53" s="395" t="s">
        <v>281</v>
      </c>
      <c r="B53" s="397"/>
      <c r="C53" s="394">
        <v>0.5</v>
      </c>
      <c r="D53" s="395"/>
      <c r="E53" s="265">
        <f>+'Planilla final'!F76</f>
        <v>0</v>
      </c>
      <c r="F53" s="395"/>
      <c r="G53" s="265">
        <f t="shared" si="23"/>
        <v>0</v>
      </c>
      <c r="H53" s="395"/>
      <c r="I53" s="396">
        <f t="shared" si="24"/>
        <v>0</v>
      </c>
    </row>
    <row r="54" spans="1:9">
      <c r="A54" s="395" t="s">
        <v>432</v>
      </c>
      <c r="B54" s="397"/>
      <c r="C54" s="394">
        <v>0.75</v>
      </c>
      <c r="D54" s="395"/>
      <c r="E54" s="265">
        <f>+'Planilla final'!G76</f>
        <v>331439.17</v>
      </c>
      <c r="F54" s="395"/>
      <c r="G54" s="265">
        <f t="shared" si="23"/>
        <v>248579.3775</v>
      </c>
      <c r="H54" s="395"/>
      <c r="I54" s="396">
        <f t="shared" si="24"/>
        <v>82859.792499999981</v>
      </c>
    </row>
    <row r="55" spans="1:9">
      <c r="A55" s="395" t="s">
        <v>282</v>
      </c>
      <c r="B55" s="397"/>
      <c r="C55" s="394">
        <v>0.92800000000000005</v>
      </c>
      <c r="D55" s="395"/>
      <c r="E55" s="265">
        <f>+'Planilla final'!H76</f>
        <v>0</v>
      </c>
      <c r="F55" s="395"/>
      <c r="G55" s="265">
        <f t="shared" si="23"/>
        <v>0</v>
      </c>
      <c r="H55" s="395"/>
      <c r="I55" s="396">
        <f t="shared" si="24"/>
        <v>0</v>
      </c>
    </row>
    <row r="56" spans="1:9">
      <c r="A56" s="395" t="s">
        <v>433</v>
      </c>
      <c r="B56" s="397"/>
      <c r="C56" s="394">
        <v>0.6</v>
      </c>
      <c r="D56" s="395"/>
      <c r="E56" s="265">
        <f>+'Planilla final'!I76</f>
        <v>0</v>
      </c>
      <c r="F56" s="395"/>
      <c r="G56" s="265">
        <f t="shared" si="23"/>
        <v>0</v>
      </c>
      <c r="H56" s="395"/>
      <c r="I56" s="396">
        <f t="shared" si="24"/>
        <v>0</v>
      </c>
    </row>
    <row r="57" spans="1:9">
      <c r="A57" s="395" t="s">
        <v>451</v>
      </c>
      <c r="B57" s="397"/>
      <c r="C57" s="398">
        <v>0.99995000000000001</v>
      </c>
      <c r="D57" s="395"/>
      <c r="E57" s="265">
        <f>+'Planilla final'!J76</f>
        <v>-40586.1</v>
      </c>
      <c r="F57" s="395"/>
      <c r="G57" s="265">
        <f t="shared" si="23"/>
        <v>-40584.070695000002</v>
      </c>
      <c r="H57" s="395"/>
      <c r="I57" s="396">
        <f t="shared" si="24"/>
        <v>-2.0293049999963841</v>
      </c>
    </row>
    <row r="58" spans="1:9">
      <c r="A58" s="395" t="s">
        <v>245</v>
      </c>
      <c r="B58" s="397"/>
      <c r="C58" s="394">
        <v>0.92500000000000004</v>
      </c>
      <c r="D58" s="395"/>
      <c r="E58" s="265">
        <f>+'Planilla final'!K76</f>
        <v>150815</v>
      </c>
      <c r="F58" s="395"/>
      <c r="G58" s="265">
        <f t="shared" si="23"/>
        <v>139503.875</v>
      </c>
      <c r="H58" s="395"/>
      <c r="I58" s="396">
        <f t="shared" si="24"/>
        <v>11311.125</v>
      </c>
    </row>
    <row r="59" spans="1:9">
      <c r="A59" s="395" t="s">
        <v>247</v>
      </c>
      <c r="B59" s="397"/>
      <c r="C59" s="394">
        <v>0.99</v>
      </c>
      <c r="D59" s="395"/>
      <c r="E59" s="265">
        <f>+'Planilla final'!L76</f>
        <v>155307</v>
      </c>
      <c r="F59" s="395"/>
      <c r="G59" s="265">
        <f t="shared" si="23"/>
        <v>153753.93</v>
      </c>
      <c r="H59" s="395"/>
      <c r="I59" s="396">
        <f t="shared" si="24"/>
        <v>1553.070000000007</v>
      </c>
    </row>
    <row r="60" spans="1:9">
      <c r="A60" s="395" t="s">
        <v>452</v>
      </c>
      <c r="B60" s="397"/>
      <c r="C60" s="394">
        <v>1</v>
      </c>
      <c r="D60" s="395"/>
      <c r="E60" s="265">
        <f>+'Planilla final'!M76</f>
        <v>-93297</v>
      </c>
      <c r="F60" s="395"/>
      <c r="G60" s="265">
        <f t="shared" si="23"/>
        <v>-93297</v>
      </c>
      <c r="H60" s="395"/>
      <c r="I60" s="396">
        <f t="shared" si="24"/>
        <v>0</v>
      </c>
    </row>
    <row r="61" spans="1:9">
      <c r="A61" s="389" t="s">
        <v>453</v>
      </c>
      <c r="B61" s="387"/>
      <c r="C61" s="389"/>
      <c r="D61" s="389"/>
      <c r="E61" s="399">
        <f>SUM(E49:E60)</f>
        <v>16866022.050000001</v>
      </c>
      <c r="F61" s="389"/>
      <c r="G61" s="399">
        <f>SUM(G49:G60)</f>
        <v>17566645.2780159</v>
      </c>
      <c r="H61" s="389"/>
      <c r="I61" s="400">
        <f>SUM(I49:I60)</f>
        <v>-700623.22801590012</v>
      </c>
    </row>
    <row r="62" spans="1:9">
      <c r="A62" s="305"/>
      <c r="B62" s="305"/>
      <c r="C62" s="305"/>
      <c r="D62" s="305"/>
      <c r="E62" s="401"/>
      <c r="F62" s="305"/>
      <c r="G62" s="305"/>
      <c r="H62" s="305"/>
      <c r="I62" s="305"/>
    </row>
    <row r="63" spans="1:9">
      <c r="A63" s="305"/>
      <c r="B63" s="305"/>
      <c r="C63" s="305"/>
      <c r="D63" s="305"/>
      <c r="E63" s="305"/>
      <c r="F63" s="305"/>
      <c r="G63" s="305"/>
      <c r="H63" s="305"/>
      <c r="I63" s="305"/>
    </row>
    <row r="64" spans="1:9">
      <c r="A64" s="305"/>
      <c r="B64" s="305"/>
      <c r="C64" s="305"/>
      <c r="D64" s="305"/>
      <c r="E64" s="305"/>
      <c r="F64" s="305"/>
      <c r="G64" s="305"/>
      <c r="H64" s="305"/>
      <c r="I64" s="305"/>
    </row>
    <row r="65" spans="1:9">
      <c r="A65" s="305"/>
      <c r="B65" s="305"/>
      <c r="C65" s="305"/>
      <c r="D65" s="305"/>
      <c r="E65" s="305"/>
      <c r="F65" s="305"/>
      <c r="G65" s="305"/>
      <c r="H65" s="305"/>
      <c r="I65" s="305"/>
    </row>
    <row r="66" spans="1:9">
      <c r="A66" s="305"/>
      <c r="B66" s="305"/>
      <c r="C66" s="305"/>
      <c r="D66" s="305"/>
      <c r="E66" s="305"/>
      <c r="F66" s="305"/>
      <c r="G66" s="305"/>
      <c r="H66" s="305"/>
      <c r="I66" s="305"/>
    </row>
    <row r="67" spans="1:9">
      <c r="A67" s="305"/>
      <c r="B67" s="305"/>
      <c r="C67" s="305"/>
      <c r="D67" s="305"/>
      <c r="E67" s="305"/>
      <c r="F67" s="305"/>
      <c r="G67" s="305"/>
      <c r="H67" s="305"/>
      <c r="I67" s="305"/>
    </row>
    <row r="68" spans="1:9">
      <c r="A68" s="305"/>
      <c r="B68" s="305"/>
      <c r="C68" s="305"/>
      <c r="D68" s="305"/>
      <c r="E68" s="305"/>
      <c r="F68" s="305"/>
      <c r="G68" s="305"/>
      <c r="H68" s="305"/>
      <c r="I68" s="305"/>
    </row>
    <row r="69" spans="1:9">
      <c r="A69" s="305"/>
      <c r="B69" s="305"/>
      <c r="C69" s="305"/>
      <c r="D69" s="305"/>
      <c r="E69" s="305"/>
      <c r="F69" s="305"/>
      <c r="G69" s="305"/>
      <c r="H69" s="305"/>
      <c r="I69" s="305"/>
    </row>
    <row r="70" spans="1:9">
      <c r="A70" s="305"/>
      <c r="B70" s="305"/>
      <c r="C70" s="305"/>
      <c r="D70" s="305"/>
      <c r="E70" s="305"/>
      <c r="F70" s="305"/>
      <c r="G70" s="305"/>
      <c r="H70" s="305"/>
      <c r="I70" s="305"/>
    </row>
    <row r="71" spans="1:9">
      <c r="A71" s="305"/>
      <c r="B71" s="305"/>
      <c r="C71" s="305"/>
      <c r="D71" s="305"/>
      <c r="E71" s="305"/>
      <c r="F71" s="305"/>
      <c r="G71" s="305"/>
      <c r="H71" s="305"/>
      <c r="I71" s="305"/>
    </row>
    <row r="72" spans="1:9">
      <c r="A72" s="305"/>
      <c r="B72" s="305"/>
      <c r="C72" s="305"/>
      <c r="D72" s="305"/>
      <c r="E72" s="305"/>
      <c r="F72" s="305"/>
      <c r="G72" s="305"/>
      <c r="H72" s="305"/>
      <c r="I72" s="305"/>
    </row>
    <row r="73" spans="1:9">
      <c r="A73" s="305"/>
      <c r="B73" s="305"/>
      <c r="C73" s="305"/>
      <c r="D73" s="305"/>
      <c r="E73" s="305"/>
      <c r="F73" s="305"/>
      <c r="G73" s="305"/>
      <c r="H73" s="305"/>
      <c r="I73" s="305"/>
    </row>
    <row r="74" spans="1:9">
      <c r="A74" s="305"/>
      <c r="B74" s="305"/>
      <c r="C74" s="305"/>
      <c r="D74" s="305"/>
      <c r="E74" s="305"/>
      <c r="F74" s="305"/>
      <c r="G74" s="305"/>
      <c r="H74" s="305"/>
      <c r="I74" s="305"/>
    </row>
    <row r="75" spans="1:9">
      <c r="A75" s="305"/>
      <c r="B75" s="305"/>
      <c r="C75" s="305"/>
      <c r="D75" s="305"/>
      <c r="E75" s="305"/>
      <c r="F75" s="305"/>
      <c r="G75" s="305"/>
      <c r="H75" s="305"/>
      <c r="I75" s="305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7"/>
  <sheetViews>
    <sheetView topLeftCell="A22" zoomScaleNormal="100" workbookViewId="0">
      <selection activeCell="D45" sqref="D45"/>
    </sheetView>
  </sheetViews>
  <sheetFormatPr defaultColWidth="11.7109375" defaultRowHeight="15"/>
  <cols>
    <col min="1" max="1" width="10.5703125" customWidth="1"/>
    <col min="2" max="2" width="46.5703125" customWidth="1"/>
    <col min="5" max="5" width="12.7109375" customWidth="1"/>
    <col min="6" max="7" width="12.7109375" hidden="1" customWidth="1"/>
    <col min="9" max="9" width="15" customWidth="1"/>
  </cols>
  <sheetData>
    <row r="1" spans="1:10" s="403" customFormat="1">
      <c r="A1" s="402" t="s">
        <v>454</v>
      </c>
    </row>
    <row r="2" spans="1:10" s="403" customFormat="1">
      <c r="A2" s="404" t="s">
        <v>455</v>
      </c>
    </row>
    <row r="3" spans="1:10" s="407" customFormat="1" ht="12">
      <c r="A3" s="405" t="s">
        <v>392</v>
      </c>
      <c r="B3" s="406"/>
      <c r="D3" s="408"/>
      <c r="E3" s="408"/>
    </row>
    <row r="4" spans="1:10" s="407" customFormat="1" ht="12">
      <c r="A4" s="405"/>
      <c r="B4" s="406"/>
      <c r="D4" s="408"/>
      <c r="E4" s="408"/>
    </row>
    <row r="5" spans="1:10" s="407" customFormat="1" ht="12">
      <c r="A5" s="409" t="s">
        <v>457</v>
      </c>
      <c r="B5" s="409" t="s">
        <v>458</v>
      </c>
      <c r="C5" s="410" t="s">
        <v>216</v>
      </c>
      <c r="D5" s="410" t="s">
        <v>459</v>
      </c>
      <c r="I5" s="408"/>
    </row>
    <row r="6" spans="1:10" s="407" customFormat="1" ht="12">
      <c r="A6" s="848"/>
      <c r="B6" s="848"/>
      <c r="C6" s="495"/>
      <c r="D6" s="495"/>
      <c r="I6" s="408"/>
    </row>
    <row r="7" spans="1:10" s="407" customFormat="1" ht="12">
      <c r="A7" s="411"/>
      <c r="B7" s="895" t="s">
        <v>460</v>
      </c>
      <c r="C7" s="411"/>
      <c r="D7" s="413"/>
      <c r="E7" s="408"/>
      <c r="I7" s="414"/>
      <c r="J7" s="408"/>
    </row>
    <row r="8" spans="1:10" s="407" customFormat="1" ht="12">
      <c r="A8" s="415" t="s">
        <v>461</v>
      </c>
      <c r="B8" s="411" t="s">
        <v>462</v>
      </c>
      <c r="C8" s="413">
        <v>552479</v>
      </c>
      <c r="D8" s="413"/>
      <c r="I8" s="414"/>
      <c r="J8" s="408"/>
    </row>
    <row r="9" spans="1:10" s="407" customFormat="1" ht="12">
      <c r="A9" s="415" t="s">
        <v>461</v>
      </c>
      <c r="B9" s="411" t="s">
        <v>463</v>
      </c>
      <c r="C9" s="413">
        <v>598335</v>
      </c>
      <c r="D9" s="411"/>
      <c r="I9" s="414"/>
      <c r="J9" s="408"/>
    </row>
    <row r="10" spans="1:10" s="407" customFormat="1" ht="12">
      <c r="A10" s="415" t="s">
        <v>212</v>
      </c>
      <c r="B10" s="411" t="s">
        <v>465</v>
      </c>
      <c r="C10" s="416"/>
      <c r="D10" s="413">
        <v>552479</v>
      </c>
    </row>
    <row r="11" spans="1:10" s="407" customFormat="1" ht="12">
      <c r="A11" s="415" t="s">
        <v>212</v>
      </c>
      <c r="B11" s="411" t="s">
        <v>466</v>
      </c>
      <c r="C11" s="417"/>
      <c r="D11" s="417">
        <v>598335</v>
      </c>
    </row>
    <row r="12" spans="1:10" s="407" customFormat="1" ht="12">
      <c r="A12" s="418"/>
      <c r="B12" s="419" t="s">
        <v>467</v>
      </c>
      <c r="C12" s="856">
        <f>+SUM(C8:C11)</f>
        <v>1150814</v>
      </c>
      <c r="D12" s="856">
        <f>+SUM(D8:D11)</f>
        <v>1150814</v>
      </c>
      <c r="E12" s="420">
        <f>+C12-D12</f>
        <v>0</v>
      </c>
      <c r="F12" s="420">
        <f>+C12-D12</f>
        <v>0</v>
      </c>
    </row>
    <row r="13" spans="1:10" s="407" customFormat="1" ht="12">
      <c r="A13" s="421"/>
      <c r="B13" s="422"/>
      <c r="C13" s="423"/>
      <c r="D13" s="423"/>
    </row>
    <row r="14" spans="1:10" s="407" customFormat="1" ht="12">
      <c r="A14" s="415"/>
      <c r="B14" s="412" t="s">
        <v>468</v>
      </c>
      <c r="C14" s="413"/>
      <c r="D14" s="413"/>
    </row>
    <row r="15" spans="1:10" s="407" customFormat="1" ht="12">
      <c r="A15" s="415" t="s">
        <v>243</v>
      </c>
      <c r="B15" s="411" t="s">
        <v>463</v>
      </c>
      <c r="C15" s="413">
        <v>3771161</v>
      </c>
      <c r="D15" s="413"/>
    </row>
    <row r="16" spans="1:10" s="407" customFormat="1" ht="12">
      <c r="A16" s="415" t="s">
        <v>243</v>
      </c>
      <c r="B16" s="411" t="s">
        <v>463</v>
      </c>
      <c r="C16" s="413">
        <v>865104</v>
      </c>
      <c r="D16" s="413"/>
    </row>
    <row r="17" spans="1:13" s="407" customFormat="1" ht="12">
      <c r="A17" s="415" t="s">
        <v>243</v>
      </c>
      <c r="B17" s="411" t="s">
        <v>462</v>
      </c>
      <c r="C17" s="413">
        <v>20162</v>
      </c>
      <c r="D17" s="411"/>
    </row>
    <row r="18" spans="1:13" s="425" customFormat="1" ht="12">
      <c r="A18" s="424" t="s">
        <v>212</v>
      </c>
      <c r="B18" s="411" t="s">
        <v>470</v>
      </c>
      <c r="C18" s="413"/>
      <c r="D18" s="413"/>
      <c r="E18" s="420"/>
      <c r="F18" s="407"/>
      <c r="G18" s="407"/>
      <c r="H18" s="407"/>
      <c r="I18" s="407"/>
      <c r="J18" s="407"/>
      <c r="K18" s="407"/>
      <c r="L18" s="407"/>
      <c r="M18" s="407"/>
    </row>
    <row r="19" spans="1:13" s="407" customFormat="1" ht="12">
      <c r="A19" s="415" t="s">
        <v>212</v>
      </c>
      <c r="B19" s="411" t="s">
        <v>471</v>
      </c>
      <c r="C19" s="413"/>
      <c r="D19" s="413">
        <v>4656427</v>
      </c>
      <c r="E19" s="420"/>
    </row>
    <row r="20" spans="1:13" s="407" customFormat="1" ht="12">
      <c r="A20" s="896" t="s">
        <v>208</v>
      </c>
      <c r="B20" s="897" t="s">
        <v>472</v>
      </c>
      <c r="C20" s="898"/>
      <c r="D20" s="898"/>
      <c r="E20" s="420"/>
    </row>
    <row r="21" spans="1:13" s="407" customFormat="1" ht="13.5" customHeight="1">
      <c r="A21" s="418"/>
      <c r="B21" s="426" t="s">
        <v>473</v>
      </c>
      <c r="C21" s="427">
        <f>+SUM(C15:C20)</f>
        <v>4656427</v>
      </c>
      <c r="D21" s="427">
        <f>+SUM(D15:D20)</f>
        <v>4656427</v>
      </c>
      <c r="E21" s="420">
        <f>+C21-D21</f>
        <v>0</v>
      </c>
      <c r="F21" s="420"/>
    </row>
    <row r="22" spans="1:13" s="407" customFormat="1" ht="12">
      <c r="A22" s="415"/>
      <c r="B22" s="411"/>
      <c r="C22" s="413"/>
      <c r="D22" s="413"/>
      <c r="E22" s="420"/>
      <c r="F22" s="420"/>
      <c r="G22" s="420"/>
      <c r="H22" s="428"/>
    </row>
    <row r="23" spans="1:13" s="407" customFormat="1" ht="12">
      <c r="A23" s="415"/>
      <c r="B23" s="412" t="s">
        <v>474</v>
      </c>
      <c r="C23" s="413"/>
      <c r="D23" s="413"/>
    </row>
    <row r="24" spans="1:13" s="407" customFormat="1" ht="12">
      <c r="A24" s="415" t="s">
        <v>281</v>
      </c>
      <c r="B24" s="411" t="s">
        <v>149</v>
      </c>
      <c r="C24" s="413">
        <v>950362</v>
      </c>
      <c r="D24" s="413"/>
    </row>
    <row r="25" spans="1:13" s="407" customFormat="1" ht="12">
      <c r="A25" s="852" t="s">
        <v>208</v>
      </c>
      <c r="B25" s="853" t="s">
        <v>464</v>
      </c>
      <c r="C25" s="854"/>
      <c r="D25" s="854">
        <v>23507</v>
      </c>
      <c r="E25" s="420"/>
      <c r="I25" s="414"/>
      <c r="J25" s="408"/>
    </row>
    <row r="26" spans="1:13" s="407" customFormat="1" ht="12">
      <c r="A26" s="415" t="s">
        <v>212</v>
      </c>
      <c r="B26" s="411" t="s">
        <v>475</v>
      </c>
      <c r="C26" s="417"/>
      <c r="D26" s="417">
        <v>926855</v>
      </c>
    </row>
    <row r="27" spans="1:13" s="407" customFormat="1" ht="12">
      <c r="A27" s="418"/>
      <c r="B27" s="426" t="s">
        <v>476</v>
      </c>
      <c r="C27" s="417">
        <f>+SUM(C24:C26)</f>
        <v>950362</v>
      </c>
      <c r="D27" s="417">
        <f>+SUM(D24:D26)</f>
        <v>950362</v>
      </c>
      <c r="E27" s="420"/>
      <c r="F27" s="420">
        <f>+C27-D27</f>
        <v>0</v>
      </c>
    </row>
    <row r="28" spans="1:13" s="407" customFormat="1" ht="12">
      <c r="A28" s="415"/>
      <c r="B28" s="411"/>
      <c r="C28" s="413"/>
      <c r="D28" s="413"/>
    </row>
    <row r="29" spans="1:13" s="407" customFormat="1" ht="12">
      <c r="A29" s="415"/>
      <c r="B29" s="895" t="s">
        <v>477</v>
      </c>
      <c r="C29" s="413"/>
      <c r="D29" s="413"/>
    </row>
    <row r="30" spans="1:13" s="407" customFormat="1" ht="12" hidden="1">
      <c r="A30" s="415" t="s">
        <v>212</v>
      </c>
      <c r="B30" s="411" t="s">
        <v>462</v>
      </c>
      <c r="C30" s="413">
        <v>0</v>
      </c>
      <c r="D30" s="413"/>
    </row>
    <row r="31" spans="1:13" s="407" customFormat="1" ht="12">
      <c r="A31" s="415" t="s">
        <v>245</v>
      </c>
      <c r="B31" s="411" t="s">
        <v>463</v>
      </c>
      <c r="C31" s="413">
        <v>1282511</v>
      </c>
      <c r="D31" s="413"/>
    </row>
    <row r="32" spans="1:13" s="407" customFormat="1" ht="12">
      <c r="A32" s="415" t="s">
        <v>212</v>
      </c>
      <c r="B32" s="411" t="s">
        <v>478</v>
      </c>
      <c r="C32" s="413">
        <v>0</v>
      </c>
      <c r="D32" s="413"/>
    </row>
    <row r="33" spans="1:6" s="407" customFormat="1" ht="12">
      <c r="A33" s="852" t="s">
        <v>208</v>
      </c>
      <c r="B33" s="853" t="s">
        <v>824</v>
      </c>
      <c r="C33" s="854"/>
      <c r="D33" s="854">
        <f>+C31-D34</f>
        <v>231689</v>
      </c>
      <c r="E33" s="420"/>
    </row>
    <row r="34" spans="1:6" s="407" customFormat="1" ht="12">
      <c r="A34" s="415" t="s">
        <v>212</v>
      </c>
      <c r="B34" s="411" t="s">
        <v>471</v>
      </c>
      <c r="C34" s="413"/>
      <c r="D34" s="413">
        <v>1050822</v>
      </c>
    </row>
    <row r="35" spans="1:6" s="407" customFormat="1" ht="12">
      <c r="A35" s="415" t="s">
        <v>245</v>
      </c>
      <c r="B35" s="411" t="s">
        <v>471</v>
      </c>
      <c r="C35" s="417"/>
      <c r="D35" s="417">
        <v>0</v>
      </c>
    </row>
    <row r="36" spans="1:6" s="407" customFormat="1" ht="12">
      <c r="A36" s="418"/>
      <c r="B36" s="426" t="s">
        <v>479</v>
      </c>
      <c r="C36" s="856">
        <f>+SUM(C30:C35)</f>
        <v>1282511</v>
      </c>
      <c r="D36" s="856">
        <f>+SUM(D30:D35)</f>
        <v>1282511</v>
      </c>
      <c r="E36" s="420">
        <f>+C36-D36</f>
        <v>0</v>
      </c>
      <c r="F36" s="420">
        <f>+C36-D36</f>
        <v>0</v>
      </c>
    </row>
    <row r="37" spans="1:6" s="407" customFormat="1" ht="12">
      <c r="A37" s="415"/>
      <c r="B37" s="411"/>
      <c r="C37" s="413"/>
      <c r="D37" s="413"/>
    </row>
    <row r="38" spans="1:6" s="407" customFormat="1" ht="12">
      <c r="A38" s="415"/>
      <c r="B38" s="895" t="s">
        <v>480</v>
      </c>
      <c r="C38" s="413"/>
      <c r="D38" s="413"/>
    </row>
    <row r="39" spans="1:6" s="407" customFormat="1" ht="12">
      <c r="A39" s="415" t="s">
        <v>247</v>
      </c>
      <c r="B39" s="411" t="s">
        <v>462</v>
      </c>
      <c r="C39" s="413">
        <v>0</v>
      </c>
      <c r="D39" s="413"/>
    </row>
    <row r="40" spans="1:6" s="407" customFormat="1" ht="12">
      <c r="A40" s="415" t="s">
        <v>247</v>
      </c>
      <c r="B40" s="411" t="s">
        <v>463</v>
      </c>
      <c r="C40" s="413">
        <v>658889</v>
      </c>
      <c r="D40" s="413"/>
    </row>
    <row r="41" spans="1:6" s="407" customFormat="1" ht="12">
      <c r="A41" s="415" t="s">
        <v>212</v>
      </c>
      <c r="B41" s="411" t="s">
        <v>825</v>
      </c>
      <c r="C41" s="413">
        <v>27178</v>
      </c>
      <c r="D41" s="413"/>
    </row>
    <row r="42" spans="1:6" s="407" customFormat="1" ht="12">
      <c r="A42" s="1071" t="s">
        <v>212</v>
      </c>
      <c r="B42" s="1072" t="s">
        <v>894</v>
      </c>
      <c r="C42" s="1073">
        <v>831651</v>
      </c>
      <c r="D42" s="413"/>
    </row>
    <row r="43" spans="1:6" s="407" customFormat="1" ht="12">
      <c r="A43" s="1071" t="s">
        <v>208</v>
      </c>
      <c r="B43" s="1072" t="s">
        <v>895</v>
      </c>
      <c r="C43" s="1073"/>
      <c r="D43" s="413">
        <v>529779</v>
      </c>
    </row>
    <row r="44" spans="1:6" s="407" customFormat="1" ht="12">
      <c r="A44" s="415" t="s">
        <v>247</v>
      </c>
      <c r="B44" s="411" t="s">
        <v>826</v>
      </c>
      <c r="C44" s="413"/>
      <c r="D44" s="413">
        <v>852144</v>
      </c>
    </row>
    <row r="45" spans="1:6" s="407" customFormat="1" ht="12">
      <c r="A45" s="415" t="s">
        <v>247</v>
      </c>
      <c r="B45" s="411" t="s">
        <v>893</v>
      </c>
      <c r="C45" s="413"/>
      <c r="D45" s="413">
        <v>6686</v>
      </c>
    </row>
    <row r="46" spans="1:6" s="407" customFormat="1" ht="12">
      <c r="A46" s="415" t="s">
        <v>212</v>
      </c>
      <c r="B46" s="411" t="s">
        <v>827</v>
      </c>
      <c r="C46" s="413"/>
      <c r="D46" s="413">
        <v>129109</v>
      </c>
      <c r="F46" s="420" t="e">
        <f>+C39+C40+C44-#REF!-D46</f>
        <v>#REF!</v>
      </c>
    </row>
    <row r="47" spans="1:6" s="407" customFormat="1" ht="12">
      <c r="A47" s="418"/>
      <c r="B47" s="426" t="s">
        <v>481</v>
      </c>
      <c r="C47" s="429">
        <f>+SUM(C39:C46)</f>
        <v>1517718</v>
      </c>
      <c r="D47" s="429">
        <f>+SUM(D39:D46)</f>
        <v>1517718</v>
      </c>
      <c r="E47" s="420">
        <f>+C47-D47</f>
        <v>0</v>
      </c>
      <c r="F47" s="420">
        <f>+D47-C47</f>
        <v>0</v>
      </c>
    </row>
    <row r="48" spans="1:6" s="407" customFormat="1" ht="12">
      <c r="A48" s="415"/>
      <c r="B48" s="411"/>
      <c r="C48" s="413"/>
      <c r="D48" s="413"/>
    </row>
    <row r="49" spans="1:6" s="407" customFormat="1" ht="12">
      <c r="A49" s="415"/>
      <c r="B49" s="895" t="s">
        <v>482</v>
      </c>
      <c r="C49" s="413"/>
      <c r="D49" s="413"/>
    </row>
    <row r="50" spans="1:6" s="407" customFormat="1" ht="12">
      <c r="A50" s="415" t="s">
        <v>32</v>
      </c>
      <c r="B50" s="411" t="s">
        <v>87</v>
      </c>
      <c r="C50" s="413">
        <v>10000</v>
      </c>
      <c r="D50" s="413"/>
    </row>
    <row r="51" spans="1:6" s="407" customFormat="1" ht="12">
      <c r="A51" s="415" t="s">
        <v>32</v>
      </c>
      <c r="B51" s="411" t="s">
        <v>462</v>
      </c>
      <c r="C51" s="413">
        <v>73257</v>
      </c>
      <c r="D51" s="413"/>
    </row>
    <row r="52" spans="1:6" s="407" customFormat="1" ht="12" hidden="1">
      <c r="A52" s="415" t="s">
        <v>32</v>
      </c>
      <c r="B52" s="411" t="s">
        <v>463</v>
      </c>
      <c r="C52" s="430">
        <v>0</v>
      </c>
      <c r="D52" s="413"/>
    </row>
    <row r="53" spans="1:6" s="407" customFormat="1" ht="12">
      <c r="A53" s="415" t="s">
        <v>32</v>
      </c>
      <c r="B53" s="411" t="s">
        <v>463</v>
      </c>
      <c r="C53" s="413">
        <v>746170</v>
      </c>
      <c r="D53" s="413"/>
    </row>
    <row r="54" spans="1:6" s="425" customFormat="1" ht="12">
      <c r="A54" s="855" t="s">
        <v>208</v>
      </c>
      <c r="B54" s="853" t="s">
        <v>483</v>
      </c>
      <c r="C54" s="854">
        <v>908834</v>
      </c>
      <c r="D54" s="413"/>
      <c r="E54" s="525"/>
    </row>
    <row r="55" spans="1:6" s="407" customFormat="1" ht="12">
      <c r="A55" s="415" t="s">
        <v>212</v>
      </c>
      <c r="B55" s="411" t="s">
        <v>495</v>
      </c>
      <c r="C55" s="413"/>
      <c r="D55" s="413">
        <v>1193125</v>
      </c>
    </row>
    <row r="56" spans="1:6" s="407" customFormat="1" ht="12">
      <c r="A56" s="415" t="s">
        <v>212</v>
      </c>
      <c r="B56" s="411" t="s">
        <v>829</v>
      </c>
      <c r="C56" s="417"/>
      <c r="D56" s="417">
        <v>545136</v>
      </c>
      <c r="F56" s="420">
        <f>+C51+C54+C52-D56</f>
        <v>436955</v>
      </c>
    </row>
    <row r="57" spans="1:6" s="407" customFormat="1" ht="24">
      <c r="A57" s="418"/>
      <c r="B57" s="426" t="s">
        <v>485</v>
      </c>
      <c r="C57" s="417">
        <f>+SUM(C50:C56)</f>
        <v>1738261</v>
      </c>
      <c r="D57" s="417">
        <f>+SUM(D50:D56)</f>
        <v>1738261</v>
      </c>
      <c r="E57" s="420">
        <f>+C57-D57</f>
        <v>0</v>
      </c>
      <c r="F57" s="420">
        <f>+D57-C57</f>
        <v>0</v>
      </c>
    </row>
    <row r="58" spans="1:6" s="407" customFormat="1" ht="12">
      <c r="A58" s="415"/>
      <c r="B58" s="411"/>
      <c r="C58" s="413"/>
      <c r="D58" s="413"/>
    </row>
    <row r="59" spans="1:6" s="407" customFormat="1" ht="12">
      <c r="A59" s="415"/>
      <c r="B59" s="412" t="s">
        <v>486</v>
      </c>
      <c r="C59" s="413"/>
      <c r="D59" s="413"/>
    </row>
    <row r="60" spans="1:6" s="407" customFormat="1" ht="12">
      <c r="A60" s="415" t="s">
        <v>278</v>
      </c>
      <c r="B60" s="411" t="s">
        <v>463</v>
      </c>
      <c r="C60" s="413">
        <v>439322</v>
      </c>
      <c r="D60" s="413"/>
    </row>
    <row r="61" spans="1:6" s="407" customFormat="1" ht="12">
      <c r="A61" s="896" t="s">
        <v>243</v>
      </c>
      <c r="B61" s="897" t="s">
        <v>836</v>
      </c>
      <c r="C61" s="898"/>
      <c r="D61" s="898">
        <v>439322</v>
      </c>
    </row>
    <row r="62" spans="1:6" s="407" customFormat="1" ht="24">
      <c r="A62" s="418"/>
      <c r="B62" s="426" t="s">
        <v>487</v>
      </c>
      <c r="C62" s="417">
        <f>+C60+C61</f>
        <v>439322</v>
      </c>
      <c r="D62" s="417">
        <f>+D60+D61</f>
        <v>439322</v>
      </c>
    </row>
    <row r="63" spans="1:6" s="407" customFormat="1" ht="12">
      <c r="A63" s="415"/>
      <c r="B63" s="411"/>
      <c r="C63" s="413"/>
      <c r="D63" s="413"/>
    </row>
    <row r="64" spans="1:6" s="407" customFormat="1" ht="12">
      <c r="A64" s="415"/>
      <c r="B64" s="857" t="s">
        <v>828</v>
      </c>
      <c r="C64" s="413"/>
      <c r="D64" s="413"/>
    </row>
    <row r="65" spans="1:9" s="407" customFormat="1" ht="12">
      <c r="A65" s="858" t="s">
        <v>212</v>
      </c>
      <c r="B65" s="859" t="s">
        <v>462</v>
      </c>
      <c r="C65" s="860">
        <v>6000</v>
      </c>
      <c r="D65" s="860"/>
    </row>
    <row r="66" spans="1:9" s="407" customFormat="1" ht="12">
      <c r="A66" s="855" t="s">
        <v>208</v>
      </c>
      <c r="B66" s="853" t="s">
        <v>483</v>
      </c>
      <c r="C66" s="863">
        <v>9000</v>
      </c>
      <c r="D66" s="860"/>
    </row>
    <row r="67" spans="1:9" s="407" customFormat="1" ht="12">
      <c r="A67" s="858" t="s">
        <v>433</v>
      </c>
      <c r="B67" s="861" t="s">
        <v>829</v>
      </c>
      <c r="C67" s="862"/>
      <c r="D67" s="862">
        <v>15000</v>
      </c>
    </row>
    <row r="68" spans="1:9" s="407" customFormat="1" ht="24">
      <c r="A68" s="418"/>
      <c r="B68" s="426" t="s">
        <v>487</v>
      </c>
      <c r="C68" s="417">
        <f>SUM(C65:C67)</f>
        <v>15000</v>
      </c>
      <c r="D68" s="417">
        <f>+D65+D67</f>
        <v>15000</v>
      </c>
    </row>
    <row r="69" spans="1:9" s="403" customFormat="1"/>
    <row r="70" spans="1:9" s="403" customFormat="1">
      <c r="A70" s="431"/>
      <c r="B70" s="432" t="s">
        <v>259</v>
      </c>
      <c r="C70" s="433">
        <f>+C62+C57+C47+C36+C27+C21+C12+C68</f>
        <v>11750415</v>
      </c>
      <c r="D70" s="433">
        <f>+D62+D57+D47+D36+D27+D21+D12+D68</f>
        <v>11750415</v>
      </c>
      <c r="E70" s="434">
        <f>+C70-D70</f>
        <v>0</v>
      </c>
      <c r="F70" s="435"/>
      <c r="G70" s="435"/>
      <c r="H70" s="434"/>
    </row>
    <row r="71" spans="1:9" s="403" customFormat="1">
      <c r="A71" s="431"/>
      <c r="B71" s="431"/>
      <c r="C71" s="436"/>
      <c r="D71" s="436"/>
      <c r="E71" s="435"/>
      <c r="F71" s="437" t="e">
        <f>SUM(#REF!)</f>
        <v>#REF!</v>
      </c>
      <c r="G71" s="437" t="e">
        <f>SUM(#REF!)</f>
        <v>#REF!</v>
      </c>
      <c r="H71" s="434"/>
      <c r="I71" s="434"/>
    </row>
    <row r="72" spans="1:9" s="403" customFormat="1" ht="24.75" hidden="1">
      <c r="B72" s="438" t="s">
        <v>488</v>
      </c>
      <c r="C72" s="422"/>
      <c r="D72" s="422"/>
      <c r="F72" s="439"/>
      <c r="G72" s="439"/>
    </row>
    <row r="73" spans="1:9" s="403" customFormat="1" hidden="1">
      <c r="B73" s="440" t="s">
        <v>489</v>
      </c>
      <c r="C73" s="441">
        <f>+C8+C17+C24+C32+C39+C41+C51+C53+C60</f>
        <v>2808930</v>
      </c>
      <c r="D73" s="411"/>
      <c r="F73" s="442" t="e">
        <f>+#REF!+#REF!+#REF!+32707</f>
        <v>#REF!</v>
      </c>
      <c r="G73" s="443"/>
    </row>
    <row r="74" spans="1:9" s="403" customFormat="1" hidden="1">
      <c r="B74" s="440" t="s">
        <v>80</v>
      </c>
      <c r="C74" s="441">
        <f>+C9+C16+C31+C40+C15</f>
        <v>7176000</v>
      </c>
      <c r="D74" s="411"/>
      <c r="F74" s="442" t="e">
        <f>#REF!+#REF!</f>
        <v>#REF!</v>
      </c>
      <c r="G74" s="443"/>
    </row>
    <row r="75" spans="1:9" s="403" customFormat="1" hidden="1">
      <c r="B75" s="440" t="s">
        <v>490</v>
      </c>
      <c r="C75" s="441"/>
      <c r="D75" s="411"/>
      <c r="F75" s="442" t="e">
        <f>+#REF!+#REF!+#REF!+#REF!</f>
        <v>#REF!</v>
      </c>
      <c r="G75" s="443"/>
    </row>
    <row r="76" spans="1:9" s="403" customFormat="1" hidden="1">
      <c r="B76" s="440" t="s">
        <v>469</v>
      </c>
      <c r="C76" s="441" t="e">
        <f>+#REF!</f>
        <v>#REF!</v>
      </c>
      <c r="D76" s="411"/>
      <c r="F76" s="442" t="e">
        <f>+#REF!</f>
        <v>#REF!</v>
      </c>
      <c r="G76" s="443"/>
    </row>
    <row r="77" spans="1:9" s="403" customFormat="1" hidden="1">
      <c r="B77" s="440" t="s">
        <v>172</v>
      </c>
      <c r="C77" s="441">
        <f>+C50</f>
        <v>10000</v>
      </c>
      <c r="D77" s="411"/>
      <c r="F77" s="442"/>
      <c r="G77" s="443"/>
    </row>
    <row r="78" spans="1:9" s="403" customFormat="1" hidden="1">
      <c r="B78" s="440" t="s">
        <v>464</v>
      </c>
      <c r="C78" s="441" t="e">
        <f>+'Saldos interco.'!#REF!+'Saldos interco.'!#REF!+'Saldos interco.'!#REF!-'Saldos interco.'!#REF!-'Saldos interco.'!#REF!</f>
        <v>#REF!</v>
      </c>
      <c r="D78" s="411"/>
      <c r="F78" s="442"/>
      <c r="G78" s="443"/>
    </row>
    <row r="79" spans="1:9" s="403" customFormat="1" hidden="1">
      <c r="B79" s="440" t="s">
        <v>491</v>
      </c>
      <c r="C79" s="411"/>
      <c r="D79" s="441" t="e">
        <f>+D10+D19+D26+D34+D35+#REF!+D46+D56+D61</f>
        <v>#REF!</v>
      </c>
      <c r="F79" s="443"/>
      <c r="G79" s="442" t="e">
        <f>+#REF!+#REF!+#REF!+#REF!+#REF!+#REF!+#REF!+#REF!+#REF!+#REF!+#REF!</f>
        <v>#REF!</v>
      </c>
    </row>
    <row r="80" spans="1:9" s="403" customFormat="1" hidden="1">
      <c r="B80" s="440" t="s">
        <v>492</v>
      </c>
      <c r="C80" s="411"/>
      <c r="D80" s="441" t="e">
        <f>+'Saldos interco.'!#REF!</f>
        <v>#REF!</v>
      </c>
      <c r="F80" s="443"/>
      <c r="G80" s="442">
        <v>0</v>
      </c>
    </row>
    <row r="81" spans="2:9" s="403" customFormat="1" hidden="1">
      <c r="B81" s="440" t="s">
        <v>493</v>
      </c>
      <c r="C81" s="411"/>
      <c r="D81" s="441" t="e">
        <f>+'Saldos interco.'!#REF!-'Saldos interco.'!#REF!</f>
        <v>#REF!</v>
      </c>
      <c r="F81" s="443"/>
      <c r="G81" s="442"/>
    </row>
    <row r="82" spans="2:9" s="403" customFormat="1" hidden="1">
      <c r="B82" s="440" t="s">
        <v>494</v>
      </c>
      <c r="C82" s="411"/>
      <c r="D82" s="441" t="e">
        <f>+'Saldos interco.'!#REF!</f>
        <v>#REF!</v>
      </c>
      <c r="F82" s="443"/>
      <c r="G82" s="442" t="e">
        <f>+#REF!</f>
        <v>#REF!</v>
      </c>
    </row>
    <row r="83" spans="2:9" s="403" customFormat="1" hidden="1">
      <c r="B83" s="440" t="s">
        <v>495</v>
      </c>
      <c r="C83" s="411"/>
      <c r="D83" s="441" t="e">
        <f>+'Saldos interco.'!#REF!</f>
        <v>#REF!</v>
      </c>
      <c r="F83" s="443"/>
      <c r="G83" s="442" t="e">
        <f>+#REF!</f>
        <v>#REF!</v>
      </c>
    </row>
    <row r="84" spans="2:9" s="403" customFormat="1" hidden="1">
      <c r="B84" s="440" t="s">
        <v>496</v>
      </c>
      <c r="C84" s="411"/>
      <c r="D84" s="413" t="e">
        <f>+'Saldos interco.'!#REF!</f>
        <v>#REF!</v>
      </c>
      <c r="F84" s="443"/>
      <c r="G84" s="444"/>
    </row>
    <row r="85" spans="2:9" s="403" customFormat="1" hidden="1">
      <c r="B85" s="445" t="s">
        <v>497</v>
      </c>
      <c r="C85" s="446" t="e">
        <f>SUM(C73:C84)</f>
        <v>#REF!</v>
      </c>
      <c r="D85" s="446" t="e">
        <f>SUM(D73:D84)</f>
        <v>#REF!</v>
      </c>
      <c r="E85" s="447"/>
      <c r="F85" s="448" t="e">
        <f>SUM(F73:F84)</f>
        <v>#REF!</v>
      </c>
      <c r="G85" s="448" t="e">
        <f>SUM(G73:G84)</f>
        <v>#REF!</v>
      </c>
      <c r="H85" s="447"/>
      <c r="I85" s="449"/>
    </row>
    <row r="86" spans="2:9" s="403" customFormat="1" hidden="1">
      <c r="C86" s="434">
        <f>+C70-'AD ESF'!D205</f>
        <v>-4103705</v>
      </c>
      <c r="D86" s="434">
        <f>+D70-'AD ESF'!E205</f>
        <v>-4103705</v>
      </c>
      <c r="E86" s="449"/>
      <c r="F86" s="450" t="e">
        <f>F71-F85</f>
        <v>#REF!</v>
      </c>
      <c r="G86" s="450" t="e">
        <f>G71-G85</f>
        <v>#REF!</v>
      </c>
      <c r="H86" s="447"/>
      <c r="I86" s="449"/>
    </row>
    <row r="87" spans="2:9" s="403" customFormat="1">
      <c r="B87" s="899" t="s">
        <v>835</v>
      </c>
      <c r="C87" s="900">
        <f>+C42+C54+C66-D25-D33</f>
        <v>1494289</v>
      </c>
      <c r="E87" s="449"/>
      <c r="F87" s="449"/>
      <c r="G87" s="449"/>
      <c r="H87" s="447"/>
      <c r="I87" s="449"/>
    </row>
    <row r="88" spans="2:9" s="403" customFormat="1">
      <c r="E88" s="449"/>
      <c r="F88" s="449"/>
      <c r="G88" s="449"/>
      <c r="H88" s="447"/>
      <c r="I88" s="449"/>
    </row>
    <row r="89" spans="2:9" s="403" customFormat="1">
      <c r="E89" s="449"/>
      <c r="F89" s="449"/>
      <c r="G89" s="449"/>
      <c r="H89" s="447"/>
      <c r="I89" s="449"/>
    </row>
    <row r="90" spans="2:9" s="403" customFormat="1"/>
    <row r="91" spans="2:9" s="403" customFormat="1"/>
    <row r="92" spans="2:9" s="403" customFormat="1"/>
    <row r="93" spans="2:9" s="403" customFormat="1"/>
    <row r="94" spans="2:9" s="403" customFormat="1"/>
    <row r="95" spans="2:9" s="403" customFormat="1"/>
    <row r="96" spans="2:9" s="403" customFormat="1"/>
    <row r="97" s="403" customForma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L85"/>
  <sheetViews>
    <sheetView showGridLines="0" zoomScaleNormal="100" workbookViewId="0">
      <pane xSplit="1" ySplit="4" topLeftCell="K53" activePane="bottomRight" state="frozen"/>
      <selection pane="topRight" activeCell="M1" sqref="M1"/>
      <selection pane="bottomLeft" activeCell="A45" sqref="A45"/>
      <selection pane="bottomRight" activeCell="K56" sqref="K56"/>
    </sheetView>
  </sheetViews>
  <sheetFormatPr defaultColWidth="11.42578125" defaultRowHeight="15" outlineLevelCol="1"/>
  <cols>
    <col min="1" max="1" width="47.7109375" style="407" customWidth="1"/>
    <col min="2" max="2" width="15.85546875" style="407" customWidth="1" outlineLevel="1"/>
    <col min="3" max="3" width="14.5703125" style="407" customWidth="1" outlineLevel="1"/>
    <col min="4" max="4" width="15.7109375" style="407" customWidth="1" outlineLevel="1"/>
    <col min="5" max="7" width="12" style="407" customWidth="1" outlineLevel="1"/>
    <col min="8" max="8" width="15.140625" style="407" customWidth="1" outlineLevel="1"/>
    <col min="9" max="9" width="13.140625" style="407" customWidth="1" outlineLevel="1"/>
    <col min="10" max="10" width="14.28515625" style="407" customWidth="1" outlineLevel="1"/>
    <col min="11" max="11" width="13.140625" style="407" customWidth="1" outlineLevel="1"/>
    <col min="12" max="12" width="12.85546875" style="407" customWidth="1" outlineLevel="1"/>
    <col min="13" max="13" width="13.28515625" style="407" customWidth="1" outlineLevel="1"/>
    <col min="14" max="14" width="12.85546875" style="407" bestFit="1" customWidth="1"/>
    <col min="15" max="16" width="11.42578125" style="939" bestFit="1" customWidth="1"/>
    <col min="17" max="17" width="12.85546875" style="407" bestFit="1" customWidth="1"/>
    <col min="18" max="18" width="7" style="406" bestFit="1" customWidth="1"/>
    <col min="19" max="19" width="4" style="407" hidden="1" customWidth="1"/>
    <col min="20" max="20" width="9.5703125" style="407" hidden="1" customWidth="1"/>
    <col min="21" max="21" width="9.85546875" style="889" hidden="1" customWidth="1"/>
    <col min="22" max="22" width="9.85546875" style="407" hidden="1" customWidth="1"/>
    <col min="23" max="23" width="41" style="407" hidden="1" customWidth="1"/>
    <col min="24" max="24" width="13.28515625" style="407" customWidth="1"/>
    <col min="25" max="1025" width="11.42578125" style="407"/>
    <col min="1026" max="1026" width="11.5703125" customWidth="1"/>
  </cols>
  <sheetData>
    <row r="1" spans="1:21 1026:1026">
      <c r="A1" s="452" t="s">
        <v>0</v>
      </c>
      <c r="C1" s="453"/>
    </row>
    <row r="2" spans="1:21 1026:1026">
      <c r="A2" s="454" t="s">
        <v>1</v>
      </c>
      <c r="C2" s="408"/>
    </row>
    <row r="3" spans="1:21 1026:1026" ht="12" customHeight="1">
      <c r="A3" s="455" t="s">
        <v>392</v>
      </c>
      <c r="B3" s="456" t="s">
        <v>498</v>
      </c>
      <c r="C3" s="456" t="s">
        <v>499</v>
      </c>
      <c r="D3" s="456" t="s">
        <v>498</v>
      </c>
      <c r="E3" s="457" t="s">
        <v>498</v>
      </c>
      <c r="F3" s="457" t="s">
        <v>498</v>
      </c>
      <c r="G3" s="456" t="s">
        <v>498</v>
      </c>
      <c r="H3" s="456" t="s">
        <v>499</v>
      </c>
      <c r="I3" s="456" t="s">
        <v>498</v>
      </c>
      <c r="J3" s="456" t="s">
        <v>498</v>
      </c>
      <c r="K3" s="456" t="s">
        <v>498</v>
      </c>
      <c r="L3" s="456" t="s">
        <v>498</v>
      </c>
      <c r="M3" s="456" t="s">
        <v>498</v>
      </c>
      <c r="O3" s="1068" t="s">
        <v>2</v>
      </c>
      <c r="P3" s="1068"/>
    </row>
    <row r="4" spans="1:21 1026:1026" s="460" customFormat="1" ht="36">
      <c r="A4" s="458" t="s">
        <v>500</v>
      </c>
      <c r="B4" s="918" t="s">
        <v>501</v>
      </c>
      <c r="C4" s="919" t="s">
        <v>502</v>
      </c>
      <c r="D4" s="918" t="s">
        <v>503</v>
      </c>
      <c r="E4" s="918" t="s">
        <v>504</v>
      </c>
      <c r="F4" s="918" t="s">
        <v>505</v>
      </c>
      <c r="G4" s="918" t="s">
        <v>506</v>
      </c>
      <c r="H4" s="919" t="s">
        <v>507</v>
      </c>
      <c r="I4" s="918" t="s">
        <v>508</v>
      </c>
      <c r="J4" s="918" t="s">
        <v>509</v>
      </c>
      <c r="K4" s="918" t="s">
        <v>510</v>
      </c>
      <c r="L4" s="918" t="s">
        <v>511</v>
      </c>
      <c r="M4" s="919" t="s">
        <v>512</v>
      </c>
      <c r="N4" s="459" t="s">
        <v>259</v>
      </c>
      <c r="O4" s="909" t="s">
        <v>18</v>
      </c>
      <c r="P4" s="909" t="s">
        <v>19</v>
      </c>
      <c r="Q4" s="459" t="s">
        <v>513</v>
      </c>
      <c r="R4" s="1022"/>
      <c r="S4" s="769"/>
      <c r="T4" s="769"/>
      <c r="U4" s="890"/>
      <c r="AML4"/>
    </row>
    <row r="5" spans="1:21 1026:1026" s="408" customFormat="1">
      <c r="A5" s="461" t="s">
        <v>35</v>
      </c>
      <c r="B5" s="903">
        <v>19454167</v>
      </c>
      <c r="C5" s="462">
        <v>300</v>
      </c>
      <c r="D5" s="462">
        <v>141120.49</v>
      </c>
      <c r="E5" s="462"/>
      <c r="F5" s="462"/>
      <c r="G5" s="463"/>
      <c r="H5" s="462">
        <v>5000</v>
      </c>
      <c r="I5" s="462">
        <v>10000</v>
      </c>
      <c r="J5" s="462"/>
      <c r="K5" s="462">
        <v>160436</v>
      </c>
      <c r="L5" s="462">
        <f>140164-8650</f>
        <v>131514</v>
      </c>
      <c r="M5" s="462">
        <v>27222</v>
      </c>
      <c r="N5" s="463">
        <f t="shared" ref="N5:N46" si="0">SUM(B5:M5)</f>
        <v>19929759.489999998</v>
      </c>
      <c r="O5" s="903"/>
      <c r="P5" s="903"/>
      <c r="Q5" s="462">
        <f t="shared" ref="Q5:Q25" si="1">N5+O5-P5</f>
        <v>19929759.489999998</v>
      </c>
      <c r="R5" s="451"/>
      <c r="S5" s="920"/>
      <c r="T5" s="920"/>
      <c r="U5" s="891"/>
      <c r="AML5"/>
    </row>
    <row r="6" spans="1:21 1026:1026" s="408" customFormat="1">
      <c r="A6" s="461" t="s">
        <v>36</v>
      </c>
      <c r="B6" s="903">
        <v>0</v>
      </c>
      <c r="C6" s="462"/>
      <c r="D6" s="462"/>
      <c r="E6" s="462"/>
      <c r="F6" s="462"/>
      <c r="G6" s="462"/>
      <c r="H6" s="462"/>
      <c r="I6" s="462"/>
      <c r="J6" s="462"/>
      <c r="K6" s="463"/>
      <c r="L6" s="463">
        <v>8650</v>
      </c>
      <c r="M6" s="463"/>
      <c r="N6" s="463">
        <f t="shared" si="0"/>
        <v>8650</v>
      </c>
      <c r="O6" s="903"/>
      <c r="P6" s="903"/>
      <c r="Q6" s="462">
        <f t="shared" si="1"/>
        <v>8650</v>
      </c>
      <c r="R6" s="451"/>
      <c r="S6" s="920"/>
      <c r="T6" s="920"/>
      <c r="U6" s="891"/>
      <c r="AML6"/>
    </row>
    <row r="7" spans="1:21 1026:1026" s="408" customFormat="1">
      <c r="A7" s="461" t="s">
        <v>37</v>
      </c>
      <c r="B7" s="903">
        <v>3119911</v>
      </c>
      <c r="C7" s="463"/>
      <c r="D7" s="463"/>
      <c r="E7" s="463"/>
      <c r="F7" s="463"/>
      <c r="G7" s="462"/>
      <c r="H7" s="462"/>
      <c r="I7" s="462"/>
      <c r="J7" s="462"/>
      <c r="K7" s="463"/>
      <c r="L7" s="463"/>
      <c r="M7" s="463"/>
      <c r="N7" s="463">
        <f t="shared" si="0"/>
        <v>3119911</v>
      </c>
      <c r="O7" s="903"/>
      <c r="P7" s="903"/>
      <c r="Q7" s="462">
        <f t="shared" si="1"/>
        <v>3119911</v>
      </c>
      <c r="R7" s="451"/>
      <c r="S7" s="920"/>
      <c r="T7" s="920"/>
      <c r="U7" s="891"/>
      <c r="AML7"/>
    </row>
    <row r="8" spans="1:21 1026:1026" s="408" customFormat="1">
      <c r="A8" s="461" t="s">
        <v>514</v>
      </c>
      <c r="B8" s="903">
        <v>15126973</v>
      </c>
      <c r="C8" s="462">
        <v>96504</v>
      </c>
      <c r="D8" s="462">
        <v>379567.74</v>
      </c>
      <c r="E8" s="463"/>
      <c r="F8" s="463"/>
      <c r="G8" s="462"/>
      <c r="H8" s="462"/>
      <c r="I8" s="462"/>
      <c r="J8" s="462"/>
      <c r="K8" s="462">
        <v>17528</v>
      </c>
      <c r="L8" s="462">
        <v>41054</v>
      </c>
      <c r="M8" s="463">
        <v>155134</v>
      </c>
      <c r="N8" s="463">
        <f t="shared" si="0"/>
        <v>15816760.74</v>
      </c>
      <c r="O8" s="903"/>
      <c r="P8" s="903">
        <f>+'AD ESF'!E310</f>
        <v>6686</v>
      </c>
      <c r="Q8" s="462">
        <f t="shared" si="1"/>
        <v>15810074.74</v>
      </c>
      <c r="R8" s="451"/>
      <c r="S8" s="920"/>
      <c r="T8" s="920"/>
      <c r="U8" s="891"/>
      <c r="AML8"/>
    </row>
    <row r="9" spans="1:21 1026:1026" s="408" customFormat="1">
      <c r="A9" s="461" t="s">
        <v>40</v>
      </c>
      <c r="B9" s="903">
        <v>43757949</v>
      </c>
      <c r="C9" s="463">
        <v>204878</v>
      </c>
      <c r="D9" s="462">
        <v>242332.15</v>
      </c>
      <c r="E9" s="462"/>
      <c r="F9" s="462"/>
      <c r="G9" s="462">
        <v>678203</v>
      </c>
      <c r="H9" s="462"/>
      <c r="I9" s="462"/>
      <c r="J9" s="462"/>
      <c r="K9" s="463">
        <v>1479240</v>
      </c>
      <c r="L9" s="463">
        <v>6686</v>
      </c>
      <c r="M9" s="463"/>
      <c r="N9" s="463">
        <f t="shared" si="0"/>
        <v>46369288.149999999</v>
      </c>
      <c r="O9" s="903"/>
      <c r="P9" s="903">
        <f>+'AD ESF'!E308</f>
        <v>8913485</v>
      </c>
      <c r="Q9" s="462">
        <f t="shared" si="1"/>
        <v>37455803.149999999</v>
      </c>
      <c r="R9" s="451"/>
      <c r="S9" s="920"/>
      <c r="T9" s="920"/>
      <c r="U9" s="891"/>
      <c r="AML9"/>
    </row>
    <row r="10" spans="1:21 1026:1026" s="408" customFormat="1">
      <c r="A10" s="461" t="s">
        <v>42</v>
      </c>
      <c r="B10" s="903">
        <v>6462502</v>
      </c>
      <c r="C10" s="462">
        <v>0</v>
      </c>
      <c r="D10" s="463"/>
      <c r="E10" s="463"/>
      <c r="F10" s="463"/>
      <c r="G10" s="462"/>
      <c r="H10" s="462"/>
      <c r="I10" s="462"/>
      <c r="J10" s="462"/>
      <c r="K10" s="462">
        <v>12346</v>
      </c>
      <c r="L10" s="462">
        <v>1789</v>
      </c>
      <c r="M10" s="463">
        <v>6194</v>
      </c>
      <c r="N10" s="463">
        <f t="shared" si="0"/>
        <v>6482831</v>
      </c>
      <c r="O10" s="903"/>
      <c r="P10" s="903"/>
      <c r="Q10" s="462">
        <f t="shared" si="1"/>
        <v>6482831</v>
      </c>
      <c r="R10" s="451"/>
      <c r="S10" s="920"/>
      <c r="T10" s="920"/>
      <c r="U10" s="891"/>
      <c r="AML10"/>
    </row>
    <row r="11" spans="1:21 1026:1026" s="408" customFormat="1">
      <c r="A11" s="461" t="s">
        <v>891</v>
      </c>
      <c r="B11" s="903">
        <v>5359704</v>
      </c>
      <c r="C11" s="462"/>
      <c r="D11" s="462">
        <v>110626.2</v>
      </c>
      <c r="E11" s="462"/>
      <c r="F11" s="462">
        <v>38502.559999999998</v>
      </c>
      <c r="G11" s="462"/>
      <c r="H11" s="462"/>
      <c r="I11" s="462"/>
      <c r="J11" s="462"/>
      <c r="K11" s="462">
        <v>255259</v>
      </c>
      <c r="L11" s="462">
        <v>66870</v>
      </c>
      <c r="M11" s="463"/>
      <c r="N11" s="463">
        <f t="shared" si="0"/>
        <v>5830961.7599999998</v>
      </c>
      <c r="O11" s="903"/>
      <c r="P11" s="903"/>
      <c r="Q11" s="462">
        <f t="shared" si="1"/>
        <v>5830961.7599999998</v>
      </c>
      <c r="R11" s="451"/>
      <c r="S11" s="920"/>
      <c r="T11" s="920"/>
      <c r="U11" s="891"/>
      <c r="AML11"/>
    </row>
    <row r="12" spans="1:21 1026:1026" s="408" customFormat="1">
      <c r="A12" s="461" t="s">
        <v>45</v>
      </c>
      <c r="B12" s="903">
        <v>1748307</v>
      </c>
      <c r="C12" s="463"/>
      <c r="D12" s="463"/>
      <c r="E12" s="463"/>
      <c r="F12" s="463"/>
      <c r="G12" s="462"/>
      <c r="H12" s="462"/>
      <c r="I12" s="462"/>
      <c r="J12" s="462"/>
      <c r="K12" s="462"/>
      <c r="L12" s="463">
        <v>13007</v>
      </c>
      <c r="M12" s="463"/>
      <c r="N12" s="463">
        <f t="shared" si="0"/>
        <v>1761314</v>
      </c>
      <c r="O12" s="903"/>
      <c r="P12" s="903"/>
      <c r="Q12" s="462">
        <f t="shared" si="1"/>
        <v>1761314</v>
      </c>
      <c r="R12" s="451"/>
      <c r="S12" s="920"/>
      <c r="T12" s="920"/>
      <c r="U12" s="891"/>
      <c r="AML12"/>
    </row>
    <row r="13" spans="1:21 1026:1026" s="408" customFormat="1">
      <c r="A13" s="461" t="s">
        <v>46</v>
      </c>
      <c r="B13" s="903">
        <v>28373524</v>
      </c>
      <c r="C13" s="462"/>
      <c r="D13" s="463">
        <v>3193.38</v>
      </c>
      <c r="E13" s="463"/>
      <c r="F13" s="463"/>
      <c r="G13" s="462"/>
      <c r="H13" s="462"/>
      <c r="I13" s="462"/>
      <c r="J13" s="462"/>
      <c r="K13" s="462">
        <v>280547</v>
      </c>
      <c r="L13" s="463"/>
      <c r="M13" s="463">
        <v>-203395</v>
      </c>
      <c r="N13" s="463">
        <f t="shared" si="0"/>
        <v>28453869.379999999</v>
      </c>
      <c r="O13" s="903"/>
      <c r="P13" s="903"/>
      <c r="Q13" s="462">
        <f t="shared" si="1"/>
        <v>28453869.379999999</v>
      </c>
      <c r="R13" s="451"/>
      <c r="S13" s="920"/>
      <c r="T13" s="920"/>
      <c r="U13" s="891"/>
      <c r="AML13"/>
    </row>
    <row r="14" spans="1:21 1026:1026" s="408" customFormat="1">
      <c r="A14" s="461" t="s">
        <v>838</v>
      </c>
      <c r="B14" s="903">
        <v>413564</v>
      </c>
      <c r="C14" s="462"/>
      <c r="D14" s="463"/>
      <c r="E14" s="463"/>
      <c r="F14" s="463"/>
      <c r="G14" s="462"/>
      <c r="H14" s="462"/>
      <c r="I14" s="462"/>
      <c r="J14" s="462"/>
      <c r="K14" s="462"/>
      <c r="L14" s="463"/>
      <c r="M14" s="463"/>
      <c r="N14" s="463">
        <f t="shared" si="0"/>
        <v>413564</v>
      </c>
      <c r="O14" s="903"/>
      <c r="P14" s="903"/>
      <c r="Q14" s="462">
        <f t="shared" si="1"/>
        <v>413564</v>
      </c>
      <c r="R14" s="451"/>
      <c r="S14" s="920"/>
      <c r="T14" s="920"/>
      <c r="U14" s="891"/>
      <c r="AML14"/>
    </row>
    <row r="15" spans="1:21 1026:1026" s="408" customFormat="1">
      <c r="A15" s="461" t="s">
        <v>48</v>
      </c>
      <c r="B15" s="903">
        <v>0</v>
      </c>
      <c r="C15" s="462"/>
      <c r="D15" s="463"/>
      <c r="E15" s="463"/>
      <c r="F15" s="463"/>
      <c r="G15" s="462"/>
      <c r="H15" s="462"/>
      <c r="I15" s="462"/>
      <c r="J15" s="462"/>
      <c r="K15" s="463"/>
      <c r="L15" s="463">
        <v>852144</v>
      </c>
      <c r="M15" s="463"/>
      <c r="N15" s="463">
        <f t="shared" si="0"/>
        <v>852144</v>
      </c>
      <c r="O15" s="903"/>
      <c r="P15" s="903">
        <f>+'AD ESF'!E309</f>
        <v>852144</v>
      </c>
      <c r="Q15" s="903">
        <f t="shared" si="1"/>
        <v>0</v>
      </c>
      <c r="R15" s="451"/>
      <c r="S15" s="920"/>
      <c r="T15" s="920"/>
      <c r="U15" s="891"/>
      <c r="AML15"/>
    </row>
    <row r="16" spans="1:21 1026:1026" s="408" customFormat="1">
      <c r="A16" s="461" t="s">
        <v>49</v>
      </c>
      <c r="B16" s="903">
        <v>4645673</v>
      </c>
      <c r="C16" s="462"/>
      <c r="D16" s="463"/>
      <c r="E16" s="463"/>
      <c r="F16" s="463"/>
      <c r="G16" s="462"/>
      <c r="H16" s="462"/>
      <c r="I16" s="462"/>
      <c r="J16" s="462"/>
      <c r="K16" s="463"/>
      <c r="L16" s="462"/>
      <c r="M16" s="463"/>
      <c r="N16" s="463">
        <f t="shared" si="0"/>
        <v>4645673</v>
      </c>
      <c r="O16" s="903"/>
      <c r="P16" s="903"/>
      <c r="Q16" s="462">
        <f t="shared" si="1"/>
        <v>4645673</v>
      </c>
      <c r="R16" s="451"/>
      <c r="S16" s="920"/>
      <c r="T16" s="920"/>
      <c r="U16" s="891"/>
      <c r="AML16"/>
    </row>
    <row r="17" spans="1:21 1026:1026" s="408" customFormat="1">
      <c r="A17" s="461" t="s">
        <v>50</v>
      </c>
      <c r="B17" s="903">
        <v>183729286</v>
      </c>
      <c r="C17" s="462">
        <v>36014089</v>
      </c>
      <c r="D17" s="462">
        <v>3840801.75</v>
      </c>
      <c r="E17" s="463"/>
      <c r="F17" s="463">
        <v>401412.34</v>
      </c>
      <c r="G17" s="462"/>
      <c r="H17" s="462"/>
      <c r="I17" s="462"/>
      <c r="J17" s="462">
        <v>1379851.82</v>
      </c>
      <c r="K17" s="462">
        <v>930344</v>
      </c>
      <c r="L17" s="462">
        <v>732938</v>
      </c>
      <c r="M17" s="462">
        <v>167276</v>
      </c>
      <c r="N17" s="463">
        <f t="shared" si="0"/>
        <v>227195998.91</v>
      </c>
      <c r="O17" s="903">
        <f>+'AD ESF'!D251</f>
        <v>47450</v>
      </c>
      <c r="P17" s="903">
        <f>+'AD ESF'!E284</f>
        <v>2087445</v>
      </c>
      <c r="Q17" s="462">
        <f t="shared" si="1"/>
        <v>225156003.91</v>
      </c>
      <c r="R17" s="451"/>
      <c r="S17" s="920"/>
      <c r="T17" s="920"/>
      <c r="U17" s="891"/>
      <c r="AML17"/>
    </row>
    <row r="18" spans="1:21 1026:1026" s="408" customFormat="1">
      <c r="A18" s="461" t="s">
        <v>515</v>
      </c>
      <c r="B18" s="903">
        <v>-146152287</v>
      </c>
      <c r="C18" s="462"/>
      <c r="D18" s="462">
        <v>-851337.76</v>
      </c>
      <c r="E18" s="463"/>
      <c r="F18" s="463">
        <v>-401412.34</v>
      </c>
      <c r="G18" s="462"/>
      <c r="H18" s="462"/>
      <c r="I18" s="462"/>
      <c r="J18" s="462">
        <v>-282210.37</v>
      </c>
      <c r="K18" s="462"/>
      <c r="L18" s="464">
        <v>-512458</v>
      </c>
      <c r="M18" s="462"/>
      <c r="N18" s="463">
        <f t="shared" si="0"/>
        <v>-148199705.47</v>
      </c>
      <c r="O18" s="903">
        <f>+'AD ESF'!D283</f>
        <v>2008798</v>
      </c>
      <c r="P18" s="903"/>
      <c r="Q18" s="462">
        <f t="shared" si="1"/>
        <v>-146190907.47</v>
      </c>
      <c r="R18" s="451"/>
      <c r="S18" s="920"/>
      <c r="T18" s="920"/>
      <c r="U18" s="891"/>
      <c r="AML18"/>
    </row>
    <row r="19" spans="1:21 1026:1026" s="408" customFormat="1">
      <c r="A19" s="461" t="s">
        <v>53</v>
      </c>
      <c r="B19" s="903">
        <v>545591</v>
      </c>
      <c r="C19" s="462"/>
      <c r="D19" s="463">
        <v>439321.65</v>
      </c>
      <c r="E19" s="463"/>
      <c r="F19" s="463"/>
      <c r="G19" s="462"/>
      <c r="H19" s="462"/>
      <c r="I19" s="462"/>
      <c r="J19" s="463"/>
      <c r="K19" s="463"/>
      <c r="L19" s="463"/>
      <c r="M19" s="463"/>
      <c r="N19" s="463">
        <f t="shared" si="0"/>
        <v>984912.65</v>
      </c>
      <c r="O19" s="903"/>
      <c r="P19" s="903"/>
      <c r="Q19" s="462">
        <f t="shared" si="1"/>
        <v>984912.65</v>
      </c>
      <c r="R19" s="451"/>
      <c r="S19" s="920"/>
      <c r="T19" s="920"/>
      <c r="U19" s="891"/>
      <c r="AML19"/>
    </row>
    <row r="20" spans="1:21 1026:1026" s="408" customFormat="1">
      <c r="A20" s="461" t="s">
        <v>54</v>
      </c>
      <c r="B20" s="903">
        <v>11075558</v>
      </c>
      <c r="C20" s="462"/>
      <c r="D20" s="463"/>
      <c r="E20" s="463"/>
      <c r="F20" s="463"/>
      <c r="G20" s="462"/>
      <c r="H20" s="462"/>
      <c r="I20" s="462"/>
      <c r="J20" s="463"/>
      <c r="K20" s="463"/>
      <c r="L20" s="462"/>
      <c r="M20" s="463"/>
      <c r="N20" s="463">
        <f t="shared" si="0"/>
        <v>11075558</v>
      </c>
      <c r="O20" s="903">
        <f>+'AD ESF'!D252+'AD ESF'!D290</f>
        <v>522983</v>
      </c>
      <c r="P20" s="903"/>
      <c r="Q20" s="462">
        <f t="shared" si="1"/>
        <v>11598541</v>
      </c>
      <c r="R20" s="451"/>
      <c r="S20" s="920"/>
      <c r="T20" s="920"/>
      <c r="U20" s="891"/>
      <c r="AML20"/>
    </row>
    <row r="21" spans="1:21 1026:1026" s="408" customFormat="1">
      <c r="A21" s="461" t="s">
        <v>56</v>
      </c>
      <c r="B21" s="903">
        <v>0</v>
      </c>
      <c r="C21" s="462"/>
      <c r="D21" s="463"/>
      <c r="E21" s="463"/>
      <c r="F21" s="463"/>
      <c r="G21" s="462"/>
      <c r="H21" s="462"/>
      <c r="I21" s="462"/>
      <c r="J21" s="463"/>
      <c r="K21" s="463"/>
      <c r="L21" s="463"/>
      <c r="M21" s="463"/>
      <c r="N21" s="463">
        <f t="shared" si="0"/>
        <v>0</v>
      </c>
      <c r="O21" s="903"/>
      <c r="P21" s="903"/>
      <c r="Q21" s="462">
        <f t="shared" si="1"/>
        <v>0</v>
      </c>
      <c r="R21" s="451"/>
      <c r="S21" s="920"/>
      <c r="T21" s="920"/>
      <c r="U21" s="891"/>
      <c r="AML21"/>
    </row>
    <row r="22" spans="1:21 1026:1026" s="408" customFormat="1">
      <c r="A22" s="461" t="s">
        <v>516</v>
      </c>
      <c r="B22" s="903">
        <v>42626957</v>
      </c>
      <c r="C22" s="463"/>
      <c r="D22" s="463"/>
      <c r="E22" s="463"/>
      <c r="F22" s="463"/>
      <c r="G22" s="462"/>
      <c r="H22" s="462"/>
      <c r="I22" s="462"/>
      <c r="J22" s="463"/>
      <c r="K22" s="463"/>
      <c r="L22" s="463"/>
      <c r="M22" s="463"/>
      <c r="N22" s="463">
        <f t="shared" si="0"/>
        <v>42626957</v>
      </c>
      <c r="O22" s="903">
        <f>+'AD ESF'!D317</f>
        <v>468128</v>
      </c>
      <c r="P22" s="903">
        <f>+'AD ESF'!E255+'AD ESF'!E297+'AD ESF'!E311</f>
        <v>39039055</v>
      </c>
      <c r="Q22" s="462">
        <f t="shared" si="1"/>
        <v>4056030</v>
      </c>
      <c r="R22" s="451"/>
      <c r="S22" s="920"/>
      <c r="T22" s="920"/>
      <c r="U22" s="891"/>
      <c r="AML22"/>
    </row>
    <row r="23" spans="1:21 1026:1026" s="408" customFormat="1">
      <c r="A23" s="461" t="s">
        <v>517</v>
      </c>
      <c r="B23" s="903">
        <v>261500</v>
      </c>
      <c r="C23" s="463"/>
      <c r="D23" s="463"/>
      <c r="E23" s="463"/>
      <c r="F23" s="463"/>
      <c r="G23" s="463"/>
      <c r="H23" s="463"/>
      <c r="I23" s="463"/>
      <c r="J23" s="463"/>
      <c r="K23" s="463"/>
      <c r="L23" s="463">
        <v>2113</v>
      </c>
      <c r="M23" s="463"/>
      <c r="N23" s="463">
        <f t="shared" si="0"/>
        <v>263613</v>
      </c>
      <c r="O23" s="903"/>
      <c r="P23" s="903"/>
      <c r="Q23" s="462">
        <f t="shared" si="1"/>
        <v>263613</v>
      </c>
      <c r="R23" s="451"/>
      <c r="S23" s="920"/>
      <c r="T23" s="920"/>
      <c r="U23" s="891"/>
      <c r="AML23"/>
    </row>
    <row r="24" spans="1:21 1026:1026" s="408" customFormat="1">
      <c r="A24" s="465" t="s">
        <v>518</v>
      </c>
      <c r="B24" s="904">
        <v>3949574</v>
      </c>
      <c r="C24" s="467"/>
      <c r="D24" s="467"/>
      <c r="E24" s="467"/>
      <c r="F24" s="467"/>
      <c r="G24" s="467"/>
      <c r="H24" s="467"/>
      <c r="I24" s="467"/>
      <c r="J24" s="467"/>
      <c r="K24" s="467"/>
      <c r="L24" s="467"/>
      <c r="M24" s="467"/>
      <c r="N24" s="463">
        <f t="shared" si="0"/>
        <v>3949574</v>
      </c>
      <c r="O24" s="904"/>
      <c r="P24" s="904"/>
      <c r="Q24" s="462">
        <f t="shared" si="1"/>
        <v>3949574</v>
      </c>
      <c r="R24" s="451"/>
      <c r="S24" s="920"/>
      <c r="T24" s="920"/>
      <c r="U24" s="891"/>
      <c r="AML24"/>
    </row>
    <row r="25" spans="1:21 1026:1026" s="408" customFormat="1">
      <c r="A25" s="465" t="s">
        <v>61</v>
      </c>
      <c r="B25" s="904">
        <v>1721555</v>
      </c>
      <c r="C25" s="467">
        <v>100</v>
      </c>
      <c r="D25" s="467">
        <v>2534340.1800000002</v>
      </c>
      <c r="E25" s="467"/>
      <c r="F25" s="467"/>
      <c r="G25" s="467"/>
      <c r="H25" s="467"/>
      <c r="I25" s="467">
        <v>15700</v>
      </c>
      <c r="J25" s="467"/>
      <c r="K25" s="466"/>
      <c r="L25" s="467"/>
      <c r="M25" s="467"/>
      <c r="N25" s="463">
        <f t="shared" si="0"/>
        <v>4271695.18</v>
      </c>
      <c r="O25" s="904"/>
      <c r="P25" s="904">
        <f>+'AD ESF'!E276</f>
        <v>2534340</v>
      </c>
      <c r="Q25" s="462">
        <f t="shared" si="1"/>
        <v>1737355.1799999997</v>
      </c>
      <c r="R25" s="451"/>
      <c r="S25" s="920"/>
      <c r="T25" s="920"/>
      <c r="U25" s="891"/>
      <c r="AML25"/>
    </row>
    <row r="26" spans="1:21 1026:1026" s="471" customFormat="1">
      <c r="A26" s="468" t="s">
        <v>63</v>
      </c>
      <c r="B26" s="469">
        <f t="shared" ref="B26:N26" si="2">SUM(B5:B25)</f>
        <v>226220008</v>
      </c>
      <c r="C26" s="469">
        <f t="shared" si="2"/>
        <v>36315871</v>
      </c>
      <c r="D26" s="469">
        <f t="shared" si="2"/>
        <v>6839965.7800000012</v>
      </c>
      <c r="E26" s="469">
        <f t="shared" si="2"/>
        <v>0</v>
      </c>
      <c r="F26" s="469">
        <f t="shared" si="2"/>
        <v>38502.559999999998</v>
      </c>
      <c r="G26" s="469">
        <f t="shared" si="2"/>
        <v>678203</v>
      </c>
      <c r="H26" s="469">
        <f t="shared" si="2"/>
        <v>5000</v>
      </c>
      <c r="I26" s="469">
        <f t="shared" si="2"/>
        <v>25700</v>
      </c>
      <c r="J26" s="469">
        <f t="shared" si="2"/>
        <v>1097641.4500000002</v>
      </c>
      <c r="K26" s="469">
        <f t="shared" si="2"/>
        <v>3135700</v>
      </c>
      <c r="L26" s="469">
        <f t="shared" si="2"/>
        <v>1344307</v>
      </c>
      <c r="M26" s="469">
        <f t="shared" si="2"/>
        <v>152431</v>
      </c>
      <c r="N26" s="469">
        <f t="shared" si="2"/>
        <v>275853329.79000002</v>
      </c>
      <c r="O26" s="905">
        <f>+SUM(O5:O25)</f>
        <v>3047359</v>
      </c>
      <c r="P26" s="905">
        <f>+SUM(P5:P25)</f>
        <v>53433155</v>
      </c>
      <c r="Q26" s="470">
        <f>SUM(Q5:Q25)</f>
        <v>225467533.79000002</v>
      </c>
      <c r="R26" s="1023"/>
      <c r="S26" s="921"/>
      <c r="T26" s="921"/>
      <c r="U26" s="892"/>
      <c r="AML26"/>
    </row>
    <row r="27" spans="1:21 1026:1026" s="408" customFormat="1">
      <c r="A27" s="472" t="s">
        <v>64</v>
      </c>
      <c r="B27" s="906">
        <v>0</v>
      </c>
      <c r="C27" s="474"/>
      <c r="D27" s="474"/>
      <c r="E27" s="474"/>
      <c r="F27" s="474"/>
      <c r="G27" s="474"/>
      <c r="H27" s="474"/>
      <c r="I27" s="474"/>
      <c r="J27" s="474"/>
      <c r="K27" s="473"/>
      <c r="L27" s="474"/>
      <c r="M27" s="474">
        <v>0</v>
      </c>
      <c r="N27" s="474">
        <f t="shared" si="0"/>
        <v>0</v>
      </c>
      <c r="O27" s="906"/>
      <c r="P27" s="906"/>
      <c r="Q27" s="473">
        <f t="shared" ref="Q27:Q46" si="3">N27-O27+P27</f>
        <v>0</v>
      </c>
      <c r="R27" s="451"/>
      <c r="S27" s="920"/>
      <c r="T27" s="920"/>
      <c r="U27" s="893"/>
      <c r="AML27"/>
    </row>
    <row r="28" spans="1:21 1026:1026" s="408" customFormat="1">
      <c r="A28" s="461" t="s">
        <v>65</v>
      </c>
      <c r="B28" s="903">
        <v>2936628</v>
      </c>
      <c r="C28" s="463"/>
      <c r="D28" s="463"/>
      <c r="E28" s="463"/>
      <c r="F28" s="463"/>
      <c r="G28" s="463"/>
      <c r="H28" s="463"/>
      <c r="I28" s="463"/>
      <c r="J28" s="463"/>
      <c r="K28" s="463"/>
      <c r="L28" s="463"/>
      <c r="M28" s="463"/>
      <c r="N28" s="474">
        <f t="shared" si="0"/>
        <v>2936628</v>
      </c>
      <c r="O28" s="903"/>
      <c r="P28" s="903"/>
      <c r="Q28" s="462">
        <f t="shared" si="3"/>
        <v>2936628</v>
      </c>
      <c r="R28" s="451"/>
      <c r="S28" s="920"/>
      <c r="T28" s="920"/>
      <c r="U28" s="893"/>
      <c r="AML28"/>
    </row>
    <row r="29" spans="1:21 1026:1026" s="408" customFormat="1">
      <c r="A29" s="461" t="s">
        <v>66</v>
      </c>
      <c r="B29" s="903">
        <v>6939887</v>
      </c>
      <c r="C29" s="463"/>
      <c r="D29" s="463">
        <v>89723.02</v>
      </c>
      <c r="E29" s="463"/>
      <c r="F29" s="463"/>
      <c r="G29" s="463"/>
      <c r="H29" s="463"/>
      <c r="I29" s="463"/>
      <c r="J29" s="463"/>
      <c r="K29" s="463">
        <v>0</v>
      </c>
      <c r="L29" s="463">
        <v>0</v>
      </c>
      <c r="M29" s="463"/>
      <c r="N29" s="474">
        <f t="shared" si="0"/>
        <v>7029610.0199999996</v>
      </c>
      <c r="O29" s="903"/>
      <c r="P29" s="903"/>
      <c r="Q29" s="462">
        <f t="shared" si="3"/>
        <v>7029610.0199999996</v>
      </c>
      <c r="R29" s="451"/>
      <c r="S29" s="920"/>
      <c r="T29" s="920"/>
      <c r="U29" s="893"/>
      <c r="AML29"/>
    </row>
    <row r="30" spans="1:21 1026:1026" s="408" customFormat="1">
      <c r="A30" s="461" t="s">
        <v>67</v>
      </c>
      <c r="B30" s="903">
        <v>25754955</v>
      </c>
      <c r="C30" s="462">
        <v>813607</v>
      </c>
      <c r="D30" s="462">
        <v>4202</v>
      </c>
      <c r="E30" s="463"/>
      <c r="F30" s="463"/>
      <c r="G30" s="463"/>
      <c r="H30" s="463"/>
      <c r="I30" s="463"/>
      <c r="J30" s="463"/>
      <c r="K30" s="462">
        <v>34452</v>
      </c>
      <c r="L30" s="462">
        <v>38047</v>
      </c>
      <c r="M30" s="462">
        <v>468560</v>
      </c>
      <c r="N30" s="474">
        <f t="shared" si="0"/>
        <v>27113823</v>
      </c>
      <c r="O30" s="903">
        <f>+'AD ESF'!D304</f>
        <v>858829</v>
      </c>
      <c r="P30" s="903"/>
      <c r="Q30" s="462">
        <f t="shared" si="3"/>
        <v>26254994</v>
      </c>
      <c r="R30" s="451"/>
      <c r="S30" s="920"/>
      <c r="T30" s="920"/>
      <c r="U30" s="893"/>
      <c r="AML30"/>
    </row>
    <row r="31" spans="1:21 1026:1026" s="408" customFormat="1">
      <c r="A31" s="461" t="s">
        <v>68</v>
      </c>
      <c r="B31" s="903">
        <v>673963</v>
      </c>
      <c r="C31" s="462">
        <v>40164</v>
      </c>
      <c r="D31" s="462">
        <v>552479.09</v>
      </c>
      <c r="E31" s="463"/>
      <c r="F31" s="463"/>
      <c r="G31" s="463"/>
      <c r="H31" s="463"/>
      <c r="I31" s="463">
        <v>15700</v>
      </c>
      <c r="J31" s="463"/>
      <c r="K31" s="462">
        <f>4870+2500</f>
        <v>7370</v>
      </c>
      <c r="L31" s="462">
        <v>0</v>
      </c>
      <c r="M31" s="462">
        <v>4144</v>
      </c>
      <c r="N31" s="474">
        <f t="shared" si="0"/>
        <v>1293820.0899999999</v>
      </c>
      <c r="O31" s="903">
        <f>+'AD ESF'!D302</f>
        <v>651898</v>
      </c>
      <c r="P31" s="903"/>
      <c r="Q31" s="462">
        <f t="shared" si="3"/>
        <v>641922.08999999985</v>
      </c>
      <c r="R31" s="451"/>
      <c r="S31" s="920"/>
      <c r="T31" s="920"/>
      <c r="U31" s="893"/>
      <c r="AML31"/>
    </row>
    <row r="32" spans="1:21 1026:1026" s="408" customFormat="1">
      <c r="A32" s="461" t="s">
        <v>892</v>
      </c>
      <c r="B32" s="903">
        <v>12422401</v>
      </c>
      <c r="C32" s="463"/>
      <c r="D32" s="462"/>
      <c r="E32" s="463"/>
      <c r="F32" s="463"/>
      <c r="G32" s="463"/>
      <c r="H32" s="463"/>
      <c r="I32" s="463"/>
      <c r="J32" s="463"/>
      <c r="K32" s="462">
        <v>20829</v>
      </c>
      <c r="L32" s="462">
        <v>51527</v>
      </c>
      <c r="M32" s="462"/>
      <c r="N32" s="474">
        <f t="shared" si="0"/>
        <v>12494757</v>
      </c>
      <c r="O32" s="903"/>
      <c r="P32" s="903"/>
      <c r="Q32" s="462">
        <f t="shared" si="3"/>
        <v>12494757</v>
      </c>
      <c r="R32" s="451"/>
      <c r="S32" s="920"/>
      <c r="T32" s="920"/>
      <c r="U32" s="893"/>
      <c r="AML32"/>
    </row>
    <row r="33" spans="1:22 1026:1026" s="408" customFormat="1">
      <c r="A33" s="461" t="s">
        <v>72</v>
      </c>
      <c r="B33" s="903">
        <v>6333057</v>
      </c>
      <c r="C33" s="462"/>
      <c r="D33" s="462">
        <v>8317.5300000000007</v>
      </c>
      <c r="E33" s="462"/>
      <c r="F33" s="462"/>
      <c r="G33" s="463"/>
      <c r="H33" s="463"/>
      <c r="I33" s="463"/>
      <c r="J33" s="463"/>
      <c r="K33" s="463">
        <f>192725-129567</f>
        <v>63158</v>
      </c>
      <c r="L33" s="462">
        <v>7081</v>
      </c>
      <c r="M33" s="462">
        <v>73218</v>
      </c>
      <c r="N33" s="474">
        <f t="shared" si="0"/>
        <v>6484831.5300000003</v>
      </c>
      <c r="O33" s="903">
        <f>+'AD ESF'!D306</f>
        <v>662638</v>
      </c>
      <c r="P33" s="903"/>
      <c r="Q33" s="462">
        <f t="shared" si="3"/>
        <v>5822193.5300000003</v>
      </c>
      <c r="R33" s="451"/>
      <c r="S33" s="920"/>
      <c r="T33" s="920"/>
      <c r="U33" s="893"/>
      <c r="AML33"/>
    </row>
    <row r="34" spans="1:22 1026:1026" s="408" customFormat="1">
      <c r="A34" s="461" t="s">
        <v>840</v>
      </c>
      <c r="B34" s="903">
        <v>4578384</v>
      </c>
      <c r="C34" s="463"/>
      <c r="D34" s="463"/>
      <c r="E34" s="463"/>
      <c r="F34" s="463"/>
      <c r="G34" s="463"/>
      <c r="H34" s="463"/>
      <c r="I34" s="463"/>
      <c r="J34" s="463"/>
      <c r="K34" s="462"/>
      <c r="L34" s="463"/>
      <c r="M34" s="463"/>
      <c r="N34" s="474">
        <f t="shared" si="0"/>
        <v>4578384</v>
      </c>
      <c r="O34" s="903"/>
      <c r="P34" s="903"/>
      <c r="Q34" s="462">
        <f t="shared" si="3"/>
        <v>4578384</v>
      </c>
      <c r="R34" s="451"/>
      <c r="S34" s="920"/>
      <c r="T34" s="920"/>
      <c r="U34" s="893"/>
      <c r="AML34"/>
    </row>
    <row r="35" spans="1:22 1026:1026" s="408" customFormat="1">
      <c r="A35" s="461" t="s">
        <v>839</v>
      </c>
      <c r="B35" s="903">
        <v>9733654</v>
      </c>
      <c r="C35" s="463"/>
      <c r="D35" s="462">
        <f>117231.54+186.54</f>
        <v>117418.07999999999</v>
      </c>
      <c r="E35" s="463"/>
      <c r="F35" s="463"/>
      <c r="G35" s="463"/>
      <c r="H35" s="463"/>
      <c r="I35" s="463"/>
      <c r="J35" s="463"/>
      <c r="K35" s="462">
        <v>66916</v>
      </c>
      <c r="L35" s="462">
        <v>47740</v>
      </c>
      <c r="M35" s="462">
        <v>2510</v>
      </c>
      <c r="N35" s="474">
        <f t="shared" si="0"/>
        <v>9968238.0800000001</v>
      </c>
      <c r="O35" s="903"/>
      <c r="P35" s="903"/>
      <c r="Q35" s="462">
        <f t="shared" si="3"/>
        <v>9968238.0800000001</v>
      </c>
      <c r="R35" s="451"/>
      <c r="S35" s="920"/>
      <c r="T35" s="920"/>
      <c r="U35" s="893"/>
      <c r="AML35"/>
    </row>
    <row r="36" spans="1:22 1026:1026" s="408" customFormat="1">
      <c r="A36" s="461" t="s">
        <v>520</v>
      </c>
      <c r="B36" s="903">
        <v>1574195</v>
      </c>
      <c r="C36" s="463"/>
      <c r="D36" s="462"/>
      <c r="E36" s="463"/>
      <c r="F36" s="463"/>
      <c r="G36" s="463"/>
      <c r="H36" s="463"/>
      <c r="I36" s="463"/>
      <c r="J36" s="463"/>
      <c r="K36" s="462"/>
      <c r="L36" s="462"/>
      <c r="M36" s="462"/>
      <c r="N36" s="474">
        <f t="shared" si="0"/>
        <v>1574195</v>
      </c>
      <c r="O36" s="903"/>
      <c r="P36" s="903"/>
      <c r="Q36" s="462">
        <f t="shared" si="3"/>
        <v>1574195</v>
      </c>
      <c r="R36" s="451"/>
      <c r="S36" s="920"/>
      <c r="T36" s="920"/>
      <c r="U36" s="893"/>
      <c r="AML36"/>
    </row>
    <row r="37" spans="1:22 1026:1026" s="408" customFormat="1">
      <c r="A37" s="461" t="s">
        <v>76</v>
      </c>
      <c r="B37" s="903">
        <v>45106525</v>
      </c>
      <c r="C37" s="463"/>
      <c r="D37" s="462"/>
      <c r="E37" s="463"/>
      <c r="F37" s="463"/>
      <c r="G37" s="463"/>
      <c r="H37" s="463"/>
      <c r="I37" s="463"/>
      <c r="J37" s="463"/>
      <c r="K37" s="462"/>
      <c r="L37" s="462"/>
      <c r="M37" s="462"/>
      <c r="N37" s="474">
        <f t="shared" si="0"/>
        <v>45106525</v>
      </c>
      <c r="O37" s="903"/>
      <c r="P37" s="903"/>
      <c r="Q37" s="462">
        <f t="shared" si="3"/>
        <v>45106525</v>
      </c>
      <c r="R37" s="451"/>
      <c r="S37" s="920"/>
      <c r="T37" s="920"/>
      <c r="U37" s="889"/>
      <c r="AML37"/>
    </row>
    <row r="38" spans="1:22 1026:1026" s="408" customFormat="1">
      <c r="A38" s="461" t="s">
        <v>521</v>
      </c>
      <c r="B38" s="903">
        <v>1645615</v>
      </c>
      <c r="C38" s="463"/>
      <c r="D38" s="463"/>
      <c r="E38" s="463"/>
      <c r="F38" s="463"/>
      <c r="G38" s="463"/>
      <c r="H38" s="463"/>
      <c r="I38" s="463"/>
      <c r="J38" s="463"/>
      <c r="K38" s="463"/>
      <c r="L38" s="463">
        <v>0</v>
      </c>
      <c r="M38" s="463"/>
      <c r="N38" s="474">
        <f t="shared" si="0"/>
        <v>1645615</v>
      </c>
      <c r="O38" s="903"/>
      <c r="P38" s="903"/>
      <c r="Q38" s="462">
        <f t="shared" si="3"/>
        <v>1645615</v>
      </c>
      <c r="R38" s="451"/>
      <c r="S38" s="920"/>
      <c r="T38" s="920"/>
      <c r="U38" s="893"/>
      <c r="AML38"/>
    </row>
    <row r="39" spans="1:22 1026:1026" s="408" customFormat="1">
      <c r="A39" s="461" t="s">
        <v>841</v>
      </c>
      <c r="B39" s="903">
        <v>6657895</v>
      </c>
      <c r="C39" s="463"/>
      <c r="D39" s="463"/>
      <c r="E39" s="463"/>
      <c r="F39" s="463"/>
      <c r="G39" s="463"/>
      <c r="H39" s="463"/>
      <c r="I39" s="463"/>
      <c r="J39" s="463"/>
      <c r="K39" s="463"/>
      <c r="L39" s="463"/>
      <c r="M39" s="463"/>
      <c r="N39" s="474">
        <f t="shared" si="0"/>
        <v>6657895</v>
      </c>
      <c r="O39" s="903"/>
      <c r="P39" s="903"/>
      <c r="Q39" s="462">
        <f t="shared" si="3"/>
        <v>6657895</v>
      </c>
      <c r="R39" s="451"/>
      <c r="S39" s="920"/>
      <c r="T39" s="920"/>
      <c r="U39" s="893"/>
      <c r="AML39"/>
    </row>
    <row r="40" spans="1:22 1026:1026" s="408" customFormat="1" hidden="1">
      <c r="A40" s="461" t="s">
        <v>79</v>
      </c>
      <c r="B40" s="903">
        <v>0</v>
      </c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  <c r="N40" s="474">
        <f t="shared" si="0"/>
        <v>0</v>
      </c>
      <c r="O40" s="903"/>
      <c r="P40" s="903"/>
      <c r="Q40" s="903">
        <f t="shared" si="3"/>
        <v>0</v>
      </c>
      <c r="R40" s="451"/>
      <c r="S40" s="920"/>
      <c r="T40" s="920"/>
      <c r="U40" s="893"/>
      <c r="AML40"/>
    </row>
    <row r="41" spans="1:22 1026:1026" s="408" customFormat="1">
      <c r="A41" s="461" t="s">
        <v>80</v>
      </c>
      <c r="B41" s="903">
        <v>0</v>
      </c>
      <c r="C41" s="462">
        <f>4636266+693808</f>
        <v>5330074</v>
      </c>
      <c r="D41" s="462">
        <f>598334.58+439321.65</f>
        <v>1037656.23</v>
      </c>
      <c r="E41" s="463"/>
      <c r="F41" s="463"/>
      <c r="G41" s="463"/>
      <c r="H41" s="463"/>
      <c r="I41" s="463"/>
      <c r="J41" s="463"/>
      <c r="K41" s="462">
        <v>1282511</v>
      </c>
      <c r="L41" s="462">
        <v>658889</v>
      </c>
      <c r="M41" s="462">
        <v>746170</v>
      </c>
      <c r="N41" s="474">
        <f t="shared" si="0"/>
        <v>9055300.2300000004</v>
      </c>
      <c r="O41" s="903">
        <f>+'AD ESF'!D256+'AD ESF'!D303</f>
        <v>8891273</v>
      </c>
      <c r="P41" s="903">
        <f>+'AD ESF'!E312</f>
        <v>529779</v>
      </c>
      <c r="Q41" s="462">
        <f t="shared" si="3"/>
        <v>693806.23000000045</v>
      </c>
      <c r="R41" s="451"/>
      <c r="S41" s="920"/>
      <c r="T41" s="920"/>
      <c r="U41" s="893"/>
      <c r="AML41"/>
    </row>
    <row r="42" spans="1:22 1026:1026" s="408" customFormat="1">
      <c r="A42" s="461" t="s">
        <v>81</v>
      </c>
      <c r="B42" s="903">
        <v>1141591</v>
      </c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  <c r="N42" s="474">
        <f t="shared" si="0"/>
        <v>1141591</v>
      </c>
      <c r="O42" s="903"/>
      <c r="P42" s="903"/>
      <c r="Q42" s="462">
        <f t="shared" si="3"/>
        <v>1141591</v>
      </c>
      <c r="R42" s="451"/>
      <c r="S42" s="920"/>
      <c r="T42" s="920"/>
      <c r="U42" s="893"/>
      <c r="AML42"/>
    </row>
    <row r="43" spans="1:22 1026:1026" s="408" customFormat="1">
      <c r="A43" s="461" t="s">
        <v>522</v>
      </c>
      <c r="B43" s="903">
        <v>7290869</v>
      </c>
      <c r="C43" s="463"/>
      <c r="D43" s="463"/>
      <c r="E43" s="463"/>
      <c r="F43" s="463"/>
      <c r="G43" s="463"/>
      <c r="H43" s="463"/>
      <c r="I43" s="463"/>
      <c r="J43" s="463"/>
      <c r="K43" s="463"/>
      <c r="L43" s="462">
        <v>41632</v>
      </c>
      <c r="M43" s="463"/>
      <c r="N43" s="474">
        <f t="shared" si="0"/>
        <v>7332501</v>
      </c>
      <c r="O43" s="903"/>
      <c r="P43" s="903"/>
      <c r="Q43" s="462">
        <f t="shared" si="3"/>
        <v>7332501</v>
      </c>
      <c r="R43" s="451"/>
      <c r="S43" s="920"/>
      <c r="T43" s="920"/>
      <c r="U43" s="893"/>
      <c r="AML43"/>
    </row>
    <row r="44" spans="1:22 1026:1026" s="408" customFormat="1">
      <c r="A44" s="461" t="s">
        <v>523</v>
      </c>
      <c r="B44" s="903">
        <v>2542451</v>
      </c>
      <c r="C44" s="463"/>
      <c r="D44" s="463"/>
      <c r="E44" s="463"/>
      <c r="F44" s="463"/>
      <c r="G44" s="463"/>
      <c r="H44" s="463"/>
      <c r="I44" s="463"/>
      <c r="J44" s="463"/>
      <c r="K44" s="463"/>
      <c r="L44" s="462"/>
      <c r="M44" s="463"/>
      <c r="N44" s="474">
        <f t="shared" si="0"/>
        <v>2542451</v>
      </c>
      <c r="O44" s="903"/>
      <c r="P44" s="903"/>
      <c r="Q44" s="462">
        <f t="shared" si="3"/>
        <v>2542451</v>
      </c>
      <c r="R44" s="451"/>
      <c r="S44" s="920"/>
      <c r="T44" s="920"/>
      <c r="U44" s="893"/>
      <c r="AML44"/>
    </row>
    <row r="45" spans="1:22 1026:1026" s="408" customFormat="1" hidden="1">
      <c r="A45" s="461" t="s">
        <v>519</v>
      </c>
      <c r="B45" s="903"/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74">
        <f t="shared" si="0"/>
        <v>0</v>
      </c>
      <c r="O45" s="903"/>
      <c r="P45" s="903"/>
      <c r="Q45" s="462">
        <f t="shared" si="3"/>
        <v>0</v>
      </c>
      <c r="R45" s="451"/>
      <c r="S45" s="920"/>
      <c r="T45" s="920"/>
      <c r="U45" s="893"/>
      <c r="AML45"/>
    </row>
    <row r="46" spans="1:22 1026:1026" s="408" customFormat="1" ht="15.75" thickBot="1">
      <c r="A46" s="465" t="s">
        <v>842</v>
      </c>
      <c r="B46" s="904">
        <v>2580000</v>
      </c>
      <c r="C46" s="467"/>
      <c r="D46" s="467"/>
      <c r="E46" s="467"/>
      <c r="F46" s="467"/>
      <c r="G46" s="467"/>
      <c r="H46" s="467"/>
      <c r="I46" s="467"/>
      <c r="J46" s="467"/>
      <c r="K46" s="467"/>
      <c r="L46" s="467"/>
      <c r="M46" s="467"/>
      <c r="N46" s="474">
        <f t="shared" si="0"/>
        <v>2580000</v>
      </c>
      <c r="O46" s="904"/>
      <c r="P46" s="904"/>
      <c r="Q46" s="466">
        <f t="shared" si="3"/>
        <v>2580000</v>
      </c>
      <c r="R46" s="451"/>
      <c r="S46" s="920"/>
      <c r="T46" s="920"/>
      <c r="U46" s="893"/>
      <c r="AML46"/>
    </row>
    <row r="47" spans="1:22 1026:1026" s="475" customFormat="1" ht="15.75" thickBot="1">
      <c r="A47" s="468" t="s">
        <v>86</v>
      </c>
      <c r="B47" s="905">
        <f t="shared" ref="B47:Q47" si="4">SUM(B27:B46)</f>
        <v>137912070</v>
      </c>
      <c r="C47" s="469">
        <f t="shared" si="4"/>
        <v>6183845</v>
      </c>
      <c r="D47" s="469">
        <f t="shared" si="4"/>
        <v>1809795.95</v>
      </c>
      <c r="E47" s="469">
        <f t="shared" si="4"/>
        <v>0</v>
      </c>
      <c r="F47" s="469">
        <f t="shared" si="4"/>
        <v>0</v>
      </c>
      <c r="G47" s="469">
        <f t="shared" si="4"/>
        <v>0</v>
      </c>
      <c r="H47" s="469">
        <f t="shared" si="4"/>
        <v>0</v>
      </c>
      <c r="I47" s="469">
        <f t="shared" si="4"/>
        <v>15700</v>
      </c>
      <c r="J47" s="469">
        <f t="shared" si="4"/>
        <v>0</v>
      </c>
      <c r="K47" s="469">
        <f t="shared" si="4"/>
        <v>1475236</v>
      </c>
      <c r="L47" s="469">
        <f t="shared" si="4"/>
        <v>844916</v>
      </c>
      <c r="M47" s="469">
        <f t="shared" si="4"/>
        <v>1294602</v>
      </c>
      <c r="N47" s="469">
        <f t="shared" si="4"/>
        <v>149536164.94999999</v>
      </c>
      <c r="O47" s="905">
        <f t="shared" si="4"/>
        <v>11064638</v>
      </c>
      <c r="P47" s="905">
        <f t="shared" si="4"/>
        <v>529779</v>
      </c>
      <c r="Q47" s="470">
        <f t="shared" si="4"/>
        <v>139001305.94999999</v>
      </c>
      <c r="R47" s="1024"/>
      <c r="S47" s="921"/>
      <c r="T47" s="921"/>
      <c r="U47" s="890"/>
      <c r="AML47"/>
    </row>
    <row r="48" spans="1:22 1026:1026" s="408" customFormat="1">
      <c r="A48" s="472" t="s">
        <v>87</v>
      </c>
      <c r="B48" s="906">
        <v>21629181</v>
      </c>
      <c r="C48" s="476">
        <v>5000</v>
      </c>
      <c r="D48" s="476">
        <v>1105000</v>
      </c>
      <c r="E48" s="476"/>
      <c r="F48" s="476">
        <v>1000</v>
      </c>
      <c r="G48" s="473">
        <v>1000</v>
      </c>
      <c r="H48" s="473">
        <v>5000</v>
      </c>
      <c r="I48" s="473">
        <v>10000</v>
      </c>
      <c r="J48" s="473">
        <v>800</v>
      </c>
      <c r="K48" s="474">
        <v>800</v>
      </c>
      <c r="L48" s="473">
        <v>3661400</v>
      </c>
      <c r="M48" s="473">
        <v>10000</v>
      </c>
      <c r="N48" s="474">
        <f t="shared" ref="N48:N58" si="5">SUM(B48:M48)</f>
        <v>26429181</v>
      </c>
      <c r="O48" s="906">
        <f>+'AD ESF'!D246+'AD ESF'!D261+'AD ESF'!D305</f>
        <v>4800000</v>
      </c>
      <c r="P48" s="906"/>
      <c r="Q48" s="473">
        <f t="shared" ref="Q48:Q58" si="6">N48-O48+P48</f>
        <v>21629181</v>
      </c>
      <c r="R48" s="451">
        <f>+Q48-'ECP20'!B84</f>
        <v>0</v>
      </c>
      <c r="S48" s="920" t="s">
        <v>498</v>
      </c>
      <c r="T48" s="926">
        <f>+Q48-'ECP20'!B84</f>
        <v>0</v>
      </c>
      <c r="U48" s="927">
        <v>37143362</v>
      </c>
      <c r="V48" s="928">
        <f>+U48-Q48</f>
        <v>15514181</v>
      </c>
      <c r="AML48"/>
    </row>
    <row r="49" spans="1:24 1026:1026" s="408" customFormat="1">
      <c r="A49" s="461" t="s">
        <v>88</v>
      </c>
      <c r="B49" s="903">
        <v>920</v>
      </c>
      <c r="C49" s="477">
        <v>41940194</v>
      </c>
      <c r="D49" s="477">
        <v>877313.05</v>
      </c>
      <c r="E49" s="462"/>
      <c r="F49" s="462">
        <v>49015</v>
      </c>
      <c r="G49" s="462">
        <v>330450</v>
      </c>
      <c r="H49" s="462"/>
      <c r="I49" s="462"/>
      <c r="J49" s="462"/>
      <c r="K49" s="462">
        <v>1833418</v>
      </c>
      <c r="L49" s="462">
        <v>406800</v>
      </c>
      <c r="M49" s="463"/>
      <c r="N49" s="474">
        <f t="shared" si="5"/>
        <v>45438110.049999997</v>
      </c>
      <c r="O49" s="903">
        <f>+'AD ESF'!D249+'AD ESF'!D262+'AD ESF'!D296</f>
        <v>45437188</v>
      </c>
      <c r="P49" s="903"/>
      <c r="Q49" s="473">
        <f t="shared" si="6"/>
        <v>922.04999999701977</v>
      </c>
      <c r="R49" s="451">
        <f>+Q49-'ECP20'!D84</f>
        <v>1.0499999970197678</v>
      </c>
      <c r="S49" s="920" t="s">
        <v>498</v>
      </c>
      <c r="T49" s="926">
        <f>+Q49-'ECP20'!D84</f>
        <v>1.0499999970197678</v>
      </c>
      <c r="U49" s="927">
        <v>6115922</v>
      </c>
      <c r="V49" s="928">
        <f t="shared" ref="V49:V56" si="7">+U49-Q49</f>
        <v>6114999.950000003</v>
      </c>
      <c r="AML49"/>
    </row>
    <row r="50" spans="1:24 1026:1026" s="408" customFormat="1">
      <c r="A50" s="461" t="s">
        <v>90</v>
      </c>
      <c r="B50" s="907">
        <v>6135362</v>
      </c>
      <c r="C50" s="462"/>
      <c r="D50" s="462"/>
      <c r="E50" s="477"/>
      <c r="F50" s="477">
        <v>500</v>
      </c>
      <c r="G50" s="462">
        <v>0</v>
      </c>
      <c r="H50" s="462"/>
      <c r="I50" s="462"/>
      <c r="J50" s="462"/>
      <c r="K50" s="462"/>
      <c r="L50" s="462">
        <v>104043</v>
      </c>
      <c r="M50" s="463"/>
      <c r="N50" s="474">
        <f t="shared" si="5"/>
        <v>6239905</v>
      </c>
      <c r="O50" s="903">
        <f>+'AD ESF'!D247+'AD ESF'!D281</f>
        <v>104543</v>
      </c>
      <c r="P50" s="903"/>
      <c r="Q50" s="473">
        <f t="shared" si="6"/>
        <v>6135362</v>
      </c>
      <c r="R50" s="451">
        <f>+Q50-'ECP20'!F84</f>
        <v>0.44000000040978193</v>
      </c>
      <c r="S50" s="930" t="s">
        <v>498</v>
      </c>
      <c r="T50" s="931">
        <f>+Q50-'ECP20'!F84</f>
        <v>0.44000000040978193</v>
      </c>
      <c r="U50" s="927">
        <v>6135362</v>
      </c>
      <c r="V50" s="927">
        <f t="shared" si="7"/>
        <v>0</v>
      </c>
      <c r="AML50"/>
    </row>
    <row r="51" spans="1:24 1026:1026" s="408" customFormat="1">
      <c r="A51" s="461" t="s">
        <v>91</v>
      </c>
      <c r="B51" s="903">
        <v>34797</v>
      </c>
      <c r="C51" s="462"/>
      <c r="D51" s="462"/>
      <c r="E51" s="462"/>
      <c r="F51" s="462"/>
      <c r="G51" s="462"/>
      <c r="H51" s="462"/>
      <c r="I51" s="462"/>
      <c r="J51" s="462"/>
      <c r="K51" s="462"/>
      <c r="L51" s="462"/>
      <c r="M51" s="463"/>
      <c r="N51" s="474">
        <f t="shared" si="5"/>
        <v>34797</v>
      </c>
      <c r="O51" s="903"/>
      <c r="P51" s="903"/>
      <c r="Q51" s="473">
        <f t="shared" si="6"/>
        <v>34797</v>
      </c>
      <c r="R51" s="451">
        <f>+Q51-'ECP20'!H84</f>
        <v>0</v>
      </c>
      <c r="S51" s="920" t="s">
        <v>498</v>
      </c>
      <c r="T51" s="931">
        <f>+Q51-'ECP20'!H84</f>
        <v>0</v>
      </c>
      <c r="U51" s="927">
        <v>34797</v>
      </c>
      <c r="V51" s="927">
        <f t="shared" si="7"/>
        <v>0</v>
      </c>
      <c r="AML51"/>
    </row>
    <row r="52" spans="1:24 1026:1026" s="408" customFormat="1">
      <c r="A52" s="461" t="s">
        <v>92</v>
      </c>
      <c r="B52" s="903">
        <v>227072</v>
      </c>
      <c r="C52" s="462"/>
      <c r="D52" s="462"/>
      <c r="E52" s="462"/>
      <c r="F52" s="462"/>
      <c r="G52" s="462">
        <v>109633</v>
      </c>
      <c r="H52" s="462"/>
      <c r="I52" s="462"/>
      <c r="J52" s="462">
        <v>340.17</v>
      </c>
      <c r="K52" s="462"/>
      <c r="L52" s="462"/>
      <c r="M52" s="463"/>
      <c r="N52" s="474">
        <f t="shared" si="5"/>
        <v>337045.17</v>
      </c>
      <c r="O52" s="903">
        <f>+'AD ESF'!D248</f>
        <v>109973</v>
      </c>
      <c r="P52" s="903"/>
      <c r="Q52" s="473">
        <f t="shared" si="6"/>
        <v>227072.16999999998</v>
      </c>
      <c r="R52" s="451">
        <f>+Q52-'ECP20'!L84</f>
        <v>0.16999999998370185</v>
      </c>
      <c r="S52" s="920" t="s">
        <v>847</v>
      </c>
      <c r="T52" s="926">
        <f>+Q52-'ECP20'!L84</f>
        <v>0.16999999998370185</v>
      </c>
      <c r="U52" s="927">
        <v>227072</v>
      </c>
      <c r="V52" s="928">
        <f t="shared" si="7"/>
        <v>-0.16999999998370185</v>
      </c>
      <c r="AML52"/>
    </row>
    <row r="53" spans="1:24 1026:1026" s="408" customFormat="1">
      <c r="A53" s="461" t="s">
        <v>94</v>
      </c>
      <c r="B53" s="903">
        <v>324243</v>
      </c>
      <c r="C53" s="463"/>
      <c r="D53" s="478"/>
      <c r="E53" s="462"/>
      <c r="F53" s="462"/>
      <c r="G53" s="478"/>
      <c r="H53" s="462"/>
      <c r="I53" s="462"/>
      <c r="J53" s="462"/>
      <c r="K53" s="462"/>
      <c r="L53"/>
      <c r="M53" s="463"/>
      <c r="N53" s="474">
        <f t="shared" si="5"/>
        <v>324243</v>
      </c>
      <c r="O53" s="903"/>
      <c r="P53" s="903"/>
      <c r="Q53" s="473">
        <f t="shared" si="6"/>
        <v>324243</v>
      </c>
      <c r="R53" s="451">
        <f>+Q53-'ECP20'!J84</f>
        <v>0</v>
      </c>
      <c r="S53" s="920" t="s">
        <v>498</v>
      </c>
      <c r="T53" s="926">
        <f>+Q53-'ECP20'!J84</f>
        <v>0</v>
      </c>
      <c r="U53" s="927">
        <v>324243</v>
      </c>
      <c r="V53" s="928">
        <f t="shared" si="7"/>
        <v>0</v>
      </c>
      <c r="AML53"/>
    </row>
    <row r="54" spans="1:24 1026:1026" s="408" customFormat="1">
      <c r="A54" s="461" t="s">
        <v>524</v>
      </c>
      <c r="B54" s="903"/>
      <c r="C54" s="463"/>
      <c r="D54" s="462"/>
      <c r="E54" s="462"/>
      <c r="F54" s="462"/>
      <c r="G54" s="462"/>
      <c r="H54" s="462"/>
      <c r="I54" s="462"/>
      <c r="J54" s="462">
        <v>1378711.65</v>
      </c>
      <c r="K54" s="462"/>
      <c r="L54" s="462">
        <v>202047</v>
      </c>
      <c r="M54" s="463"/>
      <c r="N54" s="474">
        <f t="shared" si="5"/>
        <v>1580758.65</v>
      </c>
      <c r="O54" s="903">
        <f>+'AD ESF'!D250+'AD ESF'!D282</f>
        <v>1580759</v>
      </c>
      <c r="P54" s="903"/>
      <c r="Q54" s="473">
        <f t="shared" si="6"/>
        <v>-0.35000000009313226</v>
      </c>
      <c r="R54" s="451"/>
      <c r="S54" s="930" t="s">
        <v>498</v>
      </c>
      <c r="T54" s="926">
        <f>+Q54-U54</f>
        <v>-0.35000000009313226</v>
      </c>
      <c r="U54" s="927">
        <v>0</v>
      </c>
      <c r="V54" s="928">
        <f t="shared" si="7"/>
        <v>0.35000000009313226</v>
      </c>
      <c r="W54" s="408" t="s">
        <v>845</v>
      </c>
      <c r="AML54"/>
    </row>
    <row r="55" spans="1:24 1026:1026" s="408" customFormat="1">
      <c r="A55" s="461" t="s">
        <v>93</v>
      </c>
      <c r="B55" s="907">
        <v>-3202431</v>
      </c>
      <c r="C55" s="462"/>
      <c r="D55" s="462"/>
      <c r="E55" s="462"/>
      <c r="F55" s="462">
        <v>82150.45</v>
      </c>
      <c r="G55" s="462"/>
      <c r="H55" s="462"/>
      <c r="I55" s="462"/>
      <c r="J55" s="462"/>
      <c r="K55" s="462"/>
      <c r="L55" s="462">
        <v>-56932</v>
      </c>
      <c r="M55" s="463"/>
      <c r="N55" s="474">
        <f t="shared" si="5"/>
        <v>-3177212.55</v>
      </c>
      <c r="O55" s="903">
        <f>+'AD ESF'!D253</f>
        <v>25218</v>
      </c>
      <c r="P55" s="903"/>
      <c r="Q55" s="473">
        <f t="shared" si="6"/>
        <v>-3202430.55</v>
      </c>
      <c r="R55" s="451">
        <f>+Q55-'ECP20'!N84</f>
        <v>0.45000000018626451</v>
      </c>
      <c r="S55" s="920" t="s">
        <v>498</v>
      </c>
      <c r="T55" s="926">
        <f>+Q55-'ECP20'!N84</f>
        <v>0.45000000018626451</v>
      </c>
      <c r="U55" s="927">
        <v>-3202431</v>
      </c>
      <c r="V55" s="928">
        <f t="shared" si="7"/>
        <v>-0.45000000018626451</v>
      </c>
      <c r="AML55"/>
    </row>
    <row r="56" spans="1:24 1026:1026" s="408" customFormat="1">
      <c r="A56" s="461" t="s">
        <v>852</v>
      </c>
      <c r="B56" s="903">
        <v>44007629</v>
      </c>
      <c r="C56" s="477">
        <v>-8625165</v>
      </c>
      <c r="D56" s="477">
        <v>2648674.7999999998</v>
      </c>
      <c r="E56" s="477"/>
      <c r="F56" s="477">
        <v>-94162.889999999898</v>
      </c>
      <c r="G56" s="462">
        <v>-94319</v>
      </c>
      <c r="H56" s="462"/>
      <c r="I56" s="462"/>
      <c r="J56" s="462">
        <v>-241624.27</v>
      </c>
      <c r="K56" s="463">
        <f>-373201+48632</f>
        <v>-324569</v>
      </c>
      <c r="L56" s="903">
        <v>-3973274</v>
      </c>
      <c r="M56" s="903">
        <v>-1058874</v>
      </c>
      <c r="N56" s="474">
        <f t="shared" si="5"/>
        <v>32244315.639999993</v>
      </c>
      <c r="O56" s="903">
        <f>+Patrimonio!O64-Patrimonio!O63</f>
        <v>3484702</v>
      </c>
      <c r="P56" s="903">
        <f>+Patrimonio!P64-Patrimonio!P63</f>
        <v>7621259</v>
      </c>
      <c r="Q56" s="473">
        <f t="shared" si="6"/>
        <v>36380872.639999993</v>
      </c>
      <c r="R56" s="1070">
        <f>+Q56+Q57-'ECP20'!P84</f>
        <v>-2312.4925545752048</v>
      </c>
      <c r="S56" s="920"/>
      <c r="T56" s="926">
        <f>+Q56+Q57-'ECP20'!P84</f>
        <v>-2312.4925545752048</v>
      </c>
      <c r="U56" s="927">
        <v>34120511.763659999</v>
      </c>
      <c r="V56" s="928">
        <f t="shared" si="7"/>
        <v>-2260360.8763399944</v>
      </c>
      <c r="X56" s="1078" t="s">
        <v>896</v>
      </c>
      <c r="AML56"/>
    </row>
    <row r="57" spans="1:24 1026:1026" s="408" customFormat="1">
      <c r="A57" s="461" t="s">
        <v>525</v>
      </c>
      <c r="B57" s="903">
        <v>19151165</v>
      </c>
      <c r="C57" s="477">
        <f>+C76</f>
        <v>-3188003</v>
      </c>
      <c r="D57" s="477">
        <v>399181.98</v>
      </c>
      <c r="E57" s="477"/>
      <c r="F57" s="477"/>
      <c r="G57" s="462">
        <v>331439</v>
      </c>
      <c r="H57" s="462"/>
      <c r="I57" s="462"/>
      <c r="J57" s="462">
        <v>-40586.1</v>
      </c>
      <c r="K57" s="463">
        <f>+K76</f>
        <v>150815</v>
      </c>
      <c r="L57" s="462">
        <f>+L76</f>
        <v>155307</v>
      </c>
      <c r="M57" s="462">
        <f>+M76</f>
        <v>-93297</v>
      </c>
      <c r="N57" s="474">
        <f t="shared" si="5"/>
        <v>16866021.880000003</v>
      </c>
      <c r="O57" s="903">
        <f>+O76</f>
        <v>902562</v>
      </c>
      <c r="P57" s="903">
        <f>+P76+'AD ESF'!E270</f>
        <v>2069001</v>
      </c>
      <c r="Q57" s="473">
        <f t="shared" si="6"/>
        <v>18032460.880000003</v>
      </c>
      <c r="R57" s="889">
        <f>+Q57-Patrimonio!Q63</f>
        <v>-0.16999999806284904</v>
      </c>
      <c r="S57" s="920" t="s">
        <v>498</v>
      </c>
      <c r="T57" s="926"/>
      <c r="U57" s="928"/>
      <c r="V57" s="928"/>
      <c r="AML57"/>
    </row>
    <row r="58" spans="1:24 1026:1026" s="408" customFormat="1">
      <c r="A58" s="465" t="s">
        <v>526</v>
      </c>
      <c r="B58" s="904"/>
      <c r="C58" s="479"/>
      <c r="D58" s="479"/>
      <c r="E58" s="479"/>
      <c r="F58" s="479"/>
      <c r="G58" s="466"/>
      <c r="H58" s="466"/>
      <c r="I58" s="466"/>
      <c r="J58" s="466"/>
      <c r="K58" s="467"/>
      <c r="L58" s="466"/>
      <c r="M58" s="466"/>
      <c r="N58" s="474">
        <f t="shared" si="5"/>
        <v>0</v>
      </c>
      <c r="O58" s="904">
        <f>+'AD ESF'!D269</f>
        <v>698311</v>
      </c>
      <c r="P58" s="904">
        <f>+Patrimonio!P75</f>
        <v>7602059</v>
      </c>
      <c r="Q58" s="473">
        <f t="shared" si="6"/>
        <v>6903748</v>
      </c>
      <c r="R58" s="889">
        <f>+Q58-'ECP20'!R84</f>
        <v>-0.12611738033592701</v>
      </c>
      <c r="S58" s="920" t="s">
        <v>498</v>
      </c>
      <c r="T58" s="926">
        <f>+Q58-'ECP20'!R84</f>
        <v>-0.12611738033592701</v>
      </c>
      <c r="U58" s="927">
        <v>7602058.70634</v>
      </c>
      <c r="V58" s="928">
        <f>+U58-Q58</f>
        <v>698310.70634000003</v>
      </c>
      <c r="AML58"/>
    </row>
    <row r="59" spans="1:24 1026:1026" s="475" customFormat="1" ht="15.75" thickBot="1">
      <c r="A59" s="468" t="s">
        <v>100</v>
      </c>
      <c r="B59" s="905">
        <f>SUM(B48:B58)</f>
        <v>88307938</v>
      </c>
      <c r="C59" s="905">
        <f t="shared" ref="C59:K59" si="8">SUM(C48:C58)</f>
        <v>30132026</v>
      </c>
      <c r="D59" s="905">
        <f t="shared" si="8"/>
        <v>5030169.83</v>
      </c>
      <c r="E59" s="905">
        <f t="shared" si="8"/>
        <v>0</v>
      </c>
      <c r="F59" s="905">
        <f t="shared" si="8"/>
        <v>38502.560000000114</v>
      </c>
      <c r="G59" s="905">
        <f t="shared" si="8"/>
        <v>678203</v>
      </c>
      <c r="H59" s="905">
        <f t="shared" si="8"/>
        <v>5000</v>
      </c>
      <c r="I59" s="905">
        <f t="shared" si="8"/>
        <v>10000</v>
      </c>
      <c r="J59" s="905">
        <f t="shared" si="8"/>
        <v>1097641.4499999997</v>
      </c>
      <c r="K59" s="905">
        <f t="shared" si="8"/>
        <v>1660464</v>
      </c>
      <c r="L59" s="905">
        <f>SUM(L48:L58)</f>
        <v>499391</v>
      </c>
      <c r="M59" s="905">
        <f t="shared" ref="M59" si="9">SUM(M48:M58)</f>
        <v>-1142171</v>
      </c>
      <c r="N59" s="469">
        <f t="shared" ref="N59:Q59" si="10">SUM(N48:N58)</f>
        <v>126317164.84</v>
      </c>
      <c r="O59" s="905">
        <f t="shared" si="10"/>
        <v>57143256</v>
      </c>
      <c r="P59" s="905">
        <f t="shared" si="10"/>
        <v>17292319</v>
      </c>
      <c r="Q59" s="470">
        <f t="shared" si="10"/>
        <v>86466227.840000004</v>
      </c>
      <c r="R59" s="1024"/>
      <c r="S59" s="921"/>
      <c r="T59" s="929"/>
      <c r="U59" s="927">
        <v>88500897.469999999</v>
      </c>
      <c r="V59" s="928">
        <f>+U59-Q59</f>
        <v>2034669.6299999952</v>
      </c>
      <c r="AML59"/>
    </row>
    <row r="60" spans="1:24 1026:1026" s="475" customFormat="1" ht="15.75" thickBot="1">
      <c r="A60" s="468" t="s">
        <v>151</v>
      </c>
      <c r="B60" s="905">
        <f>+B59+B47</f>
        <v>226220008</v>
      </c>
      <c r="C60" s="905">
        <f t="shared" ref="C60:Q60" si="11">+C59+C47</f>
        <v>36315871</v>
      </c>
      <c r="D60" s="905">
        <f t="shared" si="11"/>
        <v>6839965.7800000003</v>
      </c>
      <c r="E60" s="905">
        <f t="shared" si="11"/>
        <v>0</v>
      </c>
      <c r="F60" s="905">
        <f t="shared" si="11"/>
        <v>38502.560000000114</v>
      </c>
      <c r="G60" s="905">
        <f t="shared" si="11"/>
        <v>678203</v>
      </c>
      <c r="H60" s="905">
        <f t="shared" si="11"/>
        <v>5000</v>
      </c>
      <c r="I60" s="905">
        <f t="shared" si="11"/>
        <v>25700</v>
      </c>
      <c r="J60" s="905">
        <f t="shared" si="11"/>
        <v>1097641.4499999997</v>
      </c>
      <c r="K60" s="905">
        <f t="shared" si="11"/>
        <v>3135700</v>
      </c>
      <c r="L60" s="979">
        <f t="shared" si="11"/>
        <v>1344307</v>
      </c>
      <c r="M60" s="905">
        <f t="shared" si="11"/>
        <v>152431</v>
      </c>
      <c r="N60" s="905">
        <f t="shared" si="11"/>
        <v>275853329.78999996</v>
      </c>
      <c r="O60" s="905">
        <f t="shared" si="11"/>
        <v>68207894</v>
      </c>
      <c r="P60" s="905">
        <f t="shared" si="11"/>
        <v>17822098</v>
      </c>
      <c r="Q60" s="905">
        <f t="shared" si="11"/>
        <v>225467533.78999999</v>
      </c>
      <c r="R60" s="1024"/>
      <c r="S60" s="921"/>
      <c r="T60" s="929"/>
      <c r="U60" s="927"/>
      <c r="V60" s="928"/>
      <c r="AML60"/>
    </row>
    <row r="61" spans="1:24 1026:1026" s="982" customFormat="1" ht="9.75">
      <c r="A61" s="980"/>
      <c r="B61" s="1019">
        <f t="shared" ref="B61:Q61" si="12">+B26-B47-B59</f>
        <v>0</v>
      </c>
      <c r="C61" s="1020">
        <f t="shared" si="12"/>
        <v>0</v>
      </c>
      <c r="D61" s="1020">
        <f t="shared" si="12"/>
        <v>0</v>
      </c>
      <c r="E61" s="1020">
        <f t="shared" si="12"/>
        <v>0</v>
      </c>
      <c r="F61" s="1020">
        <f t="shared" si="12"/>
        <v>-1.1641532182693481E-10</v>
      </c>
      <c r="G61" s="1020">
        <f t="shared" si="12"/>
        <v>0</v>
      </c>
      <c r="H61" s="1020">
        <f t="shared" si="12"/>
        <v>0</v>
      </c>
      <c r="I61" s="1020">
        <f t="shared" si="12"/>
        <v>0</v>
      </c>
      <c r="J61" s="1020">
        <f t="shared" si="12"/>
        <v>0</v>
      </c>
      <c r="K61" s="1020">
        <f t="shared" si="12"/>
        <v>0</v>
      </c>
      <c r="L61" s="1020">
        <f t="shared" si="12"/>
        <v>0</v>
      </c>
      <c r="M61" s="1020">
        <f t="shared" si="12"/>
        <v>0</v>
      </c>
      <c r="N61" s="1020">
        <f t="shared" si="12"/>
        <v>0</v>
      </c>
      <c r="O61" s="981">
        <f>+O26+O47+O59</f>
        <v>71255253</v>
      </c>
      <c r="P61" s="981">
        <f>+P26+P47+P59</f>
        <v>71255253</v>
      </c>
      <c r="Q61" s="1018">
        <f t="shared" si="12"/>
        <v>0</v>
      </c>
      <c r="S61" s="983"/>
      <c r="T61" s="983"/>
      <c r="U61" s="889"/>
      <c r="V61" s="984"/>
      <c r="AML61" s="938"/>
    </row>
    <row r="62" spans="1:24 1026:1026" s="414" customFormat="1">
      <c r="A62" s="480"/>
      <c r="B62" s="908"/>
      <c r="C62" s="482"/>
      <c r="D62" s="482"/>
      <c r="E62" s="482"/>
      <c r="F62" s="482"/>
      <c r="G62" s="482"/>
      <c r="H62" s="482"/>
      <c r="I62" s="482"/>
      <c r="J62" s="482"/>
      <c r="K62" s="482"/>
      <c r="L62" s="482"/>
      <c r="M62" s="482"/>
      <c r="N62" s="482"/>
      <c r="O62" s="940"/>
      <c r="P62" s="941">
        <f>+O61-P61</f>
        <v>0</v>
      </c>
      <c r="Q62" s="483"/>
      <c r="R62" s="982"/>
      <c r="S62" s="483"/>
      <c r="T62" s="483"/>
      <c r="U62" s="889"/>
      <c r="V62" s="481"/>
      <c r="AML62"/>
    </row>
    <row r="63" spans="1:24 1026:1026" s="460" customFormat="1" ht="36">
      <c r="A63" s="458" t="s">
        <v>527</v>
      </c>
      <c r="B63" s="909" t="s">
        <v>501</v>
      </c>
      <c r="C63" s="459" t="s">
        <v>502</v>
      </c>
      <c r="D63" s="459" t="s">
        <v>503</v>
      </c>
      <c r="E63" s="459" t="s">
        <v>504</v>
      </c>
      <c r="F63" s="459" t="s">
        <v>505</v>
      </c>
      <c r="G63" s="459" t="s">
        <v>506</v>
      </c>
      <c r="H63" s="459" t="s">
        <v>507</v>
      </c>
      <c r="I63" s="459" t="s">
        <v>508</v>
      </c>
      <c r="J63" s="459" t="s">
        <v>509</v>
      </c>
      <c r="K63" s="459" t="s">
        <v>510</v>
      </c>
      <c r="L63" s="459" t="s">
        <v>511</v>
      </c>
      <c r="M63" s="459" t="s">
        <v>512</v>
      </c>
      <c r="N63" s="459" t="s">
        <v>259</v>
      </c>
      <c r="O63" s="956" t="s">
        <v>18</v>
      </c>
      <c r="P63" s="956" t="s">
        <v>19</v>
      </c>
      <c r="Q63" s="957" t="s">
        <v>513</v>
      </c>
      <c r="R63" s="1025"/>
      <c r="S63" s="769"/>
      <c r="T63" s="769"/>
      <c r="U63" s="890"/>
      <c r="AML63"/>
    </row>
    <row r="64" spans="1:24 1026:1026">
      <c r="A64" s="465" t="s">
        <v>101</v>
      </c>
      <c r="B64" s="910">
        <v>205835336</v>
      </c>
      <c r="C64" s="484">
        <v>318327</v>
      </c>
      <c r="D64" s="484">
        <v>1559674.44</v>
      </c>
      <c r="E64" s="484"/>
      <c r="F64" s="484"/>
      <c r="G64" s="484">
        <v>678203.46</v>
      </c>
      <c r="H64" s="484"/>
      <c r="I64" s="484"/>
      <c r="J64" s="484"/>
      <c r="K64" s="484">
        <v>2096289</v>
      </c>
      <c r="L64" s="484">
        <v>780607</v>
      </c>
      <c r="M64" s="484">
        <v>251463</v>
      </c>
      <c r="N64" s="485">
        <f>SUM(B64:M64)</f>
        <v>211519899.90000001</v>
      </c>
      <c r="O64" s="942">
        <f>+'AD ERI'!D38</f>
        <v>902562</v>
      </c>
      <c r="P64" s="943"/>
      <c r="Q64" s="486">
        <f>N64-O64+P64</f>
        <v>210617337.90000001</v>
      </c>
      <c r="S64" s="922"/>
      <c r="T64" s="922"/>
    </row>
    <row r="65" spans="1:1026">
      <c r="A65" s="472" t="s">
        <v>102</v>
      </c>
      <c r="B65" s="911">
        <v>-93087412</v>
      </c>
      <c r="C65" s="487">
        <v>-3244369</v>
      </c>
      <c r="D65" s="487">
        <v>-717000.41</v>
      </c>
      <c r="E65" s="487"/>
      <c r="F65" s="487"/>
      <c r="G65" s="487">
        <v>-346764.29</v>
      </c>
      <c r="H65" s="487"/>
      <c r="I65" s="487"/>
      <c r="J65" s="487"/>
      <c r="K65" s="487">
        <v>-1430055</v>
      </c>
      <c r="L65" s="487">
        <v>-264630</v>
      </c>
      <c r="M65" s="487">
        <v>-72447</v>
      </c>
      <c r="N65" s="488">
        <f>SUM(B65:M65)</f>
        <v>-99162677.700000003</v>
      </c>
      <c r="O65" s="944"/>
      <c r="P65" s="945">
        <f>+'AD ERI'!E39</f>
        <v>902562</v>
      </c>
      <c r="Q65" s="489">
        <f>N65-O65+P65</f>
        <v>-98260115.700000003</v>
      </c>
      <c r="S65" s="922"/>
      <c r="T65" s="922"/>
    </row>
    <row r="66" spans="1:1026" s="405" customFormat="1">
      <c r="A66" s="490" t="s">
        <v>103</v>
      </c>
      <c r="B66" s="912">
        <f t="shared" ref="B66:N66" si="13">SUM(B64:B65)</f>
        <v>112747924</v>
      </c>
      <c r="C66" s="491">
        <f t="shared" si="13"/>
        <v>-2926042</v>
      </c>
      <c r="D66" s="491">
        <f t="shared" si="13"/>
        <v>842674.02999999991</v>
      </c>
      <c r="E66" s="491">
        <f t="shared" si="13"/>
        <v>0</v>
      </c>
      <c r="F66" s="491">
        <f t="shared" si="13"/>
        <v>0</v>
      </c>
      <c r="G66" s="491">
        <f t="shared" si="13"/>
        <v>331439.17</v>
      </c>
      <c r="H66" s="491">
        <f t="shared" si="13"/>
        <v>0</v>
      </c>
      <c r="I66" s="491">
        <f t="shared" si="13"/>
        <v>0</v>
      </c>
      <c r="J66" s="491">
        <f t="shared" si="13"/>
        <v>0</v>
      </c>
      <c r="K66" s="491">
        <f t="shared" si="13"/>
        <v>666234</v>
      </c>
      <c r="L66" s="491">
        <f t="shared" si="13"/>
        <v>515977</v>
      </c>
      <c r="M66" s="491">
        <f t="shared" si="13"/>
        <v>179016</v>
      </c>
      <c r="N66" s="491">
        <f t="shared" si="13"/>
        <v>112357222.2</v>
      </c>
      <c r="O66" s="946"/>
      <c r="P66" s="946"/>
      <c r="Q66" s="492">
        <f>SUM(Q64:Q65)</f>
        <v>112357222.2</v>
      </c>
      <c r="R66" s="1026"/>
      <c r="S66" s="923"/>
      <c r="T66" s="923"/>
      <c r="U66" s="894"/>
      <c r="AML66"/>
    </row>
    <row r="67" spans="1:1026">
      <c r="A67" s="493" t="s">
        <v>104</v>
      </c>
      <c r="B67" s="913">
        <v>-78565101</v>
      </c>
      <c r="C67" s="494"/>
      <c r="D67" s="494">
        <v>-425686.64</v>
      </c>
      <c r="E67" s="494"/>
      <c r="F67" s="494"/>
      <c r="G67" s="494"/>
      <c r="H67" s="494"/>
      <c r="I67" s="494">
        <v>0</v>
      </c>
      <c r="J67" s="494">
        <v>-40586.1</v>
      </c>
      <c r="K67" s="494">
        <v>-382748</v>
      </c>
      <c r="L67" s="494">
        <v>-276692</v>
      </c>
      <c r="M67" s="494">
        <v>-272313</v>
      </c>
      <c r="N67" s="495">
        <f>SUM(B67:M67)</f>
        <v>-79963126.739999995</v>
      </c>
      <c r="O67" s="943"/>
      <c r="P67" s="942"/>
      <c r="Q67" s="486">
        <f>N67-O67+P67</f>
        <v>-79963126.739999995</v>
      </c>
      <c r="S67" s="922"/>
      <c r="T67" s="922"/>
    </row>
    <row r="68" spans="1:1026">
      <c r="A68" s="472" t="s">
        <v>105</v>
      </c>
      <c r="B68" s="911">
        <v>-501019</v>
      </c>
      <c r="C68" s="487">
        <v>-261961</v>
      </c>
      <c r="D68" s="487">
        <v>-17805.41</v>
      </c>
      <c r="E68" s="487"/>
      <c r="F68" s="487"/>
      <c r="G68" s="487"/>
      <c r="H68" s="487"/>
      <c r="I68" s="487"/>
      <c r="J68" s="487"/>
      <c r="K68" s="487">
        <v>-50339</v>
      </c>
      <c r="L68" s="487">
        <f>-4183+456</f>
        <v>-3727</v>
      </c>
      <c r="M68" s="487"/>
      <c r="N68" s="488">
        <f>SUM(B68:M68)</f>
        <v>-834851.41</v>
      </c>
      <c r="O68" s="944"/>
      <c r="P68" s="945">
        <f>+'AD ESF'!E318</f>
        <v>468128</v>
      </c>
      <c r="Q68" s="489">
        <f>N68-O68+P68</f>
        <v>-366723.41000000003</v>
      </c>
      <c r="S68" s="922"/>
      <c r="T68" s="922"/>
    </row>
    <row r="69" spans="1:1026" s="405" customFormat="1">
      <c r="A69" s="490" t="s">
        <v>107</v>
      </c>
      <c r="B69" s="912">
        <f t="shared" ref="B69:N69" si="14">SUM(B66:B68)</f>
        <v>33681804</v>
      </c>
      <c r="C69" s="491">
        <f t="shared" si="14"/>
        <v>-3188003</v>
      </c>
      <c r="D69" s="491">
        <f t="shared" si="14"/>
        <v>399181.97999999992</v>
      </c>
      <c r="E69" s="491">
        <f t="shared" si="14"/>
        <v>0</v>
      </c>
      <c r="F69" s="491">
        <f t="shared" si="14"/>
        <v>0</v>
      </c>
      <c r="G69" s="491">
        <f t="shared" si="14"/>
        <v>331439.17</v>
      </c>
      <c r="H69" s="491">
        <f t="shared" si="14"/>
        <v>0</v>
      </c>
      <c r="I69" s="491">
        <f t="shared" si="14"/>
        <v>0</v>
      </c>
      <c r="J69" s="491">
        <f t="shared" si="14"/>
        <v>-40586.1</v>
      </c>
      <c r="K69" s="491">
        <f t="shared" si="14"/>
        <v>233147</v>
      </c>
      <c r="L69" s="491">
        <f t="shared" si="14"/>
        <v>235558</v>
      </c>
      <c r="M69" s="491">
        <f t="shared" si="14"/>
        <v>-93297</v>
      </c>
      <c r="N69" s="491">
        <f t="shared" si="14"/>
        <v>31559244.050000008</v>
      </c>
      <c r="O69" s="946"/>
      <c r="P69" s="946"/>
      <c r="Q69" s="492">
        <f>SUM(Q66:Q68)</f>
        <v>32027372.050000008</v>
      </c>
      <c r="R69" s="1026"/>
      <c r="S69" s="923"/>
      <c r="T69" s="923"/>
      <c r="U69" s="894"/>
      <c r="AML69"/>
    </row>
    <row r="70" spans="1:1026">
      <c r="A70" s="472" t="s">
        <v>108</v>
      </c>
      <c r="B70" s="911">
        <v>-1888989</v>
      </c>
      <c r="C70" s="487"/>
      <c r="D70" s="487"/>
      <c r="E70" s="487"/>
      <c r="F70" s="487"/>
      <c r="G70" s="487"/>
      <c r="H70" s="487"/>
      <c r="I70" s="487"/>
      <c r="J70" s="487"/>
      <c r="K70" s="487">
        <v>0</v>
      </c>
      <c r="L70" s="487">
        <v>-8472</v>
      </c>
      <c r="M70" s="487"/>
      <c r="N70" s="488">
        <f>SUM(B70:M70)</f>
        <v>-1897461</v>
      </c>
      <c r="O70" s="944"/>
      <c r="P70" s="944"/>
      <c r="Q70" s="489">
        <f>N70-O70+P70</f>
        <v>-1897461</v>
      </c>
      <c r="S70" s="922"/>
      <c r="T70" s="922"/>
    </row>
    <row r="71" spans="1:1026" s="405" customFormat="1">
      <c r="A71" s="490" t="s">
        <v>109</v>
      </c>
      <c r="B71" s="912">
        <f t="shared" ref="B71:N71" si="15">+B69+B70</f>
        <v>31792815</v>
      </c>
      <c r="C71" s="491">
        <f t="shared" si="15"/>
        <v>-3188003</v>
      </c>
      <c r="D71" s="491">
        <f t="shared" si="15"/>
        <v>399181.97999999992</v>
      </c>
      <c r="E71" s="491">
        <f t="shared" si="15"/>
        <v>0</v>
      </c>
      <c r="F71" s="491">
        <f t="shared" si="15"/>
        <v>0</v>
      </c>
      <c r="G71" s="491">
        <f t="shared" si="15"/>
        <v>331439.17</v>
      </c>
      <c r="H71" s="491">
        <f t="shared" si="15"/>
        <v>0</v>
      </c>
      <c r="I71" s="491">
        <f t="shared" si="15"/>
        <v>0</v>
      </c>
      <c r="J71" s="491">
        <f t="shared" si="15"/>
        <v>-40586.1</v>
      </c>
      <c r="K71" s="491">
        <f t="shared" si="15"/>
        <v>233147</v>
      </c>
      <c r="L71" s="491">
        <f t="shared" si="15"/>
        <v>227086</v>
      </c>
      <c r="M71" s="491">
        <f t="shared" si="15"/>
        <v>-93297</v>
      </c>
      <c r="N71" s="491">
        <f t="shared" si="15"/>
        <v>29661783.050000008</v>
      </c>
      <c r="O71" s="947"/>
      <c r="P71" s="947"/>
      <c r="Q71" s="492">
        <f>+Q69+Q70</f>
        <v>30129911.050000008</v>
      </c>
      <c r="R71" s="1026"/>
      <c r="S71" s="923"/>
      <c r="T71" s="923"/>
      <c r="U71" s="894"/>
      <c r="AML71"/>
    </row>
    <row r="72" spans="1:1026">
      <c r="A72" s="493" t="s">
        <v>110</v>
      </c>
      <c r="B72" s="913">
        <v>-4768922</v>
      </c>
      <c r="C72" s="494"/>
      <c r="D72" s="494"/>
      <c r="E72" s="494"/>
      <c r="F72" s="494"/>
      <c r="G72" s="494"/>
      <c r="H72" s="494"/>
      <c r="I72" s="494"/>
      <c r="J72" s="494"/>
      <c r="K72" s="494">
        <v>-34972</v>
      </c>
      <c r="L72" s="494">
        <v>-33746</v>
      </c>
      <c r="M72" s="494"/>
      <c r="N72" s="495">
        <f>SUM(B72:M72)</f>
        <v>-4837640</v>
      </c>
      <c r="O72" s="943"/>
      <c r="P72" s="943"/>
      <c r="Q72" s="486">
        <f>N72-O72+P72</f>
        <v>-4837640</v>
      </c>
      <c r="S72" s="922"/>
      <c r="T72" s="922"/>
    </row>
    <row r="73" spans="1:1026">
      <c r="A73" s="472" t="s">
        <v>111</v>
      </c>
      <c r="B73" s="911">
        <v>-7872728</v>
      </c>
      <c r="C73" s="487"/>
      <c r="D73" s="487"/>
      <c r="E73" s="487"/>
      <c r="F73" s="487"/>
      <c r="G73" s="487"/>
      <c r="H73" s="487"/>
      <c r="I73" s="487"/>
      <c r="J73" s="487"/>
      <c r="K73" s="487">
        <v>-47360</v>
      </c>
      <c r="L73" s="487">
        <f>-35920-2113</f>
        <v>-38033</v>
      </c>
      <c r="M73" s="487"/>
      <c r="N73" s="488">
        <f>SUM(B73:M73)</f>
        <v>-7958121</v>
      </c>
      <c r="O73" s="948"/>
      <c r="P73" s="944"/>
      <c r="Q73" s="489">
        <f>N73-O73+P73</f>
        <v>-7958121</v>
      </c>
      <c r="S73" s="922"/>
      <c r="T73" s="922"/>
    </row>
    <row r="74" spans="1:1026" s="405" customFormat="1">
      <c r="A74" s="490" t="s">
        <v>112</v>
      </c>
      <c r="B74" s="912">
        <f t="shared" ref="B74:G74" si="16">+B71+B72+B73</f>
        <v>19151165</v>
      </c>
      <c r="C74" s="491">
        <f t="shared" si="16"/>
        <v>-3188003</v>
      </c>
      <c r="D74" s="491">
        <f t="shared" si="16"/>
        <v>399181.97999999992</v>
      </c>
      <c r="E74" s="491">
        <f t="shared" si="16"/>
        <v>0</v>
      </c>
      <c r="F74" s="491">
        <f t="shared" si="16"/>
        <v>0</v>
      </c>
      <c r="G74" s="491">
        <f t="shared" si="16"/>
        <v>331439.17</v>
      </c>
      <c r="H74" s="491">
        <f>+H71+H73</f>
        <v>0</v>
      </c>
      <c r="I74" s="491">
        <f>+I71+I73</f>
        <v>0</v>
      </c>
      <c r="J74" s="491">
        <f>+J71+J73</f>
        <v>-40586.1</v>
      </c>
      <c r="K74" s="491">
        <f>+K71+K72+K73</f>
        <v>150815</v>
      </c>
      <c r="L74" s="491">
        <f>+L71+L72+L73</f>
        <v>155307</v>
      </c>
      <c r="M74" s="491">
        <f>+M71+M72+M73</f>
        <v>-93297</v>
      </c>
      <c r="N74" s="491">
        <f>+N71+N72+N73</f>
        <v>16866022.050000008</v>
      </c>
      <c r="O74" s="949"/>
      <c r="P74" s="949"/>
      <c r="Q74" s="496">
        <f>+Q71+Q72+Q73</f>
        <v>17334150.050000008</v>
      </c>
      <c r="R74" s="1026"/>
      <c r="S74" s="924"/>
      <c r="T74" s="924"/>
      <c r="U74" s="894"/>
      <c r="AML74"/>
    </row>
    <row r="75" spans="1:1026">
      <c r="A75" s="497" t="s">
        <v>113</v>
      </c>
      <c r="B75" s="914"/>
      <c r="C75" s="498"/>
      <c r="D75" s="498"/>
      <c r="E75" s="498"/>
      <c r="F75" s="498"/>
      <c r="G75" s="498"/>
      <c r="H75" s="498"/>
      <c r="I75" s="498"/>
      <c r="J75" s="498"/>
      <c r="K75" s="498"/>
      <c r="L75" s="498">
        <v>0</v>
      </c>
      <c r="M75" s="498"/>
      <c r="N75" s="499">
        <f>SUM(B75:M75)</f>
        <v>0</v>
      </c>
      <c r="O75" s="950"/>
      <c r="P75" s="950"/>
      <c r="Q75" s="500">
        <f>N75-O75+P75</f>
        <v>0</v>
      </c>
      <c r="S75" s="922"/>
      <c r="T75" s="922"/>
    </row>
    <row r="76" spans="1:1026" s="460" customFormat="1">
      <c r="A76" s="501" t="s">
        <v>98</v>
      </c>
      <c r="B76" s="915">
        <f t="shared" ref="B76:N76" si="17">B74+B75</f>
        <v>19151165</v>
      </c>
      <c r="C76" s="502">
        <f t="shared" si="17"/>
        <v>-3188003</v>
      </c>
      <c r="D76" s="502">
        <f t="shared" si="17"/>
        <v>399181.97999999992</v>
      </c>
      <c r="E76" s="502">
        <f t="shared" si="17"/>
        <v>0</v>
      </c>
      <c r="F76" s="502">
        <f t="shared" si="17"/>
        <v>0</v>
      </c>
      <c r="G76" s="502">
        <f t="shared" si="17"/>
        <v>331439.17</v>
      </c>
      <c r="H76" s="502">
        <f t="shared" si="17"/>
        <v>0</v>
      </c>
      <c r="I76" s="502">
        <f t="shared" si="17"/>
        <v>0</v>
      </c>
      <c r="J76" s="502">
        <f t="shared" si="17"/>
        <v>-40586.1</v>
      </c>
      <c r="K76" s="502">
        <f t="shared" si="17"/>
        <v>150815</v>
      </c>
      <c r="L76" s="502">
        <f t="shared" si="17"/>
        <v>155307</v>
      </c>
      <c r="M76" s="502">
        <f t="shared" si="17"/>
        <v>-93297</v>
      </c>
      <c r="N76" s="502">
        <f t="shared" si="17"/>
        <v>16866022.050000008</v>
      </c>
      <c r="O76" s="915">
        <f>SUM(O64:O75)</f>
        <v>902562</v>
      </c>
      <c r="P76" s="915">
        <f>SUM(P64:P75)</f>
        <v>1370690</v>
      </c>
      <c r="Q76" s="503">
        <f>Q74+Q75</f>
        <v>17334150.050000008</v>
      </c>
      <c r="R76" s="1022"/>
      <c r="S76" s="924"/>
      <c r="T76" s="924"/>
      <c r="U76" s="890"/>
      <c r="AML76"/>
    </row>
    <row r="77" spans="1:1026">
      <c r="A77" s="504"/>
      <c r="B77" s="916"/>
      <c r="C77" s="428"/>
      <c r="D77" s="428"/>
      <c r="E77" s="428"/>
      <c r="F77" s="428"/>
      <c r="G77" s="428"/>
      <c r="H77" s="428"/>
      <c r="I77" s="428"/>
      <c r="J77" s="428"/>
      <c r="K77" s="428"/>
      <c r="L77" s="428"/>
      <c r="M77" s="428"/>
      <c r="N77" s="428"/>
      <c r="O77" s="916"/>
      <c r="P77" s="916"/>
      <c r="Q77" s="428"/>
      <c r="S77" s="428"/>
      <c r="T77" s="428"/>
    </row>
    <row r="78" spans="1:1026" s="938" customFormat="1" ht="9.75">
      <c r="A78" s="935"/>
      <c r="B78" s="936">
        <f t="shared" ref="B78:N78" si="18">+B59+B47-B26</f>
        <v>0</v>
      </c>
      <c r="C78" s="937">
        <f t="shared" si="18"/>
        <v>0</v>
      </c>
      <c r="D78" s="937">
        <f t="shared" si="18"/>
        <v>0</v>
      </c>
      <c r="E78" s="937">
        <f t="shared" si="18"/>
        <v>0</v>
      </c>
      <c r="F78" s="937">
        <f t="shared" si="18"/>
        <v>1.1641532182693481E-10</v>
      </c>
      <c r="G78" s="937">
        <f t="shared" si="18"/>
        <v>0</v>
      </c>
      <c r="H78" s="937">
        <f t="shared" si="18"/>
        <v>0</v>
      </c>
      <c r="I78" s="937">
        <f t="shared" si="18"/>
        <v>0</v>
      </c>
      <c r="J78" s="937">
        <f t="shared" si="18"/>
        <v>0</v>
      </c>
      <c r="K78" s="937">
        <f t="shared" si="18"/>
        <v>0</v>
      </c>
      <c r="L78" s="937">
        <f t="shared" si="18"/>
        <v>0</v>
      </c>
      <c r="M78" s="937">
        <f t="shared" si="18"/>
        <v>0</v>
      </c>
      <c r="N78" s="937">
        <f t="shared" si="18"/>
        <v>0</v>
      </c>
      <c r="O78" s="936"/>
      <c r="P78" s="936"/>
      <c r="Q78" s="936">
        <f>+Q59+Q47-Q26</f>
        <v>0</v>
      </c>
      <c r="R78" s="406"/>
      <c r="S78" s="937"/>
      <c r="T78" s="937"/>
      <c r="U78" s="889"/>
      <c r="V78" s="406"/>
      <c r="W78" s="406"/>
      <c r="X78" s="406"/>
      <c r="Y78" s="406"/>
      <c r="Z78" s="406"/>
      <c r="AA78" s="406"/>
      <c r="AB78" s="406"/>
      <c r="AC78" s="406"/>
      <c r="AD78" s="406"/>
      <c r="AE78" s="406"/>
      <c r="AF78" s="406"/>
      <c r="AG78" s="406"/>
      <c r="AH78" s="406"/>
      <c r="AI78" s="406"/>
      <c r="AJ78" s="406"/>
      <c r="AK78" s="406"/>
      <c r="AL78" s="406"/>
      <c r="AM78" s="406"/>
      <c r="AN78" s="406"/>
      <c r="AO78" s="406"/>
      <c r="AP78" s="406"/>
      <c r="AQ78" s="406"/>
      <c r="AR78" s="406"/>
      <c r="AS78" s="406"/>
      <c r="AT78" s="406"/>
      <c r="AU78" s="406"/>
      <c r="AV78" s="406"/>
      <c r="AW78" s="406"/>
      <c r="AX78" s="406"/>
      <c r="AY78" s="406"/>
      <c r="AZ78" s="406"/>
      <c r="BA78" s="406"/>
      <c r="BB78" s="406"/>
      <c r="BC78" s="406"/>
      <c r="BD78" s="406"/>
      <c r="BE78" s="406"/>
      <c r="BF78" s="406"/>
      <c r="BG78" s="406"/>
      <c r="BH78" s="406"/>
      <c r="BI78" s="406"/>
      <c r="BJ78" s="406"/>
      <c r="BK78" s="406"/>
      <c r="BL78" s="406"/>
      <c r="BM78" s="406"/>
      <c r="BN78" s="406"/>
      <c r="BO78" s="406"/>
      <c r="BP78" s="406"/>
      <c r="BQ78" s="406"/>
      <c r="BR78" s="406"/>
      <c r="BS78" s="406"/>
      <c r="BT78" s="406"/>
      <c r="BU78" s="406"/>
      <c r="BV78" s="406"/>
      <c r="BW78" s="406"/>
      <c r="BX78" s="406"/>
      <c r="BY78" s="406"/>
      <c r="BZ78" s="406"/>
      <c r="CA78" s="406"/>
      <c r="CB78" s="406"/>
      <c r="CC78" s="406"/>
      <c r="CD78" s="406"/>
      <c r="CE78" s="406"/>
      <c r="CF78" s="406"/>
      <c r="CG78" s="406"/>
      <c r="CH78" s="406"/>
      <c r="CI78" s="406"/>
      <c r="CJ78" s="406"/>
      <c r="CK78" s="406"/>
      <c r="CL78" s="406"/>
      <c r="CM78" s="406"/>
      <c r="CN78" s="406"/>
      <c r="CO78" s="406"/>
      <c r="CP78" s="406"/>
      <c r="CQ78" s="406"/>
      <c r="CR78" s="406"/>
      <c r="CS78" s="406"/>
      <c r="CT78" s="406"/>
      <c r="CU78" s="406"/>
      <c r="CV78" s="406"/>
      <c r="CW78" s="406"/>
      <c r="CX78" s="406"/>
      <c r="CY78" s="406"/>
      <c r="CZ78" s="406"/>
      <c r="DA78" s="406"/>
      <c r="DB78" s="406"/>
      <c r="DC78" s="406"/>
      <c r="DD78" s="406"/>
      <c r="DE78" s="406"/>
      <c r="DF78" s="406"/>
      <c r="DG78" s="406"/>
      <c r="DH78" s="406"/>
      <c r="DI78" s="406"/>
      <c r="DJ78" s="406"/>
      <c r="DK78" s="406"/>
      <c r="DL78" s="406"/>
      <c r="DM78" s="406"/>
      <c r="DN78" s="406"/>
      <c r="DO78" s="406"/>
      <c r="DP78" s="406"/>
      <c r="DQ78" s="406"/>
      <c r="DR78" s="406"/>
      <c r="DS78" s="406"/>
      <c r="DT78" s="406"/>
      <c r="DU78" s="406"/>
      <c r="DV78" s="406"/>
      <c r="DW78" s="406"/>
      <c r="DX78" s="406"/>
      <c r="DY78" s="406"/>
      <c r="DZ78" s="406"/>
      <c r="EA78" s="406"/>
      <c r="EB78" s="406"/>
      <c r="EC78" s="406"/>
      <c r="ED78" s="406"/>
      <c r="EE78" s="406"/>
      <c r="EF78" s="406"/>
      <c r="EG78" s="406"/>
      <c r="EH78" s="406"/>
      <c r="EI78" s="406"/>
      <c r="EJ78" s="406"/>
      <c r="EK78" s="406"/>
      <c r="EL78" s="406"/>
      <c r="EM78" s="406"/>
      <c r="EN78" s="406"/>
      <c r="EO78" s="406"/>
      <c r="EP78" s="406"/>
      <c r="EQ78" s="406"/>
      <c r="ER78" s="406"/>
      <c r="ES78" s="406"/>
      <c r="ET78" s="406"/>
      <c r="EU78" s="406"/>
      <c r="EV78" s="406"/>
      <c r="EW78" s="406"/>
      <c r="EX78" s="406"/>
      <c r="EY78" s="406"/>
      <c r="EZ78" s="406"/>
      <c r="FA78" s="406"/>
      <c r="FB78" s="406"/>
      <c r="FC78" s="406"/>
      <c r="FD78" s="406"/>
      <c r="FE78" s="406"/>
      <c r="FF78" s="406"/>
      <c r="FG78" s="406"/>
      <c r="FH78" s="406"/>
      <c r="FI78" s="406"/>
      <c r="FJ78" s="406"/>
      <c r="FK78" s="406"/>
      <c r="FL78" s="406"/>
      <c r="FM78" s="406"/>
      <c r="FN78" s="406"/>
      <c r="FO78" s="406"/>
      <c r="FP78" s="406"/>
      <c r="FQ78" s="406"/>
      <c r="FR78" s="406"/>
      <c r="FS78" s="406"/>
      <c r="FT78" s="406"/>
      <c r="FU78" s="406"/>
      <c r="FV78" s="406"/>
      <c r="FW78" s="406"/>
      <c r="FX78" s="406"/>
      <c r="FY78" s="406"/>
      <c r="FZ78" s="406"/>
      <c r="GA78" s="406"/>
      <c r="GB78" s="406"/>
      <c r="GC78" s="406"/>
      <c r="GD78" s="406"/>
      <c r="GE78" s="406"/>
      <c r="GF78" s="406"/>
      <c r="GG78" s="406"/>
      <c r="GH78" s="406"/>
      <c r="GI78" s="406"/>
      <c r="GJ78" s="406"/>
      <c r="GK78" s="406"/>
      <c r="GL78" s="406"/>
      <c r="GM78" s="406"/>
      <c r="GN78" s="406"/>
      <c r="GO78" s="406"/>
      <c r="GP78" s="406"/>
      <c r="GQ78" s="406"/>
      <c r="GR78" s="406"/>
      <c r="GS78" s="406"/>
      <c r="GT78" s="406"/>
      <c r="GU78" s="406"/>
      <c r="GV78" s="406"/>
      <c r="GW78" s="406"/>
      <c r="GX78" s="406"/>
      <c r="GY78" s="406"/>
      <c r="GZ78" s="406"/>
      <c r="HA78" s="406"/>
      <c r="HB78" s="406"/>
      <c r="HC78" s="406"/>
      <c r="HD78" s="406"/>
      <c r="HE78" s="406"/>
      <c r="HF78" s="406"/>
      <c r="HG78" s="406"/>
      <c r="HH78" s="406"/>
      <c r="HI78" s="406"/>
      <c r="HJ78" s="406"/>
      <c r="HK78" s="406"/>
      <c r="HL78" s="406"/>
      <c r="HM78" s="406"/>
      <c r="HN78" s="406"/>
      <c r="HO78" s="406"/>
      <c r="HP78" s="406"/>
      <c r="HQ78" s="406"/>
      <c r="HR78" s="406"/>
      <c r="HS78" s="406"/>
      <c r="HT78" s="406"/>
      <c r="HU78" s="406"/>
      <c r="HV78" s="406"/>
      <c r="HW78" s="406"/>
      <c r="HX78" s="406"/>
      <c r="HY78" s="406"/>
      <c r="HZ78" s="406"/>
      <c r="IA78" s="406"/>
      <c r="IB78" s="406"/>
      <c r="IC78" s="406"/>
      <c r="ID78" s="406"/>
      <c r="IE78" s="406"/>
      <c r="IF78" s="406"/>
      <c r="IG78" s="406"/>
      <c r="IH78" s="406"/>
      <c r="II78" s="406"/>
      <c r="IJ78" s="406"/>
      <c r="IK78" s="406"/>
      <c r="IL78" s="406"/>
      <c r="IM78" s="406"/>
      <c r="IN78" s="406"/>
      <c r="IO78" s="406"/>
      <c r="IP78" s="406"/>
      <c r="IQ78" s="406"/>
      <c r="IR78" s="406"/>
      <c r="IS78" s="406"/>
      <c r="IT78" s="406"/>
      <c r="IU78" s="406"/>
      <c r="IV78" s="406"/>
      <c r="IW78" s="406"/>
      <c r="IX78" s="406"/>
      <c r="IY78" s="406"/>
      <c r="IZ78" s="406"/>
      <c r="JA78" s="406"/>
      <c r="JB78" s="406"/>
      <c r="JC78" s="406"/>
      <c r="JD78" s="406"/>
      <c r="JE78" s="406"/>
      <c r="JF78" s="406"/>
      <c r="JG78" s="406"/>
      <c r="JH78" s="406"/>
      <c r="JI78" s="406"/>
      <c r="JJ78" s="406"/>
      <c r="JK78" s="406"/>
      <c r="JL78" s="406"/>
      <c r="JM78" s="406"/>
      <c r="JN78" s="406"/>
      <c r="JO78" s="406"/>
      <c r="JP78" s="406"/>
      <c r="JQ78" s="406"/>
      <c r="JR78" s="406"/>
      <c r="JS78" s="406"/>
      <c r="JT78" s="406"/>
      <c r="JU78" s="406"/>
      <c r="JV78" s="406"/>
      <c r="JW78" s="406"/>
      <c r="JX78" s="406"/>
      <c r="JY78" s="406"/>
      <c r="JZ78" s="406"/>
      <c r="KA78" s="406"/>
      <c r="KB78" s="406"/>
      <c r="KC78" s="406"/>
      <c r="KD78" s="406"/>
      <c r="KE78" s="406"/>
      <c r="KF78" s="406"/>
      <c r="KG78" s="406"/>
      <c r="KH78" s="406"/>
      <c r="KI78" s="406"/>
      <c r="KJ78" s="406"/>
      <c r="KK78" s="406"/>
      <c r="KL78" s="406"/>
      <c r="KM78" s="406"/>
      <c r="KN78" s="406"/>
      <c r="KO78" s="406"/>
      <c r="KP78" s="406"/>
      <c r="KQ78" s="406"/>
      <c r="KR78" s="406"/>
      <c r="KS78" s="406"/>
      <c r="KT78" s="406"/>
      <c r="KU78" s="406"/>
      <c r="KV78" s="406"/>
      <c r="KW78" s="406"/>
      <c r="KX78" s="406"/>
      <c r="KY78" s="406"/>
      <c r="KZ78" s="406"/>
      <c r="LA78" s="406"/>
      <c r="LB78" s="406"/>
      <c r="LC78" s="406"/>
      <c r="LD78" s="406"/>
      <c r="LE78" s="406"/>
      <c r="LF78" s="406"/>
      <c r="LG78" s="406"/>
      <c r="LH78" s="406"/>
      <c r="LI78" s="406"/>
      <c r="LJ78" s="406"/>
      <c r="LK78" s="406"/>
      <c r="LL78" s="406"/>
      <c r="LM78" s="406"/>
      <c r="LN78" s="406"/>
      <c r="LO78" s="406"/>
      <c r="LP78" s="406"/>
      <c r="LQ78" s="406"/>
      <c r="LR78" s="406"/>
      <c r="LS78" s="406"/>
      <c r="LT78" s="406"/>
      <c r="LU78" s="406"/>
      <c r="LV78" s="406"/>
      <c r="LW78" s="406"/>
      <c r="LX78" s="406"/>
      <c r="LY78" s="406"/>
      <c r="LZ78" s="406"/>
      <c r="MA78" s="406"/>
      <c r="MB78" s="406"/>
      <c r="MC78" s="406"/>
      <c r="MD78" s="406"/>
      <c r="ME78" s="406"/>
      <c r="MF78" s="406"/>
      <c r="MG78" s="406"/>
      <c r="MH78" s="406"/>
      <c r="MI78" s="406"/>
      <c r="MJ78" s="406"/>
      <c r="MK78" s="406"/>
      <c r="ML78" s="406"/>
      <c r="MM78" s="406"/>
      <c r="MN78" s="406"/>
      <c r="MO78" s="406"/>
      <c r="MP78" s="406"/>
      <c r="MQ78" s="406"/>
      <c r="MR78" s="406"/>
      <c r="MS78" s="406"/>
      <c r="MT78" s="406"/>
      <c r="MU78" s="406"/>
      <c r="MV78" s="406"/>
      <c r="MW78" s="406"/>
      <c r="MX78" s="406"/>
      <c r="MY78" s="406"/>
      <c r="MZ78" s="406"/>
      <c r="NA78" s="406"/>
      <c r="NB78" s="406"/>
      <c r="NC78" s="406"/>
      <c r="ND78" s="406"/>
      <c r="NE78" s="406"/>
      <c r="NF78" s="406"/>
      <c r="NG78" s="406"/>
      <c r="NH78" s="406"/>
      <c r="NI78" s="406"/>
      <c r="NJ78" s="406"/>
      <c r="NK78" s="406"/>
      <c r="NL78" s="406"/>
      <c r="NM78" s="406"/>
      <c r="NN78" s="406"/>
      <c r="NO78" s="406"/>
      <c r="NP78" s="406"/>
      <c r="NQ78" s="406"/>
      <c r="NR78" s="406"/>
      <c r="NS78" s="406"/>
      <c r="NT78" s="406"/>
      <c r="NU78" s="406"/>
      <c r="NV78" s="406"/>
      <c r="NW78" s="406"/>
      <c r="NX78" s="406"/>
      <c r="NY78" s="406"/>
      <c r="NZ78" s="406"/>
      <c r="OA78" s="406"/>
      <c r="OB78" s="406"/>
      <c r="OC78" s="406"/>
      <c r="OD78" s="406"/>
      <c r="OE78" s="406"/>
      <c r="OF78" s="406"/>
      <c r="OG78" s="406"/>
      <c r="OH78" s="406"/>
      <c r="OI78" s="406"/>
      <c r="OJ78" s="406"/>
      <c r="OK78" s="406"/>
      <c r="OL78" s="406"/>
      <c r="OM78" s="406"/>
      <c r="ON78" s="406"/>
      <c r="OO78" s="406"/>
      <c r="OP78" s="406"/>
      <c r="OQ78" s="406"/>
      <c r="OR78" s="406"/>
      <c r="OS78" s="406"/>
      <c r="OT78" s="406"/>
      <c r="OU78" s="406"/>
      <c r="OV78" s="406"/>
      <c r="OW78" s="406"/>
      <c r="OX78" s="406"/>
      <c r="OY78" s="406"/>
      <c r="OZ78" s="406"/>
      <c r="PA78" s="406"/>
      <c r="PB78" s="406"/>
      <c r="PC78" s="406"/>
      <c r="PD78" s="406"/>
      <c r="PE78" s="406"/>
      <c r="PF78" s="406"/>
      <c r="PG78" s="406"/>
      <c r="PH78" s="406"/>
      <c r="PI78" s="406"/>
      <c r="PJ78" s="406"/>
      <c r="PK78" s="406"/>
      <c r="PL78" s="406"/>
      <c r="PM78" s="406"/>
      <c r="PN78" s="406"/>
      <c r="PO78" s="406"/>
      <c r="PP78" s="406"/>
      <c r="PQ78" s="406"/>
      <c r="PR78" s="406"/>
      <c r="PS78" s="406"/>
      <c r="PT78" s="406"/>
      <c r="PU78" s="406"/>
      <c r="PV78" s="406"/>
      <c r="PW78" s="406"/>
      <c r="PX78" s="406"/>
      <c r="PY78" s="406"/>
      <c r="PZ78" s="406"/>
      <c r="QA78" s="406"/>
      <c r="QB78" s="406"/>
      <c r="QC78" s="406"/>
      <c r="QD78" s="406"/>
      <c r="QE78" s="406"/>
      <c r="QF78" s="406"/>
      <c r="QG78" s="406"/>
      <c r="QH78" s="406"/>
      <c r="QI78" s="406"/>
      <c r="QJ78" s="406"/>
      <c r="QK78" s="406"/>
      <c r="QL78" s="406"/>
      <c r="QM78" s="406"/>
      <c r="QN78" s="406"/>
      <c r="QO78" s="406"/>
      <c r="QP78" s="406"/>
      <c r="QQ78" s="406"/>
      <c r="QR78" s="406"/>
      <c r="QS78" s="406"/>
      <c r="QT78" s="406"/>
      <c r="QU78" s="406"/>
      <c r="QV78" s="406"/>
      <c r="QW78" s="406"/>
      <c r="QX78" s="406"/>
      <c r="QY78" s="406"/>
      <c r="QZ78" s="406"/>
      <c r="RA78" s="406"/>
      <c r="RB78" s="406"/>
      <c r="RC78" s="406"/>
      <c r="RD78" s="406"/>
      <c r="RE78" s="406"/>
      <c r="RF78" s="406"/>
      <c r="RG78" s="406"/>
      <c r="RH78" s="406"/>
      <c r="RI78" s="406"/>
      <c r="RJ78" s="406"/>
      <c r="RK78" s="406"/>
      <c r="RL78" s="406"/>
      <c r="RM78" s="406"/>
      <c r="RN78" s="406"/>
      <c r="RO78" s="406"/>
      <c r="RP78" s="406"/>
      <c r="RQ78" s="406"/>
      <c r="RR78" s="406"/>
      <c r="RS78" s="406"/>
      <c r="RT78" s="406"/>
      <c r="RU78" s="406"/>
      <c r="RV78" s="406"/>
      <c r="RW78" s="406"/>
      <c r="RX78" s="406"/>
      <c r="RY78" s="406"/>
      <c r="RZ78" s="406"/>
      <c r="SA78" s="406"/>
      <c r="SB78" s="406"/>
      <c r="SC78" s="406"/>
      <c r="SD78" s="406"/>
      <c r="SE78" s="406"/>
      <c r="SF78" s="406"/>
      <c r="SG78" s="406"/>
      <c r="SH78" s="406"/>
      <c r="SI78" s="406"/>
      <c r="SJ78" s="406"/>
      <c r="SK78" s="406"/>
      <c r="SL78" s="406"/>
      <c r="SM78" s="406"/>
      <c r="SN78" s="406"/>
      <c r="SO78" s="406"/>
      <c r="SP78" s="406"/>
      <c r="SQ78" s="406"/>
      <c r="SR78" s="406"/>
      <c r="SS78" s="406"/>
      <c r="ST78" s="406"/>
      <c r="SU78" s="406"/>
      <c r="SV78" s="406"/>
      <c r="SW78" s="406"/>
      <c r="SX78" s="406"/>
      <c r="SY78" s="406"/>
      <c r="SZ78" s="406"/>
      <c r="TA78" s="406"/>
      <c r="TB78" s="406"/>
      <c r="TC78" s="406"/>
      <c r="TD78" s="406"/>
      <c r="TE78" s="406"/>
      <c r="TF78" s="406"/>
      <c r="TG78" s="406"/>
      <c r="TH78" s="406"/>
      <c r="TI78" s="406"/>
      <c r="TJ78" s="406"/>
      <c r="TK78" s="406"/>
      <c r="TL78" s="406"/>
      <c r="TM78" s="406"/>
      <c r="TN78" s="406"/>
      <c r="TO78" s="406"/>
      <c r="TP78" s="406"/>
      <c r="TQ78" s="406"/>
      <c r="TR78" s="406"/>
      <c r="TS78" s="406"/>
      <c r="TT78" s="406"/>
      <c r="TU78" s="406"/>
      <c r="TV78" s="406"/>
      <c r="TW78" s="406"/>
      <c r="TX78" s="406"/>
      <c r="TY78" s="406"/>
      <c r="TZ78" s="406"/>
      <c r="UA78" s="406"/>
      <c r="UB78" s="406"/>
      <c r="UC78" s="406"/>
      <c r="UD78" s="406"/>
      <c r="UE78" s="406"/>
      <c r="UF78" s="406"/>
      <c r="UG78" s="406"/>
      <c r="UH78" s="406"/>
      <c r="UI78" s="406"/>
      <c r="UJ78" s="406"/>
      <c r="UK78" s="406"/>
      <c r="UL78" s="406"/>
      <c r="UM78" s="406"/>
      <c r="UN78" s="406"/>
      <c r="UO78" s="406"/>
      <c r="UP78" s="406"/>
      <c r="UQ78" s="406"/>
      <c r="UR78" s="406"/>
      <c r="US78" s="406"/>
      <c r="UT78" s="406"/>
      <c r="UU78" s="406"/>
      <c r="UV78" s="406"/>
      <c r="UW78" s="406"/>
      <c r="UX78" s="406"/>
      <c r="UY78" s="406"/>
      <c r="UZ78" s="406"/>
      <c r="VA78" s="406"/>
      <c r="VB78" s="406"/>
      <c r="VC78" s="406"/>
      <c r="VD78" s="406"/>
      <c r="VE78" s="406"/>
      <c r="VF78" s="406"/>
      <c r="VG78" s="406"/>
      <c r="VH78" s="406"/>
      <c r="VI78" s="406"/>
      <c r="VJ78" s="406"/>
      <c r="VK78" s="406"/>
      <c r="VL78" s="406"/>
      <c r="VM78" s="406"/>
      <c r="VN78" s="406"/>
      <c r="VO78" s="406"/>
      <c r="VP78" s="406"/>
      <c r="VQ78" s="406"/>
      <c r="VR78" s="406"/>
      <c r="VS78" s="406"/>
      <c r="VT78" s="406"/>
      <c r="VU78" s="406"/>
      <c r="VV78" s="406"/>
      <c r="VW78" s="406"/>
      <c r="VX78" s="406"/>
      <c r="VY78" s="406"/>
      <c r="VZ78" s="406"/>
      <c r="WA78" s="406"/>
      <c r="WB78" s="406"/>
      <c r="WC78" s="406"/>
      <c r="WD78" s="406"/>
      <c r="WE78" s="406"/>
      <c r="WF78" s="406"/>
      <c r="WG78" s="406"/>
      <c r="WH78" s="406"/>
      <c r="WI78" s="406"/>
      <c r="WJ78" s="406"/>
      <c r="WK78" s="406"/>
      <c r="WL78" s="406"/>
      <c r="WM78" s="406"/>
      <c r="WN78" s="406"/>
      <c r="WO78" s="406"/>
      <c r="WP78" s="406"/>
      <c r="WQ78" s="406"/>
      <c r="WR78" s="406"/>
      <c r="WS78" s="406"/>
      <c r="WT78" s="406"/>
      <c r="WU78" s="406"/>
      <c r="WV78" s="406"/>
      <c r="WW78" s="406"/>
      <c r="WX78" s="406"/>
      <c r="WY78" s="406"/>
      <c r="WZ78" s="406"/>
      <c r="XA78" s="406"/>
      <c r="XB78" s="406"/>
      <c r="XC78" s="406"/>
      <c r="XD78" s="406"/>
      <c r="XE78" s="406"/>
      <c r="XF78" s="406"/>
      <c r="XG78" s="406"/>
      <c r="XH78" s="406"/>
      <c r="XI78" s="406"/>
      <c r="XJ78" s="406"/>
      <c r="XK78" s="406"/>
      <c r="XL78" s="406"/>
      <c r="XM78" s="406"/>
      <c r="XN78" s="406"/>
      <c r="XO78" s="406"/>
      <c r="XP78" s="406"/>
      <c r="XQ78" s="406"/>
      <c r="XR78" s="406"/>
      <c r="XS78" s="406"/>
      <c r="XT78" s="406"/>
      <c r="XU78" s="406"/>
      <c r="XV78" s="406"/>
      <c r="XW78" s="406"/>
      <c r="XX78" s="406"/>
      <c r="XY78" s="406"/>
      <c r="XZ78" s="406"/>
      <c r="YA78" s="406"/>
      <c r="YB78" s="406"/>
      <c r="YC78" s="406"/>
      <c r="YD78" s="406"/>
      <c r="YE78" s="406"/>
      <c r="YF78" s="406"/>
      <c r="YG78" s="406"/>
      <c r="YH78" s="406"/>
      <c r="YI78" s="406"/>
      <c r="YJ78" s="406"/>
      <c r="YK78" s="406"/>
      <c r="YL78" s="406"/>
      <c r="YM78" s="406"/>
      <c r="YN78" s="406"/>
      <c r="YO78" s="406"/>
      <c r="YP78" s="406"/>
      <c r="YQ78" s="406"/>
      <c r="YR78" s="406"/>
      <c r="YS78" s="406"/>
      <c r="YT78" s="406"/>
      <c r="YU78" s="406"/>
      <c r="YV78" s="406"/>
      <c r="YW78" s="406"/>
      <c r="YX78" s="406"/>
      <c r="YY78" s="406"/>
      <c r="YZ78" s="406"/>
      <c r="ZA78" s="406"/>
      <c r="ZB78" s="406"/>
      <c r="ZC78" s="406"/>
      <c r="ZD78" s="406"/>
      <c r="ZE78" s="406"/>
      <c r="ZF78" s="406"/>
      <c r="ZG78" s="406"/>
      <c r="ZH78" s="406"/>
      <c r="ZI78" s="406"/>
      <c r="ZJ78" s="406"/>
      <c r="ZK78" s="406"/>
      <c r="ZL78" s="406"/>
      <c r="ZM78" s="406"/>
      <c r="ZN78" s="406"/>
      <c r="ZO78" s="406"/>
      <c r="ZP78" s="406"/>
      <c r="ZQ78" s="406"/>
      <c r="ZR78" s="406"/>
      <c r="ZS78" s="406"/>
      <c r="ZT78" s="406"/>
      <c r="ZU78" s="406"/>
      <c r="ZV78" s="406"/>
      <c r="ZW78" s="406"/>
      <c r="ZX78" s="406"/>
      <c r="ZY78" s="406"/>
      <c r="ZZ78" s="406"/>
      <c r="AAA78" s="406"/>
      <c r="AAB78" s="406"/>
      <c r="AAC78" s="406"/>
      <c r="AAD78" s="406"/>
      <c r="AAE78" s="406"/>
      <c r="AAF78" s="406"/>
      <c r="AAG78" s="406"/>
      <c r="AAH78" s="406"/>
      <c r="AAI78" s="406"/>
      <c r="AAJ78" s="406"/>
      <c r="AAK78" s="406"/>
      <c r="AAL78" s="406"/>
      <c r="AAM78" s="406"/>
      <c r="AAN78" s="406"/>
      <c r="AAO78" s="406"/>
      <c r="AAP78" s="406"/>
      <c r="AAQ78" s="406"/>
      <c r="AAR78" s="406"/>
      <c r="AAS78" s="406"/>
      <c r="AAT78" s="406"/>
      <c r="AAU78" s="406"/>
      <c r="AAV78" s="406"/>
      <c r="AAW78" s="406"/>
      <c r="AAX78" s="406"/>
      <c r="AAY78" s="406"/>
      <c r="AAZ78" s="406"/>
      <c r="ABA78" s="406"/>
      <c r="ABB78" s="406"/>
      <c r="ABC78" s="406"/>
      <c r="ABD78" s="406"/>
      <c r="ABE78" s="406"/>
      <c r="ABF78" s="406"/>
      <c r="ABG78" s="406"/>
      <c r="ABH78" s="406"/>
      <c r="ABI78" s="406"/>
      <c r="ABJ78" s="406"/>
      <c r="ABK78" s="406"/>
      <c r="ABL78" s="406"/>
      <c r="ABM78" s="406"/>
      <c r="ABN78" s="406"/>
      <c r="ABO78" s="406"/>
      <c r="ABP78" s="406"/>
      <c r="ABQ78" s="406"/>
      <c r="ABR78" s="406"/>
      <c r="ABS78" s="406"/>
      <c r="ABT78" s="406"/>
      <c r="ABU78" s="406"/>
      <c r="ABV78" s="406"/>
      <c r="ABW78" s="406"/>
      <c r="ABX78" s="406"/>
      <c r="ABY78" s="406"/>
      <c r="ABZ78" s="406"/>
      <c r="ACA78" s="406"/>
      <c r="ACB78" s="406"/>
      <c r="ACC78" s="406"/>
      <c r="ACD78" s="406"/>
      <c r="ACE78" s="406"/>
      <c r="ACF78" s="406"/>
      <c r="ACG78" s="406"/>
      <c r="ACH78" s="406"/>
      <c r="ACI78" s="406"/>
      <c r="ACJ78" s="406"/>
      <c r="ACK78" s="406"/>
      <c r="ACL78" s="406"/>
      <c r="ACM78" s="406"/>
      <c r="ACN78" s="406"/>
      <c r="ACO78" s="406"/>
      <c r="ACP78" s="406"/>
      <c r="ACQ78" s="406"/>
      <c r="ACR78" s="406"/>
      <c r="ACS78" s="406"/>
      <c r="ACT78" s="406"/>
      <c r="ACU78" s="406"/>
      <c r="ACV78" s="406"/>
      <c r="ACW78" s="406"/>
      <c r="ACX78" s="406"/>
      <c r="ACY78" s="406"/>
      <c r="ACZ78" s="406"/>
      <c r="ADA78" s="406"/>
      <c r="ADB78" s="406"/>
      <c r="ADC78" s="406"/>
      <c r="ADD78" s="406"/>
      <c r="ADE78" s="406"/>
      <c r="ADF78" s="406"/>
      <c r="ADG78" s="406"/>
      <c r="ADH78" s="406"/>
      <c r="ADI78" s="406"/>
      <c r="ADJ78" s="406"/>
      <c r="ADK78" s="406"/>
      <c r="ADL78" s="406"/>
      <c r="ADM78" s="406"/>
      <c r="ADN78" s="406"/>
      <c r="ADO78" s="406"/>
      <c r="ADP78" s="406"/>
      <c r="ADQ78" s="406"/>
      <c r="ADR78" s="406"/>
      <c r="ADS78" s="406"/>
      <c r="ADT78" s="406"/>
      <c r="ADU78" s="406"/>
      <c r="ADV78" s="406"/>
      <c r="ADW78" s="406"/>
      <c r="ADX78" s="406"/>
      <c r="ADY78" s="406"/>
      <c r="ADZ78" s="406"/>
      <c r="AEA78" s="406"/>
      <c r="AEB78" s="406"/>
      <c r="AEC78" s="406"/>
      <c r="AED78" s="406"/>
      <c r="AEE78" s="406"/>
      <c r="AEF78" s="406"/>
      <c r="AEG78" s="406"/>
      <c r="AEH78" s="406"/>
      <c r="AEI78" s="406"/>
      <c r="AEJ78" s="406"/>
      <c r="AEK78" s="406"/>
      <c r="AEL78" s="406"/>
      <c r="AEM78" s="406"/>
      <c r="AEN78" s="406"/>
      <c r="AEO78" s="406"/>
      <c r="AEP78" s="406"/>
      <c r="AEQ78" s="406"/>
      <c r="AER78" s="406"/>
      <c r="AES78" s="406"/>
      <c r="AET78" s="406"/>
      <c r="AEU78" s="406"/>
      <c r="AEV78" s="406"/>
      <c r="AEW78" s="406"/>
      <c r="AEX78" s="406"/>
      <c r="AEY78" s="406"/>
      <c r="AEZ78" s="406"/>
      <c r="AFA78" s="406"/>
      <c r="AFB78" s="406"/>
      <c r="AFC78" s="406"/>
      <c r="AFD78" s="406"/>
      <c r="AFE78" s="406"/>
      <c r="AFF78" s="406"/>
      <c r="AFG78" s="406"/>
      <c r="AFH78" s="406"/>
      <c r="AFI78" s="406"/>
      <c r="AFJ78" s="406"/>
      <c r="AFK78" s="406"/>
      <c r="AFL78" s="406"/>
      <c r="AFM78" s="406"/>
      <c r="AFN78" s="406"/>
      <c r="AFO78" s="406"/>
      <c r="AFP78" s="406"/>
      <c r="AFQ78" s="406"/>
      <c r="AFR78" s="406"/>
      <c r="AFS78" s="406"/>
      <c r="AFT78" s="406"/>
      <c r="AFU78" s="406"/>
      <c r="AFV78" s="406"/>
      <c r="AFW78" s="406"/>
      <c r="AFX78" s="406"/>
      <c r="AFY78" s="406"/>
      <c r="AFZ78" s="406"/>
      <c r="AGA78" s="406"/>
      <c r="AGB78" s="406"/>
      <c r="AGC78" s="406"/>
      <c r="AGD78" s="406"/>
      <c r="AGE78" s="406"/>
      <c r="AGF78" s="406"/>
      <c r="AGG78" s="406"/>
      <c r="AGH78" s="406"/>
      <c r="AGI78" s="406"/>
      <c r="AGJ78" s="406"/>
      <c r="AGK78" s="406"/>
      <c r="AGL78" s="406"/>
      <c r="AGM78" s="406"/>
      <c r="AGN78" s="406"/>
      <c r="AGO78" s="406"/>
      <c r="AGP78" s="406"/>
      <c r="AGQ78" s="406"/>
      <c r="AGR78" s="406"/>
      <c r="AGS78" s="406"/>
      <c r="AGT78" s="406"/>
      <c r="AGU78" s="406"/>
      <c r="AGV78" s="406"/>
      <c r="AGW78" s="406"/>
      <c r="AGX78" s="406"/>
      <c r="AGY78" s="406"/>
      <c r="AGZ78" s="406"/>
      <c r="AHA78" s="406"/>
      <c r="AHB78" s="406"/>
      <c r="AHC78" s="406"/>
      <c r="AHD78" s="406"/>
      <c r="AHE78" s="406"/>
      <c r="AHF78" s="406"/>
      <c r="AHG78" s="406"/>
      <c r="AHH78" s="406"/>
      <c r="AHI78" s="406"/>
      <c r="AHJ78" s="406"/>
      <c r="AHK78" s="406"/>
      <c r="AHL78" s="406"/>
      <c r="AHM78" s="406"/>
      <c r="AHN78" s="406"/>
      <c r="AHO78" s="406"/>
      <c r="AHP78" s="406"/>
      <c r="AHQ78" s="406"/>
      <c r="AHR78" s="406"/>
      <c r="AHS78" s="406"/>
      <c r="AHT78" s="406"/>
      <c r="AHU78" s="406"/>
      <c r="AHV78" s="406"/>
      <c r="AHW78" s="406"/>
      <c r="AHX78" s="406"/>
      <c r="AHY78" s="406"/>
      <c r="AHZ78" s="406"/>
      <c r="AIA78" s="406"/>
      <c r="AIB78" s="406"/>
      <c r="AIC78" s="406"/>
      <c r="AID78" s="406"/>
      <c r="AIE78" s="406"/>
      <c r="AIF78" s="406"/>
      <c r="AIG78" s="406"/>
      <c r="AIH78" s="406"/>
      <c r="AII78" s="406"/>
      <c r="AIJ78" s="406"/>
      <c r="AIK78" s="406"/>
      <c r="AIL78" s="406"/>
      <c r="AIM78" s="406"/>
      <c r="AIN78" s="406"/>
      <c r="AIO78" s="406"/>
      <c r="AIP78" s="406"/>
      <c r="AIQ78" s="406"/>
      <c r="AIR78" s="406"/>
      <c r="AIS78" s="406"/>
      <c r="AIT78" s="406"/>
      <c r="AIU78" s="406"/>
      <c r="AIV78" s="406"/>
      <c r="AIW78" s="406"/>
      <c r="AIX78" s="406"/>
      <c r="AIY78" s="406"/>
      <c r="AIZ78" s="406"/>
      <c r="AJA78" s="406"/>
      <c r="AJB78" s="406"/>
      <c r="AJC78" s="406"/>
      <c r="AJD78" s="406"/>
      <c r="AJE78" s="406"/>
      <c r="AJF78" s="406"/>
      <c r="AJG78" s="406"/>
      <c r="AJH78" s="406"/>
      <c r="AJI78" s="406"/>
      <c r="AJJ78" s="406"/>
      <c r="AJK78" s="406"/>
      <c r="AJL78" s="406"/>
      <c r="AJM78" s="406"/>
      <c r="AJN78" s="406"/>
      <c r="AJO78" s="406"/>
      <c r="AJP78" s="406"/>
      <c r="AJQ78" s="406"/>
      <c r="AJR78" s="406"/>
      <c r="AJS78" s="406"/>
      <c r="AJT78" s="406"/>
      <c r="AJU78" s="406"/>
      <c r="AJV78" s="406"/>
      <c r="AJW78" s="406"/>
      <c r="AJX78" s="406"/>
      <c r="AJY78" s="406"/>
      <c r="AJZ78" s="406"/>
      <c r="AKA78" s="406"/>
      <c r="AKB78" s="406"/>
      <c r="AKC78" s="406"/>
      <c r="AKD78" s="406"/>
      <c r="AKE78" s="406"/>
      <c r="AKF78" s="406"/>
      <c r="AKG78" s="406"/>
      <c r="AKH78" s="406"/>
      <c r="AKI78" s="406"/>
      <c r="AKJ78" s="406"/>
      <c r="AKK78" s="406"/>
      <c r="AKL78" s="406"/>
      <c r="AKM78" s="406"/>
      <c r="AKN78" s="406"/>
      <c r="AKO78" s="406"/>
      <c r="AKP78" s="406"/>
      <c r="AKQ78" s="406"/>
      <c r="AKR78" s="406"/>
      <c r="AKS78" s="406"/>
      <c r="AKT78" s="406"/>
      <c r="AKU78" s="406"/>
      <c r="AKV78" s="406"/>
      <c r="AKW78" s="406"/>
      <c r="AKX78" s="406"/>
      <c r="AKY78" s="406"/>
      <c r="AKZ78" s="406"/>
      <c r="ALA78" s="406"/>
      <c r="ALB78" s="406"/>
      <c r="ALC78" s="406"/>
      <c r="ALD78" s="406"/>
      <c r="ALE78" s="406"/>
      <c r="ALF78" s="406"/>
      <c r="ALG78" s="406"/>
      <c r="ALH78" s="406"/>
      <c r="ALI78" s="406"/>
      <c r="ALJ78" s="406"/>
      <c r="ALK78" s="406"/>
      <c r="ALL78" s="406"/>
      <c r="ALM78" s="406"/>
      <c r="ALN78" s="406"/>
      <c r="ALO78" s="406"/>
      <c r="ALP78" s="406"/>
      <c r="ALQ78" s="406"/>
      <c r="ALR78" s="406"/>
      <c r="ALS78" s="406"/>
      <c r="ALT78" s="406"/>
      <c r="ALU78" s="406"/>
      <c r="ALV78" s="406"/>
      <c r="ALW78" s="406"/>
      <c r="ALX78" s="406"/>
      <c r="ALY78" s="406"/>
      <c r="ALZ78" s="406"/>
      <c r="AMA78" s="406"/>
      <c r="AMB78" s="406"/>
      <c r="AMC78" s="406"/>
      <c r="AMD78" s="406"/>
      <c r="AME78" s="406"/>
      <c r="AMF78" s="406"/>
      <c r="AMG78" s="406"/>
      <c r="AMH78" s="406"/>
      <c r="AMI78" s="406"/>
      <c r="AMJ78" s="406"/>
      <c r="AMK78" s="406"/>
    </row>
    <row r="79" spans="1:1026">
      <c r="B79" s="916"/>
      <c r="C79" s="428"/>
      <c r="D79" s="428"/>
      <c r="E79" s="428"/>
      <c r="F79" s="428"/>
      <c r="G79" s="428"/>
      <c r="H79" s="428"/>
      <c r="I79" s="428"/>
      <c r="J79" s="428"/>
      <c r="K79" s="428"/>
      <c r="L79" s="428"/>
      <c r="M79" s="428"/>
      <c r="N79" s="428"/>
      <c r="O79" s="916"/>
      <c r="P79" s="916"/>
      <c r="Q79" s="428"/>
      <c r="S79" s="428"/>
      <c r="T79" s="428"/>
      <c r="V79" s="453"/>
    </row>
    <row r="80" spans="1:1026">
      <c r="A80" s="505" t="s">
        <v>115</v>
      </c>
      <c r="B80" s="506">
        <f>+B76*100%</f>
        <v>19151165</v>
      </c>
      <c r="C80" s="506">
        <f>+C76*Participaciones!E16</f>
        <v>-2391639.8506</v>
      </c>
      <c r="D80" s="506">
        <f>+D76*Participaciones!G16</f>
        <v>399163.91746696824</v>
      </c>
      <c r="E80" s="507">
        <f>+E76*Participaciones!I16</f>
        <v>0</v>
      </c>
      <c r="F80" s="507">
        <v>0</v>
      </c>
      <c r="G80" s="507">
        <f>+G76*Participaciones!M16</f>
        <v>248579.3775</v>
      </c>
      <c r="H80" s="507">
        <f>+H76*Participaciones!O16</f>
        <v>0</v>
      </c>
      <c r="I80" s="507">
        <f>+I76*Participaciones!Q16</f>
        <v>0</v>
      </c>
      <c r="J80" s="507">
        <f>+J76*Participaciones!S16</f>
        <v>-40584.070695000002</v>
      </c>
      <c r="K80" s="506">
        <f>+K76*Participaciones!U16</f>
        <v>139503.875</v>
      </c>
      <c r="L80" s="506">
        <f>+L76*Participaciones!W16</f>
        <v>153753.93</v>
      </c>
      <c r="M80" s="506">
        <f>+M76*Participaciones!Y16</f>
        <v>-93297</v>
      </c>
      <c r="N80" s="507">
        <f>SUM(B80:M80)</f>
        <v>17566645.178671967</v>
      </c>
      <c r="O80" s="951">
        <f>+O68+O64</f>
        <v>902562</v>
      </c>
      <c r="P80" s="951">
        <f>P65+P68+P67</f>
        <v>1370690</v>
      </c>
      <c r="Q80" s="507">
        <f>+N80-O80+P80</f>
        <v>18034773.178671967</v>
      </c>
      <c r="S80" s="925"/>
      <c r="T80" s="925"/>
    </row>
    <row r="81" spans="1:23">
      <c r="A81" s="508" t="s">
        <v>117</v>
      </c>
      <c r="B81" s="509">
        <f>+B76-B80</f>
        <v>0</v>
      </c>
      <c r="C81" s="509">
        <f>+C76-C80</f>
        <v>-796363.14939999999</v>
      </c>
      <c r="D81" s="509">
        <f>+D76-D80</f>
        <v>18.062533031683415</v>
      </c>
      <c r="E81" s="509">
        <f>+E76-E80</f>
        <v>0</v>
      </c>
      <c r="F81" s="509">
        <v>0</v>
      </c>
      <c r="G81" s="509">
        <f t="shared" ref="G81:M81" si="19">+G76-G80</f>
        <v>82859.792499999981</v>
      </c>
      <c r="H81" s="509">
        <f t="shared" si="19"/>
        <v>0</v>
      </c>
      <c r="I81" s="509">
        <f t="shared" si="19"/>
        <v>0</v>
      </c>
      <c r="J81" s="509">
        <f t="shared" si="19"/>
        <v>-2.0293049999963841</v>
      </c>
      <c r="K81" s="509">
        <f t="shared" si="19"/>
        <v>11311.125</v>
      </c>
      <c r="L81" s="509">
        <f t="shared" si="19"/>
        <v>1553.070000000007</v>
      </c>
      <c r="M81" s="509">
        <f t="shared" si="19"/>
        <v>0</v>
      </c>
      <c r="N81" s="510">
        <f>SUM(B81:M81)</f>
        <v>-700623.12867196836</v>
      </c>
      <c r="O81" s="952"/>
      <c r="P81" s="952"/>
      <c r="Q81" s="510">
        <f>+N81-O81+P81</f>
        <v>-700623.12867196836</v>
      </c>
      <c r="R81" s="1027"/>
      <c r="S81" s="925"/>
      <c r="T81" s="925"/>
      <c r="W81" s="408"/>
    </row>
    <row r="82" spans="1:23">
      <c r="A82" s="511"/>
      <c r="B82" s="512">
        <f>+B80+B81</f>
        <v>19151165</v>
      </c>
      <c r="C82" s="512">
        <f>+C80+C81</f>
        <v>-3188003</v>
      </c>
      <c r="D82" s="512">
        <f>+D80+D81</f>
        <v>399181.97999999992</v>
      </c>
      <c r="E82" s="512">
        <f>+E80+E81</f>
        <v>0</v>
      </c>
      <c r="F82" s="512"/>
      <c r="G82" s="512">
        <f t="shared" ref="G82:Q82" si="20">+G80+G81</f>
        <v>331439.17</v>
      </c>
      <c r="H82" s="512">
        <f t="shared" si="20"/>
        <v>0</v>
      </c>
      <c r="I82" s="512">
        <f t="shared" si="20"/>
        <v>0</v>
      </c>
      <c r="J82" s="512">
        <f t="shared" si="20"/>
        <v>-40586.1</v>
      </c>
      <c r="K82" s="512">
        <f t="shared" si="20"/>
        <v>150815</v>
      </c>
      <c r="L82" s="512">
        <f t="shared" si="20"/>
        <v>155307</v>
      </c>
      <c r="M82" s="512">
        <f t="shared" si="20"/>
        <v>-93297</v>
      </c>
      <c r="N82" s="512">
        <f t="shared" si="20"/>
        <v>16866022.049999997</v>
      </c>
      <c r="O82" s="953">
        <f t="shared" si="20"/>
        <v>902562</v>
      </c>
      <c r="P82" s="953">
        <f t="shared" si="20"/>
        <v>1370690</v>
      </c>
      <c r="Q82" s="512">
        <f t="shared" si="20"/>
        <v>17334150.049999997</v>
      </c>
      <c r="S82" s="925"/>
      <c r="T82" s="925"/>
    </row>
    <row r="83" spans="1:23">
      <c r="B83" s="428"/>
      <c r="C83" s="428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916"/>
      <c r="P83" s="916"/>
      <c r="Q83" s="428"/>
      <c r="S83" s="428"/>
      <c r="T83" s="428"/>
    </row>
    <row r="84" spans="1:23">
      <c r="B84" s="428"/>
      <c r="C84" s="428"/>
      <c r="D84" s="428"/>
      <c r="E84" s="428"/>
      <c r="F84" s="428"/>
      <c r="G84" s="428"/>
      <c r="H84" s="428"/>
      <c r="I84" s="428"/>
      <c r="J84" s="428"/>
      <c r="K84" s="428"/>
      <c r="L84" s="428"/>
      <c r="M84" s="428"/>
      <c r="N84" s="428"/>
      <c r="O84" s="916"/>
      <c r="P84" s="954"/>
      <c r="Q84" s="428"/>
      <c r="S84" s="428"/>
      <c r="T84" s="428"/>
    </row>
    <row r="85" spans="1:23">
      <c r="C85" s="420">
        <f>+C56-C76</f>
        <v>-5437162</v>
      </c>
    </row>
  </sheetData>
  <mergeCells count="1">
    <mergeCell ref="O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321"/>
  <sheetViews>
    <sheetView showGridLines="0" topLeftCell="A296" zoomScaleNormal="100" workbookViewId="0">
      <selection activeCell="E311" sqref="E311"/>
    </sheetView>
  </sheetViews>
  <sheetFormatPr defaultColWidth="11.42578125" defaultRowHeight="15" outlineLevelRow="1"/>
  <cols>
    <col min="1" max="1" width="2" style="425" customWidth="1"/>
    <col min="2" max="2" width="19.140625" style="513" customWidth="1"/>
    <col min="3" max="3" width="56.85546875" style="425" customWidth="1"/>
    <col min="4" max="5" width="12.7109375" style="514" customWidth="1"/>
    <col min="6" max="6" width="11.5703125" style="425" customWidth="1"/>
    <col min="7" max="9" width="11.42578125" style="425"/>
    <col min="10" max="10" width="11.5703125" style="425" customWidth="1"/>
    <col min="11" max="1024" width="11.42578125" style="425"/>
  </cols>
  <sheetData>
    <row r="1" spans="2:10" hidden="1" outlineLevel="1"/>
    <row r="2" spans="2:10" hidden="1" outlineLevel="1">
      <c r="B2" s="515" t="s">
        <v>199</v>
      </c>
      <c r="C2" s="516" t="s">
        <v>528</v>
      </c>
      <c r="D2" s="517" t="s">
        <v>200</v>
      </c>
      <c r="E2" s="517" t="s">
        <v>201</v>
      </c>
      <c r="I2" s="514"/>
    </row>
    <row r="3" spans="2:10" hidden="1" outlineLevel="1">
      <c r="C3" s="518" t="s">
        <v>529</v>
      </c>
      <c r="I3" s="425" t="s">
        <v>245</v>
      </c>
      <c r="J3" s="514">
        <v>366832</v>
      </c>
    </row>
    <row r="4" spans="2:10" hidden="1" outlineLevel="1">
      <c r="B4" s="513" t="s">
        <v>461</v>
      </c>
      <c r="C4" s="425" t="s">
        <v>87</v>
      </c>
      <c r="D4" s="514">
        <v>1104950</v>
      </c>
      <c r="I4" s="425" t="s">
        <v>280</v>
      </c>
      <c r="J4" s="514">
        <v>943459</v>
      </c>
    </row>
    <row r="5" spans="2:10" hidden="1" outlineLevel="1">
      <c r="B5" s="513" t="s">
        <v>461</v>
      </c>
      <c r="C5" s="425" t="s">
        <v>147</v>
      </c>
      <c r="D5" s="514">
        <v>877313</v>
      </c>
      <c r="I5" s="425" t="s">
        <v>281</v>
      </c>
      <c r="J5" s="514">
        <v>147840</v>
      </c>
    </row>
    <row r="6" spans="2:10" hidden="1" outlineLevel="1">
      <c r="B6" s="519" t="s">
        <v>461</v>
      </c>
      <c r="C6" s="520" t="s">
        <v>462</v>
      </c>
      <c r="D6" s="521">
        <v>673934</v>
      </c>
      <c r="E6" s="521"/>
      <c r="I6" s="425" t="s">
        <v>282</v>
      </c>
      <c r="J6" s="514">
        <v>140052</v>
      </c>
    </row>
    <row r="7" spans="2:10" hidden="1" outlineLevel="1">
      <c r="B7" s="519" t="s">
        <v>461</v>
      </c>
      <c r="C7" s="520" t="s">
        <v>463</v>
      </c>
      <c r="D7" s="521">
        <v>1660952</v>
      </c>
      <c r="E7" s="520"/>
      <c r="I7" s="425" t="s">
        <v>530</v>
      </c>
      <c r="J7" s="522">
        <v>8000</v>
      </c>
    </row>
    <row r="8" spans="2:10" hidden="1" outlineLevel="1">
      <c r="B8" s="519" t="s">
        <v>461</v>
      </c>
      <c r="C8" s="520" t="s">
        <v>483</v>
      </c>
      <c r="D8" s="521">
        <v>21</v>
      </c>
      <c r="E8" s="520"/>
      <c r="J8" s="514">
        <f>+SUM(J3:J7)</f>
        <v>1606183</v>
      </c>
    </row>
    <row r="9" spans="2:10" hidden="1" outlineLevel="1">
      <c r="B9" s="519" t="s">
        <v>212</v>
      </c>
      <c r="C9" s="520" t="s">
        <v>462</v>
      </c>
      <c r="D9" s="521">
        <v>27806</v>
      </c>
      <c r="E9" s="520"/>
    </row>
    <row r="10" spans="2:10" hidden="1" outlineLevel="1">
      <c r="B10" s="519" t="s">
        <v>461</v>
      </c>
      <c r="C10" s="520" t="s">
        <v>531</v>
      </c>
      <c r="D10" s="523"/>
      <c r="E10" s="521">
        <v>27806</v>
      </c>
    </row>
    <row r="11" spans="2:10" hidden="1" outlineLevel="1">
      <c r="B11" s="513" t="s">
        <v>212</v>
      </c>
      <c r="C11" s="425" t="s">
        <v>484</v>
      </c>
      <c r="E11" s="514">
        <v>1982263</v>
      </c>
    </row>
    <row r="12" spans="2:10" hidden="1" outlineLevel="1">
      <c r="B12" s="519" t="s">
        <v>212</v>
      </c>
      <c r="C12" s="520" t="s">
        <v>475</v>
      </c>
      <c r="D12" s="524"/>
      <c r="E12" s="524">
        <v>2334907</v>
      </c>
    </row>
    <row r="13" spans="2:10" hidden="1" outlineLevel="1">
      <c r="C13" s="425" t="s">
        <v>532</v>
      </c>
      <c r="D13" s="514">
        <f>+SUM(D4:D12)</f>
        <v>4344976</v>
      </c>
      <c r="E13" s="514">
        <f>+SUM(E4:E12)</f>
        <v>4344976</v>
      </c>
      <c r="F13" s="525">
        <f>+D13-E13</f>
        <v>0</v>
      </c>
    </row>
    <row r="14" spans="2:10" hidden="1" outlineLevel="1"/>
    <row r="15" spans="2:10" hidden="1" outlineLevel="1">
      <c r="C15" s="518" t="s">
        <v>533</v>
      </c>
    </row>
    <row r="16" spans="2:10" hidden="1" outlineLevel="1">
      <c r="B16" s="513" t="s">
        <v>534</v>
      </c>
      <c r="C16" s="425" t="s">
        <v>87</v>
      </c>
      <c r="D16" s="514">
        <v>800</v>
      </c>
      <c r="I16" s="514"/>
    </row>
    <row r="17" spans="2:6" hidden="1" outlineLevel="1">
      <c r="B17" s="513" t="s">
        <v>534</v>
      </c>
      <c r="C17" s="425" t="s">
        <v>436</v>
      </c>
      <c r="D17" s="514">
        <v>340</v>
      </c>
    </row>
    <row r="18" spans="2:6" hidden="1" outlineLevel="1">
      <c r="B18" s="513" t="s">
        <v>212</v>
      </c>
      <c r="C18" s="520" t="s">
        <v>535</v>
      </c>
      <c r="D18" s="521">
        <f>+E19-D17-D16</f>
        <v>1113036</v>
      </c>
      <c r="E18" s="521"/>
    </row>
    <row r="19" spans="2:6" hidden="1" outlineLevel="1">
      <c r="B19" s="513" t="s">
        <v>212</v>
      </c>
      <c r="C19" s="520" t="s">
        <v>484</v>
      </c>
      <c r="D19" s="524"/>
      <c r="E19" s="524">
        <v>1114176</v>
      </c>
      <c r="F19" s="525">
        <f>+E19-D18</f>
        <v>1140</v>
      </c>
    </row>
    <row r="20" spans="2:6" hidden="1" outlineLevel="1">
      <c r="C20" s="425" t="s">
        <v>536</v>
      </c>
      <c r="D20" s="514">
        <f>+SUM(D16:D19)</f>
        <v>1114176</v>
      </c>
      <c r="E20" s="514">
        <f>+SUM(E16:E19)</f>
        <v>1114176</v>
      </c>
      <c r="F20" s="525">
        <f>+D20-E20</f>
        <v>0</v>
      </c>
    </row>
    <row r="21" spans="2:6" hidden="1" outlineLevel="1"/>
    <row r="22" spans="2:6" hidden="1" outlineLevel="1">
      <c r="C22" s="518" t="s">
        <v>537</v>
      </c>
    </row>
    <row r="23" spans="2:6" hidden="1" outlineLevel="1">
      <c r="B23" s="513" t="s">
        <v>280</v>
      </c>
      <c r="C23" s="425" t="s">
        <v>87</v>
      </c>
      <c r="D23" s="514">
        <v>6800</v>
      </c>
    </row>
    <row r="24" spans="2:6" hidden="1" outlineLevel="1">
      <c r="B24" s="513" t="s">
        <v>280</v>
      </c>
      <c r="C24" s="425" t="s">
        <v>538</v>
      </c>
      <c r="D24" s="514">
        <v>74427</v>
      </c>
    </row>
    <row r="25" spans="2:6" hidden="1" outlineLevel="1">
      <c r="B25" s="513" t="s">
        <v>280</v>
      </c>
      <c r="C25" s="425" t="s">
        <v>149</v>
      </c>
      <c r="D25" s="514">
        <f>+E28-D23-D24</f>
        <v>862232</v>
      </c>
    </row>
    <row r="26" spans="2:6" hidden="1" outlineLevel="1">
      <c r="B26" s="513" t="s">
        <v>212</v>
      </c>
      <c r="C26" s="425" t="s">
        <v>539</v>
      </c>
      <c r="D26" s="514">
        <f>+E28</f>
        <v>943459</v>
      </c>
    </row>
    <row r="27" spans="2:6" s="425" customFormat="1" ht="12" hidden="1" outlineLevel="1">
      <c r="B27" s="513" t="s">
        <v>208</v>
      </c>
      <c r="C27" s="425" t="s">
        <v>540</v>
      </c>
      <c r="E27" s="514">
        <f>+D26</f>
        <v>943459</v>
      </c>
      <c r="F27" s="525">
        <f>+E27-D25</f>
        <v>81227</v>
      </c>
    </row>
    <row r="28" spans="2:6" hidden="1" outlineLevel="1">
      <c r="B28" s="513" t="s">
        <v>212</v>
      </c>
      <c r="C28" s="425" t="s">
        <v>484</v>
      </c>
      <c r="D28" s="522"/>
      <c r="E28" s="522">
        <v>943459</v>
      </c>
    </row>
    <row r="29" spans="2:6" hidden="1" outlineLevel="1">
      <c r="C29" s="425" t="s">
        <v>541</v>
      </c>
      <c r="D29" s="514">
        <f>+SUM(D23:D28)</f>
        <v>1886918</v>
      </c>
      <c r="E29" s="514">
        <f>+SUM(E23:E28)</f>
        <v>1886918</v>
      </c>
      <c r="F29" s="525">
        <f>+D29-E29</f>
        <v>0</v>
      </c>
    </row>
    <row r="30" spans="2:6" hidden="1" outlineLevel="1"/>
    <row r="31" spans="2:6" hidden="1" outlineLevel="1">
      <c r="C31" s="518" t="s">
        <v>542</v>
      </c>
    </row>
    <row r="32" spans="2:6" hidden="1" outlineLevel="1">
      <c r="B32" s="513" t="s">
        <v>432</v>
      </c>
      <c r="C32" s="425" t="s">
        <v>87</v>
      </c>
      <c r="D32" s="514">
        <v>750</v>
      </c>
    </row>
    <row r="33" spans="2:6" hidden="1" outlineLevel="1">
      <c r="B33" s="513" t="s">
        <v>432</v>
      </c>
      <c r="C33" s="425" t="s">
        <v>436</v>
      </c>
      <c r="D33" s="514">
        <v>109633</v>
      </c>
    </row>
    <row r="34" spans="2:6" hidden="1" outlineLevel="1">
      <c r="B34" s="513" t="s">
        <v>432</v>
      </c>
      <c r="C34" s="425" t="s">
        <v>147</v>
      </c>
      <c r="D34" s="514">
        <v>330450</v>
      </c>
    </row>
    <row r="35" spans="2:6" hidden="1" outlineLevel="1">
      <c r="B35" s="513" t="s">
        <v>432</v>
      </c>
      <c r="C35" s="425" t="s">
        <v>149</v>
      </c>
      <c r="D35" s="514">
        <f>+E36-D32-D33-D34</f>
        <v>21667</v>
      </c>
    </row>
    <row r="36" spans="2:6" hidden="1" outlineLevel="1">
      <c r="B36" s="513" t="s">
        <v>212</v>
      </c>
      <c r="C36" s="425" t="s">
        <v>484</v>
      </c>
      <c r="D36" s="522"/>
      <c r="E36" s="522">
        <v>462500</v>
      </c>
    </row>
    <row r="37" spans="2:6" hidden="1" outlineLevel="1">
      <c r="C37" s="425" t="s">
        <v>543</v>
      </c>
      <c r="D37" s="514">
        <f>+SUM(D32:D36)</f>
        <v>462500</v>
      </c>
      <c r="E37" s="514">
        <f>+SUM(E32:E36)</f>
        <v>462500</v>
      </c>
      <c r="F37" s="525">
        <f>+D37-E37</f>
        <v>0</v>
      </c>
    </row>
    <row r="38" spans="2:6" hidden="1" outlineLevel="1"/>
    <row r="39" spans="2:6" hidden="1" outlineLevel="1">
      <c r="C39" s="518" t="s">
        <v>544</v>
      </c>
    </row>
    <row r="40" spans="2:6" hidden="1" outlineLevel="1">
      <c r="B40" s="513" t="s">
        <v>243</v>
      </c>
      <c r="C40" s="425" t="s">
        <v>87</v>
      </c>
      <c r="D40" s="514">
        <v>3751</v>
      </c>
    </row>
    <row r="41" spans="2:6" hidden="1" outlineLevel="1">
      <c r="B41" s="513" t="s">
        <v>243</v>
      </c>
      <c r="C41" s="425" t="s">
        <v>147</v>
      </c>
      <c r="D41" s="514">
        <v>27854948</v>
      </c>
    </row>
    <row r="42" spans="2:6" hidden="1" outlineLevel="1">
      <c r="B42" s="513" t="s">
        <v>212</v>
      </c>
      <c r="C42" s="425" t="s">
        <v>484</v>
      </c>
      <c r="D42" s="522"/>
      <c r="E42" s="522">
        <v>27858699</v>
      </c>
    </row>
    <row r="43" spans="2:6" hidden="1" outlineLevel="1">
      <c r="C43" s="425" t="s">
        <v>545</v>
      </c>
      <c r="D43" s="514">
        <f>+D40+D41+D42</f>
        <v>27858699</v>
      </c>
      <c r="E43" s="514">
        <f>+E40+E41+E42</f>
        <v>27858699</v>
      </c>
    </row>
    <row r="44" spans="2:6" hidden="1" outlineLevel="1"/>
    <row r="45" spans="2:6" hidden="1" outlineLevel="1">
      <c r="C45" s="518" t="s">
        <v>546</v>
      </c>
    </row>
    <row r="46" spans="2:6" hidden="1" outlineLevel="1">
      <c r="B46" s="519" t="s">
        <v>243</v>
      </c>
      <c r="C46" s="520" t="s">
        <v>463</v>
      </c>
      <c r="D46" s="521">
        <v>2278797</v>
      </c>
      <c r="E46" s="521"/>
    </row>
    <row r="47" spans="2:6" hidden="1" outlineLevel="1">
      <c r="B47" s="519" t="s">
        <v>243</v>
      </c>
      <c r="C47" s="520" t="s">
        <v>463</v>
      </c>
      <c r="D47" s="521">
        <v>865104</v>
      </c>
      <c r="E47" s="521"/>
    </row>
    <row r="48" spans="2:6" hidden="1" outlineLevel="1">
      <c r="B48" s="519" t="s">
        <v>243</v>
      </c>
      <c r="C48" s="520" t="s">
        <v>463</v>
      </c>
      <c r="D48" s="521">
        <v>3965967</v>
      </c>
      <c r="E48" s="520"/>
    </row>
    <row r="49" spans="2:8" hidden="1" outlineLevel="1">
      <c r="B49" s="519" t="s">
        <v>212</v>
      </c>
      <c r="C49" s="520" t="s">
        <v>531</v>
      </c>
      <c r="D49" s="521"/>
      <c r="E49" s="521">
        <v>93795</v>
      </c>
    </row>
    <row r="50" spans="2:8" hidden="1" outlineLevel="1">
      <c r="B50" s="519" t="s">
        <v>243</v>
      </c>
      <c r="C50" s="520" t="s">
        <v>475</v>
      </c>
      <c r="D50" s="521"/>
      <c r="E50" s="521">
        <v>3965967</v>
      </c>
    </row>
    <row r="51" spans="2:8" hidden="1" outlineLevel="1">
      <c r="B51" s="513" t="s">
        <v>212</v>
      </c>
      <c r="C51" s="425" t="s">
        <v>547</v>
      </c>
      <c r="E51" s="514">
        <v>738602</v>
      </c>
      <c r="F51" s="525"/>
      <c r="G51" s="525"/>
    </row>
    <row r="52" spans="2:8" hidden="1" outlineLevel="1">
      <c r="B52" s="519" t="s">
        <v>212</v>
      </c>
      <c r="C52" s="520" t="s">
        <v>475</v>
      </c>
      <c r="D52" s="524"/>
      <c r="E52" s="524">
        <v>2311504</v>
      </c>
    </row>
    <row r="53" spans="2:8" hidden="1" outlineLevel="1">
      <c r="C53" s="425" t="s">
        <v>548</v>
      </c>
      <c r="D53" s="525">
        <f>+SUM(D46:D52)</f>
        <v>7109868</v>
      </c>
      <c r="E53" s="525">
        <f>+SUM(E46:E52)</f>
        <v>7109868</v>
      </c>
      <c r="F53" s="525"/>
    </row>
    <row r="54" spans="2:8" hidden="1" outlineLevel="1">
      <c r="F54" s="525"/>
      <c r="G54" s="525"/>
      <c r="H54" s="526"/>
    </row>
    <row r="55" spans="2:8" hidden="1" outlineLevel="1">
      <c r="C55" s="518" t="s">
        <v>549</v>
      </c>
    </row>
    <row r="56" spans="2:8" hidden="1" outlineLevel="1">
      <c r="B56" s="513" t="s">
        <v>281</v>
      </c>
      <c r="C56" s="425" t="s">
        <v>87</v>
      </c>
      <c r="D56" s="514">
        <v>500</v>
      </c>
    </row>
    <row r="57" spans="2:8" hidden="1" outlineLevel="1">
      <c r="B57" s="513" t="s">
        <v>281</v>
      </c>
      <c r="C57" s="425" t="s">
        <v>538</v>
      </c>
      <c r="D57" s="514">
        <v>500</v>
      </c>
    </row>
    <row r="58" spans="2:8" hidden="1" outlineLevel="1">
      <c r="B58" s="513" t="s">
        <v>281</v>
      </c>
      <c r="C58" s="425" t="s">
        <v>147</v>
      </c>
      <c r="D58" s="514">
        <v>49015</v>
      </c>
    </row>
    <row r="59" spans="2:8" hidden="1" outlineLevel="1">
      <c r="B59" s="513" t="s">
        <v>281</v>
      </c>
      <c r="C59" s="425" t="s">
        <v>149</v>
      </c>
      <c r="D59" s="514">
        <f>+E63-D58-D57-D56</f>
        <v>97825</v>
      </c>
    </row>
    <row r="60" spans="2:8" hidden="1" outlineLevel="1">
      <c r="B60" s="519" t="s">
        <v>281</v>
      </c>
      <c r="C60" s="520" t="s">
        <v>462</v>
      </c>
      <c r="D60" s="521">
        <v>950362</v>
      </c>
    </row>
    <row r="61" spans="2:8" hidden="1" outlineLevel="1">
      <c r="B61" s="513" t="s">
        <v>212</v>
      </c>
      <c r="C61" s="425" t="s">
        <v>539</v>
      </c>
      <c r="D61" s="514">
        <v>147840</v>
      </c>
    </row>
    <row r="62" spans="2:8" hidden="1" outlineLevel="1">
      <c r="B62" s="513" t="s">
        <v>208</v>
      </c>
      <c r="C62" s="425" t="s">
        <v>540</v>
      </c>
      <c r="E62" s="514">
        <f>+D61</f>
        <v>147840</v>
      </c>
    </row>
    <row r="63" spans="2:8" hidden="1" outlineLevel="1">
      <c r="B63" s="513" t="s">
        <v>212</v>
      </c>
      <c r="C63" s="425" t="s">
        <v>484</v>
      </c>
      <c r="E63" s="514">
        <v>147840</v>
      </c>
    </row>
    <row r="64" spans="2:8" hidden="1" outlineLevel="1">
      <c r="B64" s="519" t="s">
        <v>212</v>
      </c>
      <c r="C64" s="520" t="s">
        <v>475</v>
      </c>
      <c r="D64" s="524"/>
      <c r="E64" s="524">
        <v>950362</v>
      </c>
    </row>
    <row r="65" spans="2:6" hidden="1" outlineLevel="1">
      <c r="C65" s="425" t="s">
        <v>550</v>
      </c>
      <c r="D65" s="514">
        <f>+SUM(D56:D64)</f>
        <v>1246042</v>
      </c>
      <c r="E65" s="514">
        <f>+SUM(E56:E64)</f>
        <v>1246042</v>
      </c>
      <c r="F65" s="525">
        <f>+D65-E65</f>
        <v>0</v>
      </c>
    </row>
    <row r="66" spans="2:6" hidden="1" outlineLevel="1"/>
    <row r="67" spans="2:6" hidden="1" outlineLevel="1">
      <c r="C67" s="518" t="s">
        <v>551</v>
      </c>
    </row>
    <row r="68" spans="2:6" hidden="1" outlineLevel="1">
      <c r="B68" s="513" t="s">
        <v>282</v>
      </c>
      <c r="C68" s="425" t="s">
        <v>87</v>
      </c>
      <c r="D68" s="514">
        <v>4640</v>
      </c>
    </row>
    <row r="69" spans="2:6" hidden="1" outlineLevel="1">
      <c r="B69" s="513" t="s">
        <v>282</v>
      </c>
      <c r="C69" s="425" t="s">
        <v>436</v>
      </c>
      <c r="D69" s="514">
        <v>1226</v>
      </c>
    </row>
    <row r="70" spans="2:6" hidden="1" outlineLevel="1">
      <c r="B70" s="513" t="s">
        <v>282</v>
      </c>
      <c r="C70" s="425" t="s">
        <v>149</v>
      </c>
      <c r="D70" s="514">
        <f>+E73-D69-D68</f>
        <v>134186</v>
      </c>
    </row>
    <row r="71" spans="2:6" hidden="1" outlineLevel="1">
      <c r="B71" s="513" t="s">
        <v>212</v>
      </c>
      <c r="C71" s="425" t="s">
        <v>539</v>
      </c>
      <c r="D71" s="514">
        <v>140052</v>
      </c>
    </row>
    <row r="72" spans="2:6" hidden="1" outlineLevel="1">
      <c r="B72" s="513" t="s">
        <v>208</v>
      </c>
      <c r="C72" s="425" t="s">
        <v>540</v>
      </c>
      <c r="E72" s="514">
        <f>+D71</f>
        <v>140052</v>
      </c>
    </row>
    <row r="73" spans="2:6" hidden="1" outlineLevel="1">
      <c r="B73" s="513" t="s">
        <v>212</v>
      </c>
      <c r="C73" s="425" t="s">
        <v>484</v>
      </c>
      <c r="D73" s="522"/>
      <c r="E73" s="522">
        <v>140052</v>
      </c>
    </row>
    <row r="74" spans="2:6" hidden="1" outlineLevel="1">
      <c r="C74" s="425" t="s">
        <v>552</v>
      </c>
      <c r="D74" s="514">
        <f>+SUM(D68:D73)</f>
        <v>280104</v>
      </c>
      <c r="E74" s="514">
        <f>+SUM(E68:E73)</f>
        <v>280104</v>
      </c>
      <c r="F74" s="525">
        <f>+D74-E74</f>
        <v>0</v>
      </c>
    </row>
    <row r="75" spans="2:6" hidden="1" outlineLevel="1">
      <c r="F75" s="525"/>
    </row>
    <row r="76" spans="2:6" hidden="1" outlineLevel="1">
      <c r="C76" s="518" t="s">
        <v>553</v>
      </c>
    </row>
    <row r="77" spans="2:6" hidden="1" outlineLevel="1">
      <c r="B77" s="513" t="s">
        <v>433</v>
      </c>
      <c r="C77" s="425" t="s">
        <v>87</v>
      </c>
      <c r="D77" s="514">
        <v>6000</v>
      </c>
    </row>
    <row r="78" spans="2:6" hidden="1" outlineLevel="1">
      <c r="B78" s="513" t="s">
        <v>212</v>
      </c>
      <c r="C78" s="425" t="s">
        <v>484</v>
      </c>
      <c r="D78" s="522"/>
      <c r="E78" s="522">
        <f>+D77</f>
        <v>6000</v>
      </c>
      <c r="F78" s="525"/>
    </row>
    <row r="79" spans="2:6" hidden="1" outlineLevel="1">
      <c r="C79" s="425" t="s">
        <v>554</v>
      </c>
      <c r="D79" s="514">
        <f>+D77+D78</f>
        <v>6000</v>
      </c>
      <c r="E79" s="514">
        <f>+E77+E78</f>
        <v>6000</v>
      </c>
      <c r="F79" s="525">
        <f>+D79-E79</f>
        <v>0</v>
      </c>
    </row>
    <row r="80" spans="2:6" hidden="1" outlineLevel="1">
      <c r="F80" s="525"/>
    </row>
    <row r="81" spans="2:6" hidden="1" outlineLevel="1">
      <c r="C81" s="518" t="s">
        <v>555</v>
      </c>
    </row>
    <row r="82" spans="2:6" hidden="1" outlineLevel="1">
      <c r="B82" s="513" t="s">
        <v>245</v>
      </c>
      <c r="C82" s="425" t="s">
        <v>87</v>
      </c>
      <c r="D82" s="514">
        <v>740</v>
      </c>
    </row>
    <row r="83" spans="2:6" hidden="1" outlineLevel="1">
      <c r="B83" s="513" t="s">
        <v>245</v>
      </c>
      <c r="C83" s="425" t="s">
        <v>147</v>
      </c>
      <c r="D83" s="514">
        <v>1833418</v>
      </c>
    </row>
    <row r="84" spans="2:6" hidden="1" outlineLevel="1">
      <c r="B84" s="519" t="s">
        <v>245</v>
      </c>
      <c r="C84" s="520" t="s">
        <v>462</v>
      </c>
      <c r="D84" s="521">
        <v>6331</v>
      </c>
    </row>
    <row r="85" spans="2:6" hidden="1" outlineLevel="1">
      <c r="B85" s="519" t="s">
        <v>245</v>
      </c>
      <c r="C85" s="520" t="s">
        <v>463</v>
      </c>
      <c r="D85" s="521">
        <v>4144540</v>
      </c>
    </row>
    <row r="86" spans="2:6" hidden="1" outlineLevel="1">
      <c r="B86" s="519" t="s">
        <v>245</v>
      </c>
      <c r="C86" s="520" t="s">
        <v>483</v>
      </c>
      <c r="D86" s="521">
        <f>5699+1</f>
        <v>5700</v>
      </c>
    </row>
    <row r="87" spans="2:6" hidden="1" outlineLevel="1">
      <c r="B87" s="513" t="s">
        <v>212</v>
      </c>
      <c r="C87" s="425" t="s">
        <v>539</v>
      </c>
      <c r="D87" s="514">
        <v>366832</v>
      </c>
    </row>
    <row r="88" spans="2:6" hidden="1" outlineLevel="1">
      <c r="B88" s="513" t="s">
        <v>212</v>
      </c>
      <c r="C88" s="425" t="s">
        <v>484</v>
      </c>
      <c r="E88" s="514">
        <v>1834158</v>
      </c>
    </row>
    <row r="89" spans="2:6" hidden="1" outlineLevel="1">
      <c r="B89" s="513" t="s">
        <v>212</v>
      </c>
      <c r="C89" s="425" t="s">
        <v>556</v>
      </c>
      <c r="E89" s="514">
        <v>366832</v>
      </c>
    </row>
    <row r="90" spans="2:6" hidden="1" outlineLevel="1">
      <c r="B90" s="519" t="s">
        <v>212</v>
      </c>
      <c r="C90" s="520" t="s">
        <v>475</v>
      </c>
      <c r="D90" s="524"/>
      <c r="E90" s="524">
        <v>4156571</v>
      </c>
    </row>
    <row r="91" spans="2:6" hidden="1" outlineLevel="1">
      <c r="C91" s="425" t="s">
        <v>557</v>
      </c>
      <c r="D91" s="514">
        <f>+SUM(D82:D90)</f>
        <v>6357561</v>
      </c>
      <c r="E91" s="514">
        <f>+SUM(E82:E90)</f>
        <v>6357561</v>
      </c>
      <c r="F91" s="525">
        <f>+D91-E91</f>
        <v>0</v>
      </c>
    </row>
    <row r="92" spans="2:6" hidden="1" outlineLevel="1"/>
    <row r="93" spans="2:6" hidden="1" outlineLevel="1">
      <c r="C93" s="518" t="s">
        <v>558</v>
      </c>
    </row>
    <row r="94" spans="2:6" hidden="1" outlineLevel="1">
      <c r="B94" s="513" t="s">
        <v>247</v>
      </c>
      <c r="C94" s="425" t="s">
        <v>87</v>
      </c>
      <c r="D94" s="514">
        <v>3624786</v>
      </c>
    </row>
    <row r="95" spans="2:6" hidden="1" outlineLevel="1">
      <c r="B95" s="513" t="s">
        <v>247</v>
      </c>
      <c r="C95" s="425" t="s">
        <v>147</v>
      </c>
      <c r="D95" s="514">
        <v>292500</v>
      </c>
    </row>
    <row r="96" spans="2:6" hidden="1" outlineLevel="1">
      <c r="B96" s="513" t="s">
        <v>247</v>
      </c>
      <c r="C96" s="425" t="s">
        <v>559</v>
      </c>
      <c r="D96" s="514">
        <v>274690</v>
      </c>
    </row>
    <row r="97" spans="2:6" hidden="1" outlineLevel="1">
      <c r="B97" s="519" t="s">
        <v>247</v>
      </c>
      <c r="C97" s="520" t="s">
        <v>462</v>
      </c>
      <c r="D97" s="521">
        <v>282302</v>
      </c>
    </row>
    <row r="98" spans="2:6" hidden="1" outlineLevel="1">
      <c r="B98" s="519" t="s">
        <v>247</v>
      </c>
      <c r="C98" s="520" t="s">
        <v>463</v>
      </c>
      <c r="D98" s="521">
        <v>658889</v>
      </c>
    </row>
    <row r="99" spans="2:6" s="425" customFormat="1" ht="12" hidden="1" outlineLevel="1">
      <c r="B99" s="519" t="s">
        <v>208</v>
      </c>
      <c r="C99" s="520" t="s">
        <v>72</v>
      </c>
      <c r="D99" s="521">
        <v>238</v>
      </c>
    </row>
    <row r="100" spans="2:6" hidden="1" outlineLevel="1">
      <c r="B100" s="513" t="s">
        <v>247</v>
      </c>
      <c r="C100" s="425" t="s">
        <v>560</v>
      </c>
      <c r="E100" s="514">
        <v>56932</v>
      </c>
    </row>
    <row r="101" spans="2:6" hidden="1" outlineLevel="1">
      <c r="B101" s="519" t="s">
        <v>212</v>
      </c>
      <c r="C101" s="520" t="s">
        <v>531</v>
      </c>
      <c r="D101" s="521"/>
      <c r="E101" s="521">
        <v>72</v>
      </c>
    </row>
    <row r="102" spans="2:6" hidden="1" outlineLevel="1">
      <c r="B102" s="519" t="s">
        <v>212</v>
      </c>
      <c r="C102" s="520" t="s">
        <v>561</v>
      </c>
      <c r="D102" s="521"/>
      <c r="E102" s="521">
        <v>411576</v>
      </c>
      <c r="F102" s="525">
        <f>+D97+D98+D99-E101-E102</f>
        <v>529781</v>
      </c>
    </row>
    <row r="103" spans="2:6" hidden="1" outlineLevel="1">
      <c r="B103" s="513" t="s">
        <v>212</v>
      </c>
      <c r="C103" s="425" t="s">
        <v>484</v>
      </c>
      <c r="E103" s="514">
        <v>1173781</v>
      </c>
    </row>
    <row r="104" spans="2:6" hidden="1" outlineLevel="1">
      <c r="B104" s="513" t="s">
        <v>208</v>
      </c>
      <c r="C104" s="425" t="s">
        <v>562</v>
      </c>
      <c r="D104" s="522"/>
      <c r="E104" s="522">
        <v>3491044</v>
      </c>
    </row>
    <row r="105" spans="2:6" hidden="1" outlineLevel="1">
      <c r="C105" s="425" t="s">
        <v>563</v>
      </c>
      <c r="D105" s="514">
        <f>+SUM(D94:D104)</f>
        <v>5133405</v>
      </c>
      <c r="E105" s="514">
        <f>+SUM(E94:E104)</f>
        <v>5133405</v>
      </c>
      <c r="F105" s="525">
        <f>+E105-D105</f>
        <v>0</v>
      </c>
    </row>
    <row r="106" spans="2:6" hidden="1" outlineLevel="1"/>
    <row r="107" spans="2:6" hidden="1" outlineLevel="1">
      <c r="C107" s="518" t="s">
        <v>564</v>
      </c>
    </row>
    <row r="108" spans="2:6" hidden="1" outlineLevel="1">
      <c r="B108" s="513" t="s">
        <v>32</v>
      </c>
      <c r="C108" s="425" t="s">
        <v>87</v>
      </c>
      <c r="D108" s="514">
        <v>10000</v>
      </c>
    </row>
    <row r="109" spans="2:6" hidden="1" outlineLevel="1">
      <c r="B109" s="519" t="s">
        <v>32</v>
      </c>
      <c r="C109" s="520" t="s">
        <v>462</v>
      </c>
      <c r="D109" s="521">
        <v>27651</v>
      </c>
    </row>
    <row r="110" spans="2:6" hidden="1" outlineLevel="1">
      <c r="B110" s="519" t="s">
        <v>32</v>
      </c>
      <c r="C110" s="520" t="s">
        <v>565</v>
      </c>
      <c r="D110" s="521">
        <v>49358</v>
      </c>
    </row>
    <row r="111" spans="2:6" hidden="1" outlineLevel="1">
      <c r="B111" s="519" t="s">
        <v>32</v>
      </c>
      <c r="C111" s="520" t="s">
        <v>463</v>
      </c>
      <c r="D111" s="521">
        <v>1193125</v>
      </c>
    </row>
    <row r="112" spans="2:6" hidden="1" outlineLevel="1">
      <c r="B112" s="513" t="s">
        <v>212</v>
      </c>
      <c r="C112" s="425" t="s">
        <v>484</v>
      </c>
      <c r="E112" s="514">
        <v>1193125</v>
      </c>
    </row>
    <row r="113" spans="2:6" hidden="1" outlineLevel="1">
      <c r="B113" s="519" t="s">
        <v>212</v>
      </c>
      <c r="C113" s="520" t="s">
        <v>566</v>
      </c>
      <c r="D113" s="524"/>
      <c r="E113" s="524">
        <v>87009</v>
      </c>
      <c r="F113" s="525">
        <f>+D109+D110+D111-E113</f>
        <v>1183125</v>
      </c>
    </row>
    <row r="114" spans="2:6" hidden="1" outlineLevel="1">
      <c r="C114" s="425" t="s">
        <v>485</v>
      </c>
      <c r="D114" s="514">
        <f>+SUM(D108:D113)</f>
        <v>1280134</v>
      </c>
      <c r="E114" s="514">
        <f>+SUM(E108:E113)</f>
        <v>1280134</v>
      </c>
      <c r="F114" s="525">
        <f>+E114-D114</f>
        <v>0</v>
      </c>
    </row>
    <row r="115" spans="2:6" hidden="1" outlineLevel="1"/>
    <row r="116" spans="2:6" hidden="1" outlineLevel="1"/>
    <row r="117" spans="2:6" hidden="1" outlineLevel="1">
      <c r="C117" s="518" t="s">
        <v>567</v>
      </c>
    </row>
    <row r="118" spans="2:6" hidden="1" outlineLevel="1">
      <c r="B118" s="519" t="s">
        <v>243</v>
      </c>
      <c r="C118" s="520" t="s">
        <v>462</v>
      </c>
      <c r="D118" s="521">
        <v>4733</v>
      </c>
      <c r="E118" s="521"/>
    </row>
    <row r="119" spans="2:6" hidden="1" outlineLevel="1">
      <c r="B119" s="519" t="s">
        <v>461</v>
      </c>
      <c r="C119" s="520" t="s">
        <v>475</v>
      </c>
      <c r="D119" s="524"/>
      <c r="E119" s="524">
        <v>4733</v>
      </c>
    </row>
    <row r="120" spans="2:6" hidden="1" outlineLevel="1">
      <c r="C120" s="425" t="s">
        <v>487</v>
      </c>
      <c r="D120" s="514">
        <f>+D118+D119</f>
        <v>4733</v>
      </c>
      <c r="E120" s="514">
        <f>+E118+E119</f>
        <v>4733</v>
      </c>
    </row>
    <row r="121" spans="2:6" hidden="1" outlineLevel="1"/>
    <row r="122" spans="2:6" hidden="1" outlineLevel="1">
      <c r="C122" s="518" t="s">
        <v>568</v>
      </c>
    </row>
    <row r="123" spans="2:6" hidden="1" outlineLevel="1">
      <c r="B123" s="513" t="s">
        <v>212</v>
      </c>
      <c r="C123" s="425" t="s">
        <v>283</v>
      </c>
      <c r="D123" s="514">
        <v>394335</v>
      </c>
    </row>
    <row r="124" spans="2:6" hidden="1" outlineLevel="1">
      <c r="B124" s="513" t="s">
        <v>212</v>
      </c>
      <c r="C124" s="425" t="s">
        <v>562</v>
      </c>
      <c r="D124" s="522"/>
      <c r="E124" s="522">
        <f>+D123</f>
        <v>394335</v>
      </c>
    </row>
    <row r="125" spans="2:6" hidden="1" outlineLevel="1">
      <c r="C125" s="425" t="s">
        <v>569</v>
      </c>
      <c r="D125" s="514">
        <f>+D123+D124</f>
        <v>394335</v>
      </c>
      <c r="E125" s="514">
        <f>+E123+E124</f>
        <v>394335</v>
      </c>
    </row>
    <row r="126" spans="2:6" hidden="1" outlineLevel="1"/>
    <row r="127" spans="2:6" hidden="1" outlineLevel="1">
      <c r="C127" s="518" t="s">
        <v>570</v>
      </c>
    </row>
    <row r="128" spans="2:6" hidden="1" outlineLevel="1">
      <c r="B128" s="513" t="s">
        <v>212</v>
      </c>
      <c r="C128" s="425" t="s">
        <v>149</v>
      </c>
      <c r="D128" s="514">
        <v>441072</v>
      </c>
    </row>
    <row r="129" spans="2:6" hidden="1" outlineLevel="1">
      <c r="B129" s="513" t="s">
        <v>212</v>
      </c>
      <c r="C129" s="425" t="s">
        <v>484</v>
      </c>
      <c r="D129" s="522"/>
      <c r="E129" s="522">
        <f>+D128</f>
        <v>441072</v>
      </c>
    </row>
    <row r="130" spans="2:6" hidden="1" outlineLevel="1">
      <c r="C130" s="425" t="s">
        <v>571</v>
      </c>
      <c r="D130" s="514">
        <f>+D128+D129</f>
        <v>441072</v>
      </c>
      <c r="E130" s="514">
        <f>+E128+E129</f>
        <v>441072</v>
      </c>
    </row>
    <row r="131" spans="2:6" hidden="1" outlineLevel="1"/>
    <row r="132" spans="2:6" hidden="1" outlineLevel="1"/>
    <row r="133" spans="2:6" hidden="1" outlineLevel="1">
      <c r="D133" s="514">
        <f>+D120+D114+D105+D91+D79+D74+D65+D53+D37+D29+D20+D13+D43+D125+D130</f>
        <v>57920523</v>
      </c>
      <c r="E133" s="514">
        <f>+E120+E114+E105+E91+E79+E74+E65+E53+E37+E29+E20+E13+E43+E125+E130</f>
        <v>57920523</v>
      </c>
    </row>
    <row r="134" spans="2:6" hidden="1" outlineLevel="1"/>
    <row r="135" spans="2:6" hidden="1" outlineLevel="1" collapsed="1">
      <c r="C135" s="527" t="s">
        <v>572</v>
      </c>
    </row>
    <row r="136" spans="2:6" ht="32.25" hidden="1" customHeight="1" outlineLevel="1">
      <c r="C136" s="535" t="s">
        <v>859</v>
      </c>
      <c r="D136" s="529" t="s">
        <v>216</v>
      </c>
      <c r="E136" s="529" t="s">
        <v>459</v>
      </c>
    </row>
    <row r="137" spans="2:6" hidden="1" outlineLevel="1">
      <c r="C137" s="963" t="s">
        <v>172</v>
      </c>
      <c r="D137" s="964">
        <f>+D94+D82+D77+D68+D56+D40+D32+D23+D16+D4</f>
        <v>4753717</v>
      </c>
      <c r="E137" s="531"/>
    </row>
    <row r="138" spans="2:6" hidden="1" outlineLevel="1">
      <c r="C138" s="963" t="s">
        <v>90</v>
      </c>
      <c r="D138" s="964">
        <f>+D24+D57</f>
        <v>74927</v>
      </c>
      <c r="E138" s="531"/>
    </row>
    <row r="139" spans="2:6" hidden="1" outlineLevel="1">
      <c r="C139" s="963" t="s">
        <v>92</v>
      </c>
      <c r="D139" s="964">
        <f>+D17+D33+D69</f>
        <v>111199</v>
      </c>
      <c r="E139" s="531"/>
    </row>
    <row r="140" spans="2:6" hidden="1" outlineLevel="1">
      <c r="C140" s="963" t="s">
        <v>469</v>
      </c>
      <c r="D140" s="964">
        <f>+D5+D34+D41+D58+D83+D95</f>
        <v>31237644</v>
      </c>
      <c r="E140" s="531"/>
    </row>
    <row r="141" spans="2:6" hidden="1" outlineLevel="1">
      <c r="C141" s="963" t="s">
        <v>574</v>
      </c>
      <c r="D141" s="964">
        <f>+D96</f>
        <v>274690</v>
      </c>
      <c r="E141" s="531"/>
      <c r="F141" s="525">
        <f>-SUM(D137:D141)+E145+E144</f>
        <v>-32468665</v>
      </c>
    </row>
    <row r="142" spans="2:6" hidden="1" outlineLevel="1">
      <c r="C142" s="530" t="s">
        <v>50</v>
      </c>
      <c r="D142" s="531">
        <f>+D18</f>
        <v>1113036</v>
      </c>
      <c r="E142" s="531"/>
    </row>
    <row r="143" spans="2:6" hidden="1" outlineLevel="1">
      <c r="C143" s="530" t="s">
        <v>54</v>
      </c>
      <c r="D143" s="531">
        <f>+D123</f>
        <v>394335</v>
      </c>
      <c r="E143" s="531"/>
    </row>
    <row r="144" spans="2:6" hidden="1" outlineLevel="1">
      <c r="C144" s="963" t="s">
        <v>575</v>
      </c>
      <c r="D144" s="964"/>
      <c r="E144" s="964">
        <f>+E100-82150</f>
        <v>-25218</v>
      </c>
    </row>
    <row r="145" spans="3:6" hidden="1" outlineLevel="1">
      <c r="C145" s="963" t="s">
        <v>576</v>
      </c>
      <c r="D145" s="964"/>
      <c r="E145" s="964">
        <f>+E27-D25-D35+E62-D70+E72+E89+E104+E124-D128-D59+82150</f>
        <v>4008730</v>
      </c>
    </row>
    <row r="146" spans="3:6" hidden="1" outlineLevel="1">
      <c r="C146" s="530" t="s">
        <v>495</v>
      </c>
      <c r="D146" s="531"/>
      <c r="E146" s="531">
        <f>+E11+E28+E36+E42+E63+E73+E78+E88+E103+E129-D26-D61-D71-D87+E19</f>
        <v>34505817</v>
      </c>
    </row>
    <row r="147" spans="3:6" hidden="1" outlineLevel="1">
      <c r="C147" s="530" t="s">
        <v>577</v>
      </c>
      <c r="D147" s="531">
        <f>38489329-37959548</f>
        <v>529781</v>
      </c>
      <c r="E147" s="531"/>
    </row>
    <row r="148" spans="3:6" hidden="1" outlineLevel="1">
      <c r="C148" s="532" t="s">
        <v>497</v>
      </c>
      <c r="D148" s="533">
        <f>SUM(D137:D147)</f>
        <v>38489329</v>
      </c>
      <c r="E148" s="533">
        <f>SUM(E137:E147)</f>
        <v>38489329</v>
      </c>
    </row>
    <row r="149" spans="3:6" hidden="1" outlineLevel="1">
      <c r="C149" s="534"/>
    </row>
    <row r="150" spans="3:6" hidden="1" outlineLevel="1">
      <c r="C150" s="527" t="s">
        <v>578</v>
      </c>
    </row>
    <row r="151" spans="3:6" ht="24.75" hidden="1" outlineLevel="1">
      <c r="C151" s="535" t="s">
        <v>579</v>
      </c>
      <c r="D151" s="529" t="s">
        <v>216</v>
      </c>
      <c r="E151" s="529" t="s">
        <v>459</v>
      </c>
    </row>
    <row r="152" spans="3:6" hidden="1" outlineLevel="1">
      <c r="C152" s="963" t="s">
        <v>580</v>
      </c>
      <c r="D152" s="964">
        <v>1378712</v>
      </c>
      <c r="E152" s="531"/>
      <c r="F152" s="525">
        <f>-E154</f>
        <v>-1138228</v>
      </c>
    </row>
    <row r="153" spans="3:6" hidden="1" outlineLevel="1">
      <c r="C153" s="963" t="s">
        <v>581</v>
      </c>
      <c r="D153" s="964">
        <f>+E154+E155+E156-D152</f>
        <v>1140</v>
      </c>
      <c r="E153" s="531"/>
    </row>
    <row r="154" spans="3:6" hidden="1" outlineLevel="1">
      <c r="C154" s="530" t="s">
        <v>582</v>
      </c>
      <c r="D154" s="531"/>
      <c r="E154" s="531">
        <v>1138228</v>
      </c>
    </row>
    <row r="155" spans="3:6" hidden="1" outlineLevel="1">
      <c r="C155" s="963" t="s">
        <v>576</v>
      </c>
      <c r="D155" s="964"/>
      <c r="E155" s="964">
        <v>201038</v>
      </c>
      <c r="F155" s="525"/>
    </row>
    <row r="156" spans="3:6" hidden="1" outlineLevel="1">
      <c r="C156" s="963" t="s">
        <v>583</v>
      </c>
      <c r="D156" s="964"/>
      <c r="E156" s="964">
        <v>40586</v>
      </c>
    </row>
    <row r="157" spans="3:6" hidden="1" outlineLevel="1">
      <c r="C157" s="511" t="s">
        <v>584</v>
      </c>
      <c r="D157" s="533">
        <f>SUM(D152:D156)</f>
        <v>1379852</v>
      </c>
      <c r="E157" s="533">
        <f>SUM(E152:E156)</f>
        <v>1379852</v>
      </c>
    </row>
    <row r="158" spans="3:6" hidden="1" outlineLevel="1">
      <c r="C158" s="534"/>
    </row>
    <row r="159" spans="3:6" hidden="1" outlineLevel="1">
      <c r="C159" s="527" t="s">
        <v>585</v>
      </c>
    </row>
    <row r="160" spans="3:6" ht="24.75" hidden="1" outlineLevel="1">
      <c r="C160" s="536" t="s">
        <v>586</v>
      </c>
      <c r="D160" s="537" t="s">
        <v>216</v>
      </c>
      <c r="E160" s="529" t="s">
        <v>459</v>
      </c>
    </row>
    <row r="161" spans="3:6" hidden="1" outlineLevel="1">
      <c r="C161" s="538" t="s">
        <v>172</v>
      </c>
      <c r="D161" s="539">
        <v>46283</v>
      </c>
      <c r="E161" s="539"/>
    </row>
    <row r="162" spans="3:6" hidden="1" outlineLevel="1">
      <c r="C162" s="538" t="s">
        <v>469</v>
      </c>
      <c r="D162" s="531">
        <v>9402245</v>
      </c>
      <c r="E162" s="531"/>
    </row>
    <row r="163" spans="3:6" hidden="1" outlineLevel="1">
      <c r="C163" s="538" t="s">
        <v>149</v>
      </c>
      <c r="D163" s="531"/>
      <c r="E163" s="531">
        <v>1775136</v>
      </c>
    </row>
    <row r="164" spans="3:6" hidden="1" outlineLevel="1">
      <c r="C164" s="538" t="s">
        <v>587</v>
      </c>
      <c r="D164" s="531"/>
      <c r="E164" s="531">
        <f>+D161+D162-E163</f>
        <v>7673392</v>
      </c>
    </row>
    <row r="165" spans="3:6" hidden="1" outlineLevel="1">
      <c r="C165" s="532" t="s">
        <v>497</v>
      </c>
      <c r="D165" s="533">
        <f>SUM(D161:D164)</f>
        <v>9448528</v>
      </c>
      <c r="E165" s="533">
        <f>SUM(E161:E164)</f>
        <v>9448528</v>
      </c>
    </row>
    <row r="166" spans="3:6" hidden="1" outlineLevel="1"/>
    <row r="167" spans="3:6" hidden="1" outlineLevel="1">
      <c r="C167" s="527" t="s">
        <v>588</v>
      </c>
    </row>
    <row r="168" spans="3:6" ht="24.75" hidden="1" outlineLevel="1">
      <c r="C168" s="536" t="s">
        <v>589</v>
      </c>
      <c r="D168" s="537" t="s">
        <v>216</v>
      </c>
      <c r="E168" s="529" t="s">
        <v>459</v>
      </c>
    </row>
    <row r="169" spans="3:6" hidden="1" outlineLevel="1">
      <c r="C169" s="538" t="s">
        <v>469</v>
      </c>
      <c r="D169" s="531">
        <v>1188714</v>
      </c>
      <c r="E169" s="531"/>
    </row>
    <row r="170" spans="3:6" hidden="1" outlineLevel="1">
      <c r="C170" s="538" t="s">
        <v>587</v>
      </c>
      <c r="D170" s="531"/>
      <c r="E170" s="531">
        <f>+D169</f>
        <v>1188714</v>
      </c>
      <c r="F170" s="525"/>
    </row>
    <row r="171" spans="3:6" hidden="1" outlineLevel="1">
      <c r="C171" s="532" t="s">
        <v>497</v>
      </c>
      <c r="D171" s="533">
        <f>SUM(D169:D170)</f>
        <v>1188714</v>
      </c>
      <c r="E171" s="533">
        <f>SUM(E169:E170)</f>
        <v>1188714</v>
      </c>
    </row>
    <row r="172" spans="3:6" hidden="1" outlineLevel="1"/>
    <row r="173" spans="3:6" hidden="1" outlineLevel="1">
      <c r="C173" s="527" t="s">
        <v>590</v>
      </c>
    </row>
    <row r="174" spans="3:6" hidden="1" outlineLevel="1">
      <c r="C174" s="536" t="s">
        <v>591</v>
      </c>
      <c r="D174" s="537" t="s">
        <v>216</v>
      </c>
      <c r="E174" s="529" t="s">
        <v>459</v>
      </c>
    </row>
    <row r="175" spans="3:6" hidden="1" outlineLevel="1">
      <c r="C175" s="538" t="s">
        <v>592</v>
      </c>
      <c r="D175" s="531">
        <f>+E177-D176</f>
        <v>72642</v>
      </c>
      <c r="E175" s="531"/>
    </row>
    <row r="176" spans="3:6" hidden="1" outlineLevel="1">
      <c r="C176" s="538" t="s">
        <v>54</v>
      </c>
      <c r="D176" s="531">
        <v>78648</v>
      </c>
      <c r="E176" s="531"/>
    </row>
    <row r="177" spans="2:6" hidden="1" outlineLevel="1">
      <c r="C177" s="965" t="s">
        <v>593</v>
      </c>
      <c r="D177" s="964"/>
      <c r="E177" s="964">
        <v>151290</v>
      </c>
      <c r="F177" s="525">
        <f>+E177</f>
        <v>151290</v>
      </c>
    </row>
    <row r="178" spans="2:6" hidden="1" outlineLevel="1">
      <c r="C178" s="532" t="s">
        <v>497</v>
      </c>
      <c r="D178" s="533">
        <f>SUM(D175:D177)</f>
        <v>151290</v>
      </c>
      <c r="E178" s="533">
        <f>SUM(E175:E177)</f>
        <v>151290</v>
      </c>
    </row>
    <row r="179" spans="2:6" s="534" customFormat="1" ht="12" hidden="1" outlineLevel="1">
      <c r="B179" s="540"/>
      <c r="C179" s="541"/>
      <c r="D179" s="542"/>
      <c r="E179" s="542"/>
    </row>
    <row r="180" spans="2:6" hidden="1" outlineLevel="1">
      <c r="C180" s="527" t="s">
        <v>594</v>
      </c>
      <c r="D180" s="522"/>
      <c r="E180" s="522"/>
    </row>
    <row r="181" spans="2:6" ht="24.75" hidden="1" outlineLevel="1">
      <c r="C181" s="536" t="s">
        <v>595</v>
      </c>
      <c r="D181" s="537" t="s">
        <v>216</v>
      </c>
      <c r="E181" s="529" t="s">
        <v>459</v>
      </c>
    </row>
    <row r="182" spans="2:6" hidden="1" outlineLevel="1">
      <c r="C182" s="538" t="s">
        <v>596</v>
      </c>
      <c r="D182" s="531">
        <v>1260047</v>
      </c>
      <c r="E182" s="531"/>
    </row>
    <row r="183" spans="2:6" hidden="1" outlineLevel="1">
      <c r="C183" s="538" t="s">
        <v>576</v>
      </c>
      <c r="D183" s="531"/>
      <c r="E183" s="531">
        <f>+D182</f>
        <v>1260047</v>
      </c>
    </row>
    <row r="184" spans="2:6" hidden="1" outlineLevel="1">
      <c r="C184" s="532" t="s">
        <v>497</v>
      </c>
      <c r="D184" s="533">
        <f>SUM(D182:D183)</f>
        <v>1260047</v>
      </c>
      <c r="E184" s="533">
        <f>SUM(E182:E183)</f>
        <v>1260047</v>
      </c>
    </row>
    <row r="185" spans="2:6" hidden="1" outlineLevel="1">
      <c r="C185" s="534"/>
    </row>
    <row r="186" spans="2:6" hidden="1" outlineLevel="1">
      <c r="C186" s="527" t="s">
        <v>597</v>
      </c>
      <c r="D186" s="522"/>
      <c r="E186" s="522"/>
    </row>
    <row r="187" spans="2:6" ht="24.75" hidden="1" outlineLevel="1">
      <c r="C187" s="536" t="s">
        <v>598</v>
      </c>
      <c r="D187" s="537" t="s">
        <v>216</v>
      </c>
      <c r="E187" s="529" t="s">
        <v>459</v>
      </c>
    </row>
    <row r="188" spans="2:6" hidden="1" outlineLevel="1">
      <c r="C188" s="538" t="s">
        <v>596</v>
      </c>
      <c r="D188" s="531">
        <f>-Patrimonio!E7</f>
        <v>3200</v>
      </c>
      <c r="E188" s="531"/>
    </row>
    <row r="189" spans="2:6" hidden="1" outlineLevel="1">
      <c r="C189" s="538" t="s">
        <v>599</v>
      </c>
      <c r="D189" s="531"/>
      <c r="E189" s="531">
        <f>+D188</f>
        <v>3200</v>
      </c>
    </row>
    <row r="190" spans="2:6" hidden="1" outlineLevel="1">
      <c r="C190" s="532" t="s">
        <v>497</v>
      </c>
      <c r="D190" s="533">
        <f>SUM(D188:D189)</f>
        <v>3200</v>
      </c>
      <c r="E190" s="533">
        <f>SUM(E188:E189)</f>
        <v>3200</v>
      </c>
    </row>
    <row r="191" spans="2:6" hidden="1" outlineLevel="1">
      <c r="C191" s="534"/>
    </row>
    <row r="192" spans="2:6" hidden="1" outlineLevel="1">
      <c r="C192" s="543" t="s">
        <v>600</v>
      </c>
    </row>
    <row r="193" spans="3:7" ht="24.75" hidden="1" outlineLevel="1">
      <c r="C193" s="438" t="s">
        <v>488</v>
      </c>
      <c r="D193" s="422"/>
      <c r="E193" s="422"/>
    </row>
    <row r="194" spans="3:7" hidden="1" outlineLevel="1">
      <c r="C194" s="440" t="s">
        <v>489</v>
      </c>
      <c r="D194" s="441">
        <v>4805916</v>
      </c>
      <c r="E194" s="411"/>
    </row>
    <row r="195" spans="3:7" hidden="1" outlineLevel="1">
      <c r="C195" s="440" t="s">
        <v>80</v>
      </c>
      <c r="D195" s="441">
        <v>6382377</v>
      </c>
      <c r="E195" s="411"/>
    </row>
    <row r="196" spans="3:7" hidden="1" outlineLevel="1">
      <c r="C196" s="958" t="s">
        <v>469</v>
      </c>
      <c r="D196" s="959">
        <v>3608585</v>
      </c>
      <c r="E196" s="411"/>
      <c r="F196" s="525">
        <f>-D196-D197-D198</f>
        <v>-4568947</v>
      </c>
      <c r="G196" s="525"/>
    </row>
    <row r="197" spans="3:7" hidden="1" outlineLevel="1">
      <c r="C197" s="958" t="s">
        <v>149</v>
      </c>
      <c r="D197" s="959">
        <f>+'Saldos interco.'!C24</f>
        <v>950362</v>
      </c>
      <c r="E197" s="411"/>
      <c r="G197" s="525"/>
    </row>
    <row r="198" spans="3:7" hidden="1" outlineLevel="1">
      <c r="C198" s="958" t="s">
        <v>172</v>
      </c>
      <c r="D198" s="959">
        <f>+'Saldos interco.'!C50</f>
        <v>10000</v>
      </c>
      <c r="E198" s="411"/>
    </row>
    <row r="199" spans="3:7" hidden="1" outlineLevel="1">
      <c r="C199" s="850" t="s">
        <v>464</v>
      </c>
      <c r="D199" s="851">
        <v>96880</v>
      </c>
      <c r="E199" s="849"/>
    </row>
    <row r="200" spans="3:7" hidden="1" outlineLevel="1">
      <c r="C200" s="440" t="s">
        <v>491</v>
      </c>
      <c r="D200" s="411"/>
      <c r="E200" s="441">
        <v>12906577</v>
      </c>
    </row>
    <row r="201" spans="3:7" hidden="1" outlineLevel="1">
      <c r="C201" s="440" t="s">
        <v>493</v>
      </c>
      <c r="D201" s="411"/>
      <c r="E201" s="441">
        <v>156308</v>
      </c>
    </row>
    <row r="202" spans="3:7" hidden="1" outlineLevel="1">
      <c r="C202" s="960" t="s">
        <v>494</v>
      </c>
      <c r="D202" s="897"/>
      <c r="E202" s="961">
        <v>1068329</v>
      </c>
    </row>
    <row r="203" spans="3:7" hidden="1" outlineLevel="1">
      <c r="C203" s="960" t="s">
        <v>495</v>
      </c>
      <c r="D203" s="897"/>
      <c r="E203" s="961">
        <f>+'Saldos interco.'!D55</f>
        <v>1193125</v>
      </c>
    </row>
    <row r="204" spans="3:7" hidden="1" outlineLevel="1">
      <c r="C204" s="960" t="s">
        <v>496</v>
      </c>
      <c r="D204" s="897"/>
      <c r="E204" s="962">
        <v>529781</v>
      </c>
    </row>
    <row r="205" spans="3:7" hidden="1" outlineLevel="1">
      <c r="C205" s="445" t="s">
        <v>497</v>
      </c>
      <c r="D205" s="446">
        <f>SUM(D194:D204)</f>
        <v>15854120</v>
      </c>
      <c r="E205" s="446">
        <f>SUM(E194:E204)</f>
        <v>15854120</v>
      </c>
      <c r="F205" s="525">
        <f>+D205-E205</f>
        <v>0</v>
      </c>
    </row>
    <row r="206" spans="3:7" hidden="1" outlineLevel="1">
      <c r="C206" s="414"/>
      <c r="D206" s="544"/>
      <c r="E206" s="544"/>
      <c r="F206" s="525"/>
    </row>
    <row r="207" spans="3:7" hidden="1" outlineLevel="1">
      <c r="C207" s="527" t="s">
        <v>601</v>
      </c>
      <c r="D207" s="522"/>
      <c r="E207" s="522"/>
      <c r="F207" s="525"/>
    </row>
    <row r="208" spans="3:7" hidden="1" outlineLevel="1">
      <c r="C208" s="536" t="s">
        <v>602</v>
      </c>
      <c r="D208" s="537" t="s">
        <v>216</v>
      </c>
      <c r="E208" s="529" t="s">
        <v>459</v>
      </c>
      <c r="F208" s="525"/>
    </row>
    <row r="209" spans="3:6" hidden="1" outlineLevel="1">
      <c r="C209" s="538" t="s">
        <v>516</v>
      </c>
      <c r="D209" s="531">
        <f>547903*0.49</f>
        <v>268472.46999999997</v>
      </c>
      <c r="E209" s="531"/>
      <c r="F209" s="525"/>
    </row>
    <row r="210" spans="3:6" hidden="1" outlineLevel="1">
      <c r="C210" s="965" t="s">
        <v>603</v>
      </c>
      <c r="D210" s="964"/>
      <c r="E210" s="964">
        <f>+D209</f>
        <v>268472.46999999997</v>
      </c>
      <c r="F210" s="525">
        <f>+E210</f>
        <v>268472.46999999997</v>
      </c>
    </row>
    <row r="211" spans="3:6" hidden="1" outlineLevel="1">
      <c r="C211" s="532" t="s">
        <v>497</v>
      </c>
      <c r="D211" s="533">
        <f>SUM(D209:D210)</f>
        <v>268472.46999999997</v>
      </c>
      <c r="E211" s="533">
        <f>SUM(E209:E210)</f>
        <v>268472.46999999997</v>
      </c>
      <c r="F211" s="525">
        <f>+D211-E211</f>
        <v>0</v>
      </c>
    </row>
    <row r="212" spans="3:6" hidden="1" outlineLevel="1">
      <c r="C212" s="534"/>
    </row>
    <row r="213" spans="3:6" hidden="1" outlineLevel="1">
      <c r="C213" s="527" t="s">
        <v>604</v>
      </c>
      <c r="D213" s="522"/>
      <c r="E213" s="522"/>
      <c r="F213" s="525"/>
    </row>
    <row r="214" spans="3:6" ht="24.75" hidden="1" outlineLevel="1">
      <c r="C214" s="536" t="s">
        <v>605</v>
      </c>
      <c r="D214" s="537" t="s">
        <v>216</v>
      </c>
      <c r="E214" s="529" t="s">
        <v>459</v>
      </c>
      <c r="F214" s="525"/>
    </row>
    <row r="215" spans="3:6" hidden="1" outlineLevel="1">
      <c r="C215" s="538" t="s">
        <v>606</v>
      </c>
      <c r="D215" s="531">
        <f>253847+252910</f>
        <v>506757</v>
      </c>
      <c r="E215" s="531"/>
      <c r="F215" s="525"/>
    </row>
    <row r="216" spans="3:6" hidden="1" outlineLevel="1">
      <c r="C216" s="538" t="s">
        <v>822</v>
      </c>
      <c r="D216" s="531"/>
      <c r="E216" s="531">
        <f>+D215</f>
        <v>506757</v>
      </c>
      <c r="F216" s="525"/>
    </row>
    <row r="217" spans="3:6" hidden="1" outlineLevel="1">
      <c r="C217" s="532" t="s">
        <v>497</v>
      </c>
      <c r="D217" s="533">
        <f>SUM(D215:D216)</f>
        <v>506757</v>
      </c>
      <c r="E217" s="533">
        <f>SUM(E215:E216)</f>
        <v>506757</v>
      </c>
      <c r="F217" s="525">
        <f>+D217-E217</f>
        <v>0</v>
      </c>
    </row>
    <row r="218" spans="3:6" hidden="1" outlineLevel="1">
      <c r="C218" s="534"/>
      <c r="D218" s="542"/>
      <c r="E218" s="542"/>
      <c r="F218" s="545"/>
    </row>
    <row r="219" spans="3:6" hidden="1" outlineLevel="1">
      <c r="C219" s="527" t="s">
        <v>607</v>
      </c>
      <c r="D219" s="522"/>
      <c r="E219" s="522"/>
      <c r="F219" s="525"/>
    </row>
    <row r="220" spans="3:6" ht="24.75" hidden="1" outlineLevel="1">
      <c r="C220" s="536" t="s">
        <v>608</v>
      </c>
      <c r="D220" s="537" t="s">
        <v>216</v>
      </c>
      <c r="E220" s="529" t="s">
        <v>459</v>
      </c>
      <c r="F220" s="525"/>
    </row>
    <row r="221" spans="3:6" hidden="1" outlineLevel="1">
      <c r="C221" s="538" t="s">
        <v>609</v>
      </c>
      <c r="D221" s="531">
        <v>122179</v>
      </c>
      <c r="E221" s="531"/>
      <c r="F221" s="525"/>
    </row>
    <row r="222" spans="3:6" hidden="1" outlineLevel="1">
      <c r="C222" s="538" t="s">
        <v>610</v>
      </c>
      <c r="D222" s="531"/>
      <c r="E222" s="531">
        <v>3200</v>
      </c>
      <c r="F222" s="525"/>
    </row>
    <row r="223" spans="3:6" hidden="1" outlineLevel="1">
      <c r="C223" s="538" t="s">
        <v>599</v>
      </c>
      <c r="D223" s="531"/>
      <c r="E223" s="531">
        <v>6800</v>
      </c>
      <c r="F223" s="525"/>
    </row>
    <row r="224" spans="3:6" hidden="1" outlineLevel="1">
      <c r="C224" s="538" t="s">
        <v>611</v>
      </c>
      <c r="D224" s="531"/>
      <c r="E224" s="531">
        <v>74427</v>
      </c>
      <c r="F224" s="525"/>
    </row>
    <row r="225" spans="3:7" hidden="1" outlineLevel="1">
      <c r="C225" s="538" t="s">
        <v>612</v>
      </c>
      <c r="D225" s="531"/>
      <c r="E225" s="531">
        <v>1226</v>
      </c>
      <c r="F225" s="525"/>
    </row>
    <row r="226" spans="3:7" hidden="1" outlineLevel="1">
      <c r="C226" s="538" t="s">
        <v>613</v>
      </c>
      <c r="D226" s="531"/>
      <c r="E226" s="531">
        <f>34763+1763</f>
        <v>36526</v>
      </c>
      <c r="G226" s="525">
        <f>+E226-D221</f>
        <v>-85653</v>
      </c>
    </row>
    <row r="227" spans="3:7" hidden="1" outlineLevel="1">
      <c r="C227" s="532" t="s">
        <v>497</v>
      </c>
      <c r="D227" s="533">
        <f>SUM(D221:D226)</f>
        <v>122179</v>
      </c>
      <c r="E227" s="533">
        <f>SUM(E221:E226)</f>
        <v>122179</v>
      </c>
      <c r="F227" s="525"/>
    </row>
    <row r="228" spans="3:7" hidden="1" outlineLevel="1">
      <c r="C228" s="534"/>
      <c r="D228" s="542"/>
      <c r="E228" s="542"/>
      <c r="F228" s="545"/>
    </row>
    <row r="229" spans="3:7" hidden="1" outlineLevel="1">
      <c r="C229" s="527" t="s">
        <v>614</v>
      </c>
      <c r="D229" s="522"/>
      <c r="E229" s="522"/>
      <c r="F229" s="525"/>
    </row>
    <row r="230" spans="3:7" ht="24.75" hidden="1" outlineLevel="1">
      <c r="C230" s="536" t="s">
        <v>615</v>
      </c>
      <c r="D230" s="537" t="s">
        <v>216</v>
      </c>
      <c r="E230" s="529" t="s">
        <v>459</v>
      </c>
      <c r="F230" s="525"/>
    </row>
    <row r="231" spans="3:7" hidden="1" outlineLevel="1">
      <c r="C231" s="538" t="s">
        <v>54</v>
      </c>
      <c r="D231" s="531">
        <v>50000</v>
      </c>
      <c r="E231" s="531"/>
      <c r="F231" s="525"/>
    </row>
    <row r="232" spans="3:7" hidden="1" outlineLevel="1">
      <c r="C232" s="965" t="s">
        <v>616</v>
      </c>
      <c r="D232" s="964"/>
      <c r="E232" s="964">
        <f>+D231</f>
        <v>50000</v>
      </c>
      <c r="F232" s="525">
        <f>+E232</f>
        <v>50000</v>
      </c>
    </row>
    <row r="233" spans="3:7" hidden="1" outlineLevel="1">
      <c r="C233" s="532" t="s">
        <v>497</v>
      </c>
      <c r="D233" s="533">
        <f>SUM(D231:D232)</f>
        <v>50000</v>
      </c>
      <c r="E233" s="533">
        <f>SUM(E231:E232)</f>
        <v>50000</v>
      </c>
      <c r="F233" s="525">
        <f>+D233-E233</f>
        <v>0</v>
      </c>
    </row>
    <row r="234" spans="3:7" hidden="1" outlineLevel="1">
      <c r="C234" s="534"/>
      <c r="D234" s="542"/>
      <c r="E234" s="542"/>
      <c r="F234" s="525"/>
    </row>
    <row r="235" spans="3:7" hidden="1" outlineLevel="1">
      <c r="C235" s="527" t="s">
        <v>617</v>
      </c>
      <c r="D235" s="522"/>
      <c r="E235" s="522"/>
      <c r="F235" s="525"/>
    </row>
    <row r="236" spans="3:7" ht="24.75" hidden="1" outlineLevel="1">
      <c r="C236" s="536" t="s">
        <v>818</v>
      </c>
      <c r="D236" s="537" t="s">
        <v>216</v>
      </c>
      <c r="E236" s="529" t="s">
        <v>459</v>
      </c>
      <c r="F236" s="525"/>
    </row>
    <row r="237" spans="3:7" hidden="1" outlineLevel="1">
      <c r="C237" s="538" t="s">
        <v>464</v>
      </c>
      <c r="D237" s="531">
        <v>696631</v>
      </c>
      <c r="E237" s="531"/>
      <c r="F237" s="525"/>
    </row>
    <row r="238" spans="3:7" hidden="1" outlineLevel="1">
      <c r="C238" s="538" t="s">
        <v>618</v>
      </c>
      <c r="D238" s="531"/>
      <c r="E238" s="531">
        <f>+D237</f>
        <v>696631</v>
      </c>
      <c r="F238" s="525"/>
    </row>
    <row r="239" spans="3:7" hidden="1" outlineLevel="1">
      <c r="C239" s="532" t="s">
        <v>497</v>
      </c>
      <c r="D239" s="533">
        <f>SUM(D237:D238)</f>
        <v>696631</v>
      </c>
      <c r="E239" s="533">
        <f>SUM(E237:E238)</f>
        <v>696631</v>
      </c>
      <c r="F239" s="525">
        <f>+D239-E239</f>
        <v>0</v>
      </c>
    </row>
    <row r="240" spans="3:7" hidden="1" outlineLevel="1">
      <c r="C240" s="534"/>
      <c r="D240" s="542"/>
      <c r="E240" s="542"/>
      <c r="F240" s="545"/>
    </row>
    <row r="241" spans="2:6" hidden="1" outlineLevel="1">
      <c r="C241" s="534"/>
      <c r="D241" s="533">
        <f>+D184+D171+D165+D157+D148+D205+D190+D211+D217+D233+D239</f>
        <v>69145650.469999999</v>
      </c>
      <c r="E241" s="533">
        <f>+E184+E171+E165+E157+E148+E205+E190+E211+E217+E233+E239</f>
        <v>69145650.469999999</v>
      </c>
      <c r="F241" s="545">
        <f>SUM(F137:F239)</f>
        <v>-37706077.530000001</v>
      </c>
    </row>
    <row r="242" spans="2:6" collapsed="1"/>
    <row r="243" spans="2:6">
      <c r="B243" s="546" t="s">
        <v>619</v>
      </c>
      <c r="D243" s="547"/>
      <c r="E243" s="547"/>
    </row>
    <row r="244" spans="2:6">
      <c r="C244" s="527" t="s">
        <v>572</v>
      </c>
      <c r="D244" s="547"/>
      <c r="E244" s="547"/>
    </row>
    <row r="245" spans="2:6">
      <c r="C245" s="528" t="s">
        <v>573</v>
      </c>
      <c r="D245" s="529" t="s">
        <v>216</v>
      </c>
      <c r="E245" s="529" t="s">
        <v>459</v>
      </c>
    </row>
    <row r="246" spans="2:6">
      <c r="C246" s="845" t="s">
        <v>172</v>
      </c>
      <c r="D246" s="846">
        <f>D137-E223-E189</f>
        <v>4743717</v>
      </c>
      <c r="E246" s="846"/>
    </row>
    <row r="247" spans="2:6">
      <c r="C247" s="845" t="s">
        <v>90</v>
      </c>
      <c r="D247" s="846">
        <f>D138-E224</f>
        <v>500</v>
      </c>
      <c r="E247" s="846"/>
    </row>
    <row r="248" spans="2:6">
      <c r="C248" s="845" t="s">
        <v>92</v>
      </c>
      <c r="D248" s="846">
        <f>D139-E225</f>
        <v>109973</v>
      </c>
      <c r="E248" s="846"/>
    </row>
    <row r="249" spans="2:6">
      <c r="C249" s="845" t="s">
        <v>469</v>
      </c>
      <c r="D249" s="846">
        <f>+D140</f>
        <v>31237644</v>
      </c>
      <c r="E249" s="846"/>
    </row>
    <row r="250" spans="2:6">
      <c r="C250" s="845" t="s">
        <v>574</v>
      </c>
      <c r="D250" s="846">
        <f>D141+D152-E177</f>
        <v>1502112</v>
      </c>
      <c r="E250" s="846"/>
    </row>
    <row r="251" spans="2:6">
      <c r="C251" s="845" t="s">
        <v>50</v>
      </c>
      <c r="D251" s="846">
        <f>D142-E154+D175</f>
        <v>47450</v>
      </c>
      <c r="E251" s="846"/>
    </row>
    <row r="252" spans="2:6">
      <c r="C252" s="845" t="s">
        <v>54</v>
      </c>
      <c r="D252" s="846">
        <f>D143+D176</f>
        <v>472983</v>
      </c>
      <c r="E252" s="846"/>
    </row>
    <row r="253" spans="2:6">
      <c r="C253" s="845" t="s">
        <v>823</v>
      </c>
      <c r="D253" s="846">
        <v>25218</v>
      </c>
      <c r="E253" s="846"/>
    </row>
    <row r="254" spans="2:6">
      <c r="C254" s="845" t="s">
        <v>821</v>
      </c>
      <c r="D254" s="846"/>
      <c r="E254" s="846">
        <f>E145+E155+E156-D153+182819</f>
        <v>4432033</v>
      </c>
    </row>
    <row r="255" spans="2:6">
      <c r="C255" s="530" t="s">
        <v>495</v>
      </c>
      <c r="D255" s="548"/>
      <c r="E255" s="548">
        <f>34505817-268472</f>
        <v>34237345</v>
      </c>
    </row>
    <row r="256" spans="2:6">
      <c r="C256" s="845" t="s">
        <v>577</v>
      </c>
      <c r="D256" s="846">
        <v>529781</v>
      </c>
      <c r="E256" s="548"/>
    </row>
    <row r="257" spans="3:6">
      <c r="C257" s="532" t="s">
        <v>497</v>
      </c>
      <c r="D257" s="549">
        <f>SUM(D246:D256)</f>
        <v>38669378</v>
      </c>
      <c r="E257" s="549">
        <f>SUM(E246:E256)</f>
        <v>38669378</v>
      </c>
      <c r="F257" s="525">
        <f>+D257-E257</f>
        <v>0</v>
      </c>
    </row>
    <row r="258" spans="3:6">
      <c r="D258" s="547"/>
      <c r="E258" s="547"/>
    </row>
    <row r="259" spans="3:6">
      <c r="C259" s="527" t="s">
        <v>578</v>
      </c>
      <c r="D259" s="547"/>
      <c r="E259" s="547"/>
    </row>
    <row r="260" spans="3:6" ht="24.75">
      <c r="C260" s="536" t="s">
        <v>586</v>
      </c>
      <c r="D260" s="537" t="s">
        <v>216</v>
      </c>
      <c r="E260" s="529" t="s">
        <v>459</v>
      </c>
    </row>
    <row r="261" spans="3:6">
      <c r="C261" s="538" t="s">
        <v>172</v>
      </c>
      <c r="D261" s="550">
        <f>D161</f>
        <v>46283</v>
      </c>
      <c r="E261" s="550">
        <f>E161</f>
        <v>0</v>
      </c>
    </row>
    <row r="262" spans="3:6">
      <c r="C262" s="538" t="s">
        <v>469</v>
      </c>
      <c r="D262" s="548">
        <f>D162+D169</f>
        <v>10590959</v>
      </c>
      <c r="E262" s="548">
        <f>E162+E169</f>
        <v>0</v>
      </c>
    </row>
    <row r="263" spans="3:6">
      <c r="C263" s="538" t="s">
        <v>837</v>
      </c>
      <c r="D263" s="548">
        <f>D163+D183</f>
        <v>0</v>
      </c>
      <c r="E263" s="548">
        <f>E163+E183</f>
        <v>3035183</v>
      </c>
    </row>
    <row r="264" spans="3:6">
      <c r="C264" s="538" t="s">
        <v>846</v>
      </c>
      <c r="D264" s="548"/>
      <c r="E264" s="548">
        <f>E164+E170-D182</f>
        <v>7602059</v>
      </c>
      <c r="F264" s="525"/>
    </row>
    <row r="265" spans="3:6">
      <c r="C265" s="532" t="s">
        <v>497</v>
      </c>
      <c r="D265" s="549">
        <f>SUM(D261:D264)</f>
        <v>10637242</v>
      </c>
      <c r="E265" s="549">
        <f>SUM(E261:E264)</f>
        <v>10637242</v>
      </c>
      <c r="F265" s="525">
        <f>+D265-E265</f>
        <v>0</v>
      </c>
    </row>
    <row r="267" spans="3:6">
      <c r="C267" s="847" t="s">
        <v>585</v>
      </c>
      <c r="D267" s="522"/>
      <c r="E267" s="522"/>
      <c r="F267" s="525"/>
    </row>
    <row r="268" spans="3:6" ht="24.75">
      <c r="C268" s="536" t="s">
        <v>865</v>
      </c>
      <c r="D268" s="537" t="s">
        <v>216</v>
      </c>
      <c r="E268" s="529" t="s">
        <v>459</v>
      </c>
      <c r="F268" s="525"/>
    </row>
    <row r="269" spans="3:6">
      <c r="C269" s="538" t="s">
        <v>596</v>
      </c>
      <c r="D269" s="531">
        <v>698311</v>
      </c>
      <c r="E269" s="531"/>
      <c r="F269" s="525"/>
    </row>
    <row r="270" spans="3:6">
      <c r="C270" s="538" t="s">
        <v>866</v>
      </c>
      <c r="D270" s="531"/>
      <c r="E270" s="531">
        <f>+D269</f>
        <v>698311</v>
      </c>
      <c r="F270" s="525"/>
    </row>
    <row r="271" spans="3:6">
      <c r="C271" s="532" t="s">
        <v>497</v>
      </c>
      <c r="D271" s="533">
        <f>SUM(D269:D270)</f>
        <v>698311</v>
      </c>
      <c r="E271" s="533">
        <f>SUM(E269:E270)</f>
        <v>698311</v>
      </c>
      <c r="F271" s="525">
        <f>+D271-E271</f>
        <v>0</v>
      </c>
    </row>
    <row r="272" spans="3:6">
      <c r="C272" s="534"/>
      <c r="D272" s="542"/>
      <c r="E272" s="542"/>
      <c r="F272" s="525"/>
    </row>
    <row r="273" spans="3:6">
      <c r="C273" s="847" t="s">
        <v>588</v>
      </c>
      <c r="D273" s="522"/>
      <c r="E273" s="522"/>
      <c r="F273" s="525"/>
    </row>
    <row r="274" spans="3:6" ht="24.75">
      <c r="C274" s="536" t="s">
        <v>819</v>
      </c>
      <c r="D274" s="537" t="s">
        <v>216</v>
      </c>
      <c r="E274" s="529" t="s">
        <v>459</v>
      </c>
      <c r="F274" s="525"/>
    </row>
    <row r="275" spans="3:6">
      <c r="C275" s="538" t="s">
        <v>149</v>
      </c>
      <c r="D275" s="531">
        <v>2534340</v>
      </c>
      <c r="E275" s="531"/>
      <c r="F275" s="525"/>
    </row>
    <row r="276" spans="3:6">
      <c r="C276" s="538" t="s">
        <v>820</v>
      </c>
      <c r="D276" s="531"/>
      <c r="E276" s="531">
        <f>+D275</f>
        <v>2534340</v>
      </c>
      <c r="F276" s="525"/>
    </row>
    <row r="277" spans="3:6">
      <c r="C277" s="532" t="s">
        <v>497</v>
      </c>
      <c r="D277" s="533">
        <f>SUM(D275:D276)</f>
        <v>2534340</v>
      </c>
      <c r="E277" s="533">
        <f>SUM(E275:E276)</f>
        <v>2534340</v>
      </c>
      <c r="F277" s="525">
        <f>+D277-E277</f>
        <v>0</v>
      </c>
    </row>
    <row r="278" spans="3:6">
      <c r="C278" s="534"/>
      <c r="D278" s="542"/>
      <c r="E278" s="542"/>
      <c r="F278" s="525"/>
    </row>
    <row r="279" spans="3:6">
      <c r="C279" s="847" t="s">
        <v>590</v>
      </c>
      <c r="D279" s="522"/>
      <c r="E279" s="522"/>
      <c r="F279" s="525"/>
    </row>
    <row r="280" spans="3:6" ht="24.75">
      <c r="C280" s="536" t="s">
        <v>848</v>
      </c>
      <c r="D280" s="537" t="s">
        <v>216</v>
      </c>
      <c r="E280" s="529" t="s">
        <v>459</v>
      </c>
      <c r="F280" s="525"/>
    </row>
    <row r="281" spans="3:6">
      <c r="C281" s="538" t="s">
        <v>90</v>
      </c>
      <c r="D281" s="531">
        <v>104043</v>
      </c>
      <c r="E281" s="531"/>
      <c r="F281" s="525"/>
    </row>
    <row r="282" spans="3:6">
      <c r="C282" s="538" t="s">
        <v>849</v>
      </c>
      <c r="D282" s="531">
        <v>78647</v>
      </c>
      <c r="E282" s="531"/>
      <c r="F282" s="525"/>
    </row>
    <row r="283" spans="3:6">
      <c r="C283" s="538" t="s">
        <v>850</v>
      </c>
      <c r="D283" s="531">
        <v>2008798</v>
      </c>
      <c r="E283" s="531"/>
      <c r="F283" s="525"/>
    </row>
    <row r="284" spans="3:6">
      <c r="C284" s="859" t="s">
        <v>582</v>
      </c>
      <c r="D284" s="860"/>
      <c r="E284" s="860">
        <f>2081441+6004</f>
        <v>2087445</v>
      </c>
      <c r="F284" s="525"/>
    </row>
    <row r="285" spans="3:6">
      <c r="C285" s="538" t="s">
        <v>821</v>
      </c>
      <c r="D285" s="531"/>
      <c r="E285" s="531">
        <f>+D281</f>
        <v>104043</v>
      </c>
      <c r="F285" s="525"/>
    </row>
    <row r="286" spans="3:6">
      <c r="C286" s="532" t="s">
        <v>497</v>
      </c>
      <c r="D286" s="533">
        <f>SUM(D281:D285)</f>
        <v>2191488</v>
      </c>
      <c r="E286" s="533">
        <f>SUM(E281:E285)</f>
        <v>2191488</v>
      </c>
      <c r="F286" s="525">
        <f>+D286-E286</f>
        <v>0</v>
      </c>
    </row>
    <row r="287" spans="3:6">
      <c r="C287" s="534"/>
      <c r="D287" s="542"/>
      <c r="E287" s="542"/>
      <c r="F287" s="525"/>
    </row>
    <row r="288" spans="3:6">
      <c r="C288" s="847" t="s">
        <v>594</v>
      </c>
      <c r="D288" s="522"/>
      <c r="E288" s="522"/>
      <c r="F288" s="525"/>
    </row>
    <row r="289" spans="3:6" ht="24.75">
      <c r="C289" s="536" t="s">
        <v>851</v>
      </c>
      <c r="D289" s="537" t="s">
        <v>216</v>
      </c>
      <c r="E289" s="529" t="s">
        <v>459</v>
      </c>
      <c r="F289" s="525"/>
    </row>
    <row r="290" spans="3:6">
      <c r="C290" s="976" t="s">
        <v>54</v>
      </c>
      <c r="D290" s="863">
        <v>50000</v>
      </c>
      <c r="E290" s="531"/>
      <c r="F290" s="525"/>
    </row>
    <row r="291" spans="3:6">
      <c r="C291" s="538" t="s">
        <v>821</v>
      </c>
      <c r="D291" s="531"/>
      <c r="E291" s="531">
        <f>+D290</f>
        <v>50000</v>
      </c>
      <c r="F291" s="525"/>
    </row>
    <row r="292" spans="3:6">
      <c r="C292" s="532" t="s">
        <v>497</v>
      </c>
      <c r="D292" s="533">
        <f>SUM(D290:D291)</f>
        <v>50000</v>
      </c>
      <c r="E292" s="533">
        <f>SUM(E290:E291)</f>
        <v>50000</v>
      </c>
      <c r="F292" s="525">
        <f>+D292-E292</f>
        <v>0</v>
      </c>
    </row>
    <row r="293" spans="3:6">
      <c r="C293" s="534"/>
      <c r="D293" s="542"/>
      <c r="E293" s="542"/>
      <c r="F293" s="525"/>
    </row>
    <row r="294" spans="3:6">
      <c r="C294" s="847" t="s">
        <v>597</v>
      </c>
      <c r="D294" s="522"/>
      <c r="E294" s="522"/>
      <c r="F294" s="525"/>
    </row>
    <row r="295" spans="3:6" ht="24.75">
      <c r="C295" s="536" t="s">
        <v>860</v>
      </c>
      <c r="D295" s="537" t="s">
        <v>216</v>
      </c>
      <c r="E295" s="529" t="s">
        <v>459</v>
      </c>
      <c r="F295" s="525"/>
    </row>
    <row r="296" spans="3:6">
      <c r="C296" s="965" t="s">
        <v>701</v>
      </c>
      <c r="D296" s="964">
        <f>+D196</f>
        <v>3608585</v>
      </c>
      <c r="E296" s="531"/>
      <c r="F296" s="525"/>
    </row>
    <row r="297" spans="3:6">
      <c r="C297" s="538" t="s">
        <v>495</v>
      </c>
      <c r="D297" s="531"/>
      <c r="E297" s="531">
        <f>+D296</f>
        <v>3608585</v>
      </c>
      <c r="F297" s="525"/>
    </row>
    <row r="298" spans="3:6">
      <c r="C298" s="532" t="s">
        <v>497</v>
      </c>
      <c r="D298" s="533">
        <f>SUM(D296:D297)</f>
        <v>3608585</v>
      </c>
      <c r="E298" s="533">
        <f>SUM(E296:E297)</f>
        <v>3608585</v>
      </c>
      <c r="F298" s="525">
        <f>+D298-E298</f>
        <v>0</v>
      </c>
    </row>
    <row r="299" spans="3:6">
      <c r="C299" s="534"/>
      <c r="F299" s="525"/>
    </row>
    <row r="300" spans="3:6">
      <c r="C300" s="543" t="s">
        <v>600</v>
      </c>
    </row>
    <row r="301" spans="3:6" ht="24.75">
      <c r="C301" s="438" t="s">
        <v>861</v>
      </c>
      <c r="D301" s="422"/>
      <c r="E301" s="422"/>
    </row>
    <row r="302" spans="3:6">
      <c r="C302" s="440" t="s">
        <v>489</v>
      </c>
      <c r="D302" s="441">
        <f>+'Saldos interco.'!C8+'Saldos interco.'!C17+'Saldos interco.'!C51+'Saldos interco.'!C65</f>
        <v>651898</v>
      </c>
      <c r="E302" s="411"/>
    </row>
    <row r="303" spans="3:6">
      <c r="C303" s="440" t="s">
        <v>80</v>
      </c>
      <c r="D303" s="441">
        <f>+'Saldos interco.'!C9+'Saldos interco.'!C16+'Saldos interco.'!C15+'Saldos interco.'!C31+'Saldos interco.'!C40+'Saldos interco.'!C53+'Saldos interco.'!C60</f>
        <v>8361492</v>
      </c>
      <c r="E303" s="411"/>
    </row>
    <row r="304" spans="3:6">
      <c r="C304" s="440" t="s">
        <v>863</v>
      </c>
      <c r="D304" s="441">
        <f>+'Saldos interco.'!C41+'Saldos interco.'!C42</f>
        <v>858829</v>
      </c>
      <c r="E304" s="411"/>
    </row>
    <row r="305" spans="3:6">
      <c r="C305" s="960" t="s">
        <v>172</v>
      </c>
      <c r="D305" s="961">
        <f>+'Saldos interco.'!C50</f>
        <v>10000</v>
      </c>
      <c r="E305" s="897"/>
    </row>
    <row r="306" spans="3:6">
      <c r="C306" s="850" t="s">
        <v>483</v>
      </c>
      <c r="D306" s="849">
        <f>+'Saldos interco.'!C54+'Saldos interco.'!C66-'Saldos interco.'!D25-'Saldos interco.'!D33</f>
        <v>662638</v>
      </c>
      <c r="E306" s="967"/>
    </row>
    <row r="307" spans="3:6">
      <c r="C307" s="960" t="s">
        <v>149</v>
      </c>
      <c r="D307" s="968">
        <v>950362</v>
      </c>
      <c r="E307" s="967"/>
    </row>
    <row r="308" spans="3:6">
      <c r="C308" s="440" t="s">
        <v>491</v>
      </c>
      <c r="D308" s="411"/>
      <c r="E308" s="441">
        <f>+'Saldos interco.'!D10+'Saldos interco.'!D19+'Saldos interco.'!D26+'Saldos interco.'!D34+'Saldos interco.'!D46+'Saldos interco.'!D56+'Saldos interco.'!D61+'Saldos interco.'!D67+'Saldos interco.'!D11</f>
        <v>8913485</v>
      </c>
    </row>
    <row r="309" spans="3:6">
      <c r="C309" s="440" t="s">
        <v>862</v>
      </c>
      <c r="D309" s="411"/>
      <c r="E309" s="441">
        <f>+'Saldos interco.'!D44</f>
        <v>852144</v>
      </c>
    </row>
    <row r="310" spans="3:6">
      <c r="C310" s="440" t="s">
        <v>492</v>
      </c>
      <c r="D310" s="411"/>
      <c r="E310" s="441">
        <f>+'Saldos interco.'!D45</f>
        <v>6686</v>
      </c>
    </row>
    <row r="311" spans="3:6">
      <c r="C311" s="960" t="s">
        <v>495</v>
      </c>
      <c r="D311" s="897"/>
      <c r="E311" s="961">
        <f>+'Saldos interco.'!D55</f>
        <v>1193125</v>
      </c>
    </row>
    <row r="312" spans="3:6">
      <c r="C312" s="850" t="s">
        <v>496</v>
      </c>
      <c r="D312" s="853"/>
      <c r="E312" s="854">
        <f>+'Saldos interco.'!D43</f>
        <v>529779</v>
      </c>
    </row>
    <row r="313" spans="3:6">
      <c r="C313" s="445" t="s">
        <v>497</v>
      </c>
      <c r="D313" s="446">
        <f>SUM(D302:D312)</f>
        <v>11495219</v>
      </c>
      <c r="E313" s="446">
        <f>SUM(E302:E312)</f>
        <v>11495219</v>
      </c>
      <c r="F313" s="525">
        <f>+D313-E313</f>
        <v>0</v>
      </c>
    </row>
    <row r="314" spans="3:6">
      <c r="C314" s="414"/>
      <c r="D314" s="966"/>
      <c r="E314" s="966"/>
      <c r="F314" s="525"/>
    </row>
    <row r="315" spans="3:6">
      <c r="C315" s="527" t="s">
        <v>601</v>
      </c>
      <c r="D315" s="522"/>
      <c r="E315" s="522"/>
      <c r="F315" s="525"/>
    </row>
    <row r="316" spans="3:6">
      <c r="C316" s="536" t="s">
        <v>867</v>
      </c>
      <c r="D316" s="537" t="s">
        <v>216</v>
      </c>
      <c r="E316" s="529" t="s">
        <v>459</v>
      </c>
      <c r="F316" s="525"/>
    </row>
    <row r="317" spans="3:6">
      <c r="C317" s="538" t="s">
        <v>516</v>
      </c>
      <c r="D317" s="531">
        <v>468128</v>
      </c>
      <c r="E317" s="531"/>
      <c r="F317" s="525"/>
    </row>
    <row r="318" spans="3:6">
      <c r="C318" s="859" t="s">
        <v>603</v>
      </c>
      <c r="D318" s="860"/>
      <c r="E318" s="860">
        <f>+D317</f>
        <v>468128</v>
      </c>
      <c r="F318" s="525"/>
    </row>
    <row r="319" spans="3:6">
      <c r="C319" s="532" t="s">
        <v>497</v>
      </c>
      <c r="D319" s="533">
        <f>SUM(D317:D318)</f>
        <v>468128</v>
      </c>
      <c r="E319" s="533">
        <f>SUM(E317:E318)</f>
        <v>468128</v>
      </c>
      <c r="F319" s="525">
        <f>+D319-E319</f>
        <v>0</v>
      </c>
    </row>
    <row r="320" spans="3:6">
      <c r="C320" s="534"/>
      <c r="D320" s="522"/>
      <c r="E320" s="522"/>
      <c r="F320" s="525"/>
    </row>
    <row r="321" spans="4:6">
      <c r="D321" s="533">
        <f>+D257+D265+D277+D271+D286+D292+D313</f>
        <v>66275978</v>
      </c>
      <c r="E321" s="533">
        <f>+E257+E265+E277+E271+E286+E292+E313</f>
        <v>66275978</v>
      </c>
      <c r="F321" s="525">
        <f>+D321-E321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41"/>
  <sheetViews>
    <sheetView topLeftCell="B1" zoomScaleNormal="100" workbookViewId="0">
      <pane ySplit="5" topLeftCell="A10" activePane="bottomLeft" state="frozen"/>
      <selection pane="bottomLeft" activeCell="I10" sqref="I10"/>
    </sheetView>
  </sheetViews>
  <sheetFormatPr defaultColWidth="11.42578125" defaultRowHeight="15"/>
  <cols>
    <col min="1" max="1" width="3.140625" style="403" customWidth="1"/>
    <col min="2" max="2" width="42.7109375" style="403" bestFit="1" customWidth="1"/>
    <col min="3" max="3" width="18.85546875" style="403" customWidth="1"/>
    <col min="4" max="4" width="12.7109375" style="403" customWidth="1"/>
    <col min="5" max="5" width="11.85546875" style="403" customWidth="1"/>
    <col min="6" max="7" width="11.5703125" style="403" hidden="1" customWidth="1"/>
    <col min="8" max="8" width="3.140625" style="403" hidden="1" customWidth="1"/>
    <col min="9" max="1024" width="11.42578125" style="403"/>
  </cols>
  <sheetData>
    <row r="1" spans="1:8">
      <c r="A1" s="551" t="s">
        <v>390</v>
      </c>
      <c r="B1" s="552"/>
    </row>
    <row r="2" spans="1:8">
      <c r="A2" s="553" t="s">
        <v>620</v>
      </c>
      <c r="B2" s="431"/>
      <c r="C2" s="435"/>
      <c r="D2" s="435"/>
      <c r="E2" s="435"/>
      <c r="F2" s="435"/>
      <c r="G2" s="435"/>
    </row>
    <row r="3" spans="1:8">
      <c r="A3" s="553" t="s">
        <v>621</v>
      </c>
      <c r="B3" s="431"/>
      <c r="C3" s="435"/>
      <c r="D3" s="435"/>
      <c r="E3" s="435"/>
      <c r="F3" s="435"/>
      <c r="G3" s="435"/>
    </row>
    <row r="4" spans="1:8">
      <c r="A4" s="431"/>
      <c r="B4" s="431"/>
      <c r="C4" s="435"/>
      <c r="D4" s="435"/>
      <c r="E4" s="435"/>
      <c r="F4" s="435"/>
      <c r="G4" s="435"/>
    </row>
    <row r="5" spans="1:8">
      <c r="A5" s="431"/>
      <c r="B5" s="554" t="s">
        <v>215</v>
      </c>
      <c r="C5" s="555" t="s">
        <v>199</v>
      </c>
      <c r="D5" s="555" t="s">
        <v>216</v>
      </c>
      <c r="E5" s="555" t="s">
        <v>459</v>
      </c>
      <c r="F5" s="556" t="s">
        <v>216</v>
      </c>
      <c r="G5" s="556" t="s">
        <v>217</v>
      </c>
    </row>
    <row r="6" spans="1:8">
      <c r="A6" s="431"/>
      <c r="B6" s="557" t="s">
        <v>241</v>
      </c>
      <c r="C6" s="558" t="s">
        <v>212</v>
      </c>
      <c r="D6" s="559">
        <v>118111</v>
      </c>
      <c r="E6" s="559"/>
      <c r="F6" s="560">
        <v>78773</v>
      </c>
      <c r="G6" s="561"/>
    </row>
    <row r="7" spans="1:8">
      <c r="A7" s="431"/>
      <c r="B7" s="562" t="s">
        <v>242</v>
      </c>
      <c r="C7" s="559" t="s">
        <v>243</v>
      </c>
      <c r="D7" s="559"/>
      <c r="E7" s="559">
        <f>+D6</f>
        <v>118111</v>
      </c>
      <c r="F7" s="435"/>
      <c r="G7" s="559">
        <f>F6</f>
        <v>78773</v>
      </c>
      <c r="H7" s="403" t="s">
        <v>498</v>
      </c>
    </row>
    <row r="8" spans="1:8">
      <c r="A8" s="431"/>
      <c r="B8" s="563"/>
      <c r="C8" s="558"/>
      <c r="D8" s="559"/>
      <c r="E8" s="559"/>
      <c r="F8" s="435"/>
      <c r="G8" s="559"/>
      <c r="H8" s="564"/>
    </row>
    <row r="9" spans="1:8">
      <c r="A9" s="431"/>
      <c r="B9" s="565" t="s">
        <v>241</v>
      </c>
      <c r="C9" s="559" t="s">
        <v>212</v>
      </c>
      <c r="D9" s="559">
        <v>189555</v>
      </c>
      <c r="E9" s="559"/>
      <c r="F9" s="566">
        <v>264134</v>
      </c>
      <c r="G9" s="559"/>
      <c r="H9" s="403" t="s">
        <v>498</v>
      </c>
    </row>
    <row r="10" spans="1:8">
      <c r="A10" s="431"/>
      <c r="B10" s="562" t="s">
        <v>242</v>
      </c>
      <c r="C10" s="559" t="s">
        <v>244</v>
      </c>
      <c r="D10" s="559"/>
      <c r="E10" s="559">
        <f>+D9</f>
        <v>189555</v>
      </c>
      <c r="F10" s="435"/>
      <c r="G10" s="559">
        <f>F9</f>
        <v>264134</v>
      </c>
    </row>
    <row r="11" spans="1:8">
      <c r="A11" s="431"/>
      <c r="B11" s="562"/>
      <c r="C11" s="559"/>
      <c r="D11" s="559"/>
      <c r="E11" s="559"/>
      <c r="F11" s="435"/>
      <c r="G11" s="559"/>
    </row>
    <row r="12" spans="1:8">
      <c r="A12" s="431"/>
      <c r="B12" s="565" t="s">
        <v>241</v>
      </c>
      <c r="C12" s="559" t="s">
        <v>212</v>
      </c>
      <c r="D12" s="559">
        <v>56674</v>
      </c>
      <c r="E12" s="559"/>
      <c r="F12" s="435">
        <v>89587</v>
      </c>
      <c r="G12" s="559"/>
      <c r="H12" s="403" t="s">
        <v>498</v>
      </c>
    </row>
    <row r="13" spans="1:8" hidden="1">
      <c r="A13" s="431"/>
      <c r="B13" s="562" t="s">
        <v>50</v>
      </c>
      <c r="C13" s="559" t="s">
        <v>245</v>
      </c>
      <c r="D13" s="559"/>
      <c r="E13" s="559"/>
      <c r="F13" s="435"/>
      <c r="G13" s="559">
        <v>0</v>
      </c>
    </row>
    <row r="14" spans="1:8" hidden="1">
      <c r="A14" s="431"/>
      <c r="B14" s="562" t="s">
        <v>46</v>
      </c>
      <c r="C14" s="559" t="s">
        <v>245</v>
      </c>
      <c r="D14" s="559"/>
      <c r="E14" s="559"/>
      <c r="F14" s="435"/>
      <c r="G14" s="559">
        <v>0</v>
      </c>
    </row>
    <row r="15" spans="1:8">
      <c r="A15" s="431"/>
      <c r="B15" s="562" t="s">
        <v>102</v>
      </c>
      <c r="C15" s="559" t="s">
        <v>245</v>
      </c>
      <c r="D15" s="559"/>
      <c r="E15" s="559">
        <f>+D12</f>
        <v>56674</v>
      </c>
      <c r="F15" s="435"/>
      <c r="G15" s="559">
        <f>+F12</f>
        <v>89587</v>
      </c>
    </row>
    <row r="16" spans="1:8">
      <c r="A16" s="431"/>
      <c r="B16" s="562"/>
      <c r="C16" s="559"/>
      <c r="D16" s="559"/>
      <c r="E16" s="559"/>
      <c r="F16" s="435"/>
      <c r="G16" s="559"/>
    </row>
    <row r="17" spans="1:8">
      <c r="A17" s="431"/>
      <c r="B17" s="565" t="s">
        <v>241</v>
      </c>
      <c r="C17" s="559" t="s">
        <v>212</v>
      </c>
      <c r="D17" s="559">
        <v>8468</v>
      </c>
      <c r="E17" s="559"/>
      <c r="F17" s="566">
        <v>34807</v>
      </c>
      <c r="G17" s="559"/>
      <c r="H17" s="403" t="s">
        <v>498</v>
      </c>
    </row>
    <row r="18" spans="1:8">
      <c r="A18" s="431"/>
      <c r="B18" s="562" t="s">
        <v>242</v>
      </c>
      <c r="C18" s="559" t="s">
        <v>32</v>
      </c>
      <c r="D18" s="559"/>
      <c r="E18" s="559">
        <f>+D17</f>
        <v>8468</v>
      </c>
      <c r="F18" s="435"/>
      <c r="G18" s="559">
        <f>F17</f>
        <v>34807</v>
      </c>
    </row>
    <row r="19" spans="1:8">
      <c r="A19" s="431"/>
      <c r="B19" s="562"/>
      <c r="C19" s="559"/>
      <c r="D19" s="559"/>
      <c r="E19" s="559"/>
      <c r="F19" s="435"/>
      <c r="G19" s="559"/>
    </row>
    <row r="20" spans="1:8">
      <c r="A20" s="431"/>
      <c r="B20" s="567" t="s">
        <v>246</v>
      </c>
      <c r="C20" s="559" t="s">
        <v>212</v>
      </c>
      <c r="D20" s="559">
        <v>55802</v>
      </c>
      <c r="E20" s="559"/>
      <c r="F20" s="435">
        <v>1713071</v>
      </c>
      <c r="G20" s="559"/>
      <c r="H20" s="403" t="s">
        <v>498</v>
      </c>
    </row>
    <row r="21" spans="1:8">
      <c r="A21" s="431"/>
      <c r="B21" s="562" t="s">
        <v>102</v>
      </c>
      <c r="C21" s="559" t="s">
        <v>247</v>
      </c>
      <c r="D21" s="559"/>
      <c r="E21" s="559">
        <f>+D20</f>
        <v>55802</v>
      </c>
      <c r="F21" s="435"/>
      <c r="G21" s="559">
        <f>+F20</f>
        <v>1713071</v>
      </c>
    </row>
    <row r="22" spans="1:8">
      <c r="A22" s="431"/>
      <c r="B22" s="562"/>
      <c r="C22" s="559"/>
      <c r="D22" s="559"/>
      <c r="E22" s="559"/>
      <c r="F22" s="435"/>
      <c r="G22" s="559"/>
    </row>
    <row r="23" spans="1:8">
      <c r="A23" s="431"/>
      <c r="B23" s="567" t="s">
        <v>622</v>
      </c>
      <c r="C23" s="559" t="s">
        <v>245</v>
      </c>
      <c r="D23" s="559">
        <v>60000</v>
      </c>
      <c r="E23" s="559"/>
      <c r="F23" s="435">
        <v>154175</v>
      </c>
      <c r="G23" s="559"/>
      <c r="H23" s="403" t="s">
        <v>498</v>
      </c>
    </row>
    <row r="24" spans="1:8">
      <c r="A24" s="431"/>
      <c r="B24" s="562" t="s">
        <v>623</v>
      </c>
      <c r="C24" s="559" t="s">
        <v>278</v>
      </c>
      <c r="D24" s="559"/>
      <c r="E24" s="559">
        <v>60000</v>
      </c>
      <c r="F24" s="435"/>
      <c r="G24" s="559">
        <f>+F23</f>
        <v>154175</v>
      </c>
    </row>
    <row r="25" spans="1:8">
      <c r="A25" s="431"/>
      <c r="B25" s="562"/>
      <c r="C25" s="559"/>
      <c r="D25" s="559"/>
      <c r="E25" s="559"/>
      <c r="F25" s="435"/>
      <c r="G25" s="559"/>
    </row>
    <row r="26" spans="1:8">
      <c r="A26" s="431"/>
      <c r="B26" s="567" t="s">
        <v>622</v>
      </c>
      <c r="C26" s="559" t="s">
        <v>247</v>
      </c>
      <c r="D26" s="559">
        <f>209756+96000</f>
        <v>305756</v>
      </c>
      <c r="E26" s="559"/>
      <c r="F26" s="435">
        <v>57043</v>
      </c>
      <c r="G26" s="559"/>
      <c r="H26" s="403" t="s">
        <v>498</v>
      </c>
    </row>
    <row r="27" spans="1:8">
      <c r="A27" s="431"/>
      <c r="B27" s="562" t="s">
        <v>623</v>
      </c>
      <c r="C27" s="559" t="s">
        <v>212</v>
      </c>
      <c r="D27" s="559"/>
      <c r="E27" s="559">
        <f>+D26</f>
        <v>305756</v>
      </c>
      <c r="F27" s="435"/>
      <c r="G27" s="559">
        <f>+F26</f>
        <v>57043</v>
      </c>
    </row>
    <row r="28" spans="1:8">
      <c r="A28" s="431"/>
      <c r="B28" s="562"/>
      <c r="C28" s="559"/>
      <c r="D28" s="559"/>
      <c r="E28" s="559"/>
      <c r="F28" s="435"/>
      <c r="G28" s="559"/>
    </row>
    <row r="29" spans="1:8">
      <c r="A29" s="431"/>
      <c r="B29" s="567" t="s">
        <v>622</v>
      </c>
      <c r="C29" s="559" t="s">
        <v>245</v>
      </c>
      <c r="D29" s="559">
        <v>108196</v>
      </c>
      <c r="E29" s="559"/>
      <c r="F29" s="435"/>
      <c r="G29" s="559"/>
    </row>
    <row r="30" spans="1:8">
      <c r="A30" s="431"/>
      <c r="B30" s="562" t="s">
        <v>623</v>
      </c>
      <c r="C30" s="559" t="s">
        <v>212</v>
      </c>
      <c r="D30" s="559"/>
      <c r="E30" s="559">
        <f>+D29</f>
        <v>108196</v>
      </c>
      <c r="F30" s="435"/>
      <c r="G30" s="559"/>
    </row>
    <row r="31" spans="1:8">
      <c r="A31" s="431"/>
      <c r="B31" s="562"/>
      <c r="C31" s="559"/>
      <c r="D31" s="559"/>
      <c r="E31" s="559"/>
      <c r="F31" s="435"/>
      <c r="G31" s="559"/>
    </row>
    <row r="32" spans="1:8">
      <c r="A32" s="431"/>
      <c r="B32" s="567" t="s">
        <v>246</v>
      </c>
      <c r="C32" s="559" t="s">
        <v>278</v>
      </c>
      <c r="D32" s="559"/>
      <c r="E32" s="559"/>
      <c r="F32" s="435">
        <v>669255</v>
      </c>
      <c r="G32" s="559"/>
      <c r="H32" s="403" t="s">
        <v>498</v>
      </c>
    </row>
    <row r="33" spans="1:7">
      <c r="A33" s="431"/>
      <c r="B33" s="567" t="s">
        <v>624</v>
      </c>
      <c r="C33" s="559" t="s">
        <v>212</v>
      </c>
      <c r="D33" s="559"/>
      <c r="E33" s="559"/>
      <c r="F33" s="435"/>
      <c r="G33" s="559">
        <f>+F32-G34</f>
        <v>658399</v>
      </c>
    </row>
    <row r="34" spans="1:7">
      <c r="A34" s="431"/>
      <c r="B34" s="568" t="s">
        <v>248</v>
      </c>
      <c r="C34" s="569" t="s">
        <v>212</v>
      </c>
      <c r="D34" s="569"/>
      <c r="E34" s="569"/>
      <c r="F34" s="570"/>
      <c r="G34" s="569">
        <v>10856</v>
      </c>
    </row>
    <row r="35" spans="1:7">
      <c r="A35" s="431"/>
      <c r="B35" s="431"/>
      <c r="C35" s="435"/>
      <c r="D35" s="571">
        <f>SUM(D6:D34)</f>
        <v>902562</v>
      </c>
      <c r="E35" s="571">
        <f>SUM(E6:E34)</f>
        <v>902562</v>
      </c>
      <c r="F35" s="437">
        <f>SUM(F6:F34)</f>
        <v>3060845</v>
      </c>
      <c r="G35" s="437">
        <f>SUM(G6:G34)</f>
        <v>3060845</v>
      </c>
    </row>
    <row r="37" spans="1:7">
      <c r="B37" s="557" t="s">
        <v>625</v>
      </c>
      <c r="C37" s="572"/>
      <c r="D37" s="439"/>
      <c r="E37" s="439"/>
      <c r="F37" s="573" t="s">
        <v>200</v>
      </c>
      <c r="G37" s="573" t="s">
        <v>201</v>
      </c>
    </row>
    <row r="38" spans="1:7">
      <c r="B38" s="564" t="s">
        <v>246</v>
      </c>
      <c r="C38" s="449"/>
      <c r="D38" s="442">
        <f>+D35</f>
        <v>902562</v>
      </c>
      <c r="E38" s="443"/>
      <c r="F38" s="442">
        <f>F6+F20+F32+F9+F12+F17+F23+F26</f>
        <v>3060845</v>
      </c>
      <c r="G38" s="443"/>
    </row>
    <row r="39" spans="1:7">
      <c r="B39" s="574" t="s">
        <v>102</v>
      </c>
      <c r="C39" s="449"/>
      <c r="D39" s="443"/>
      <c r="E39" s="442">
        <f>+E35</f>
        <v>902562</v>
      </c>
      <c r="F39" s="443"/>
      <c r="G39" s="442">
        <f>G7+G21+G18+G15+G10+G24+G27+G33</f>
        <v>3049989</v>
      </c>
    </row>
    <row r="40" spans="1:7">
      <c r="B40" s="575" t="s">
        <v>248</v>
      </c>
      <c r="C40" s="576"/>
      <c r="D40" s="577"/>
      <c r="E40" s="577"/>
      <c r="F40" s="577"/>
      <c r="G40" s="444">
        <f>G34</f>
        <v>10856</v>
      </c>
    </row>
    <row r="41" spans="1:7">
      <c r="F41" s="434">
        <f>SUM(F38:F40)</f>
        <v>3060845</v>
      </c>
      <c r="G41" s="434">
        <f>SUM(G38:G40)</f>
        <v>3060845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J122"/>
  <sheetViews>
    <sheetView showGridLines="0" topLeftCell="A36" zoomScaleNormal="100" workbookViewId="0">
      <selection activeCell="F60" sqref="F60"/>
    </sheetView>
  </sheetViews>
  <sheetFormatPr defaultColWidth="11.5703125" defaultRowHeight="15"/>
  <cols>
    <col min="1" max="1" width="40.140625" style="407" customWidth="1"/>
    <col min="2" max="2" width="8.85546875" style="407" customWidth="1"/>
    <col min="3" max="3" width="12.5703125" style="407" bestFit="1" customWidth="1"/>
    <col min="4" max="4" width="11.28515625" style="407" customWidth="1"/>
    <col min="5" max="5" width="1" style="407" customWidth="1"/>
    <col min="6" max="6" width="12" style="403" bestFit="1" customWidth="1"/>
    <col min="7" max="7" width="11.7109375" style="407" hidden="1" customWidth="1"/>
    <col min="8" max="8" width="4.85546875" style="407" hidden="1" customWidth="1"/>
    <col min="9" max="9" width="16.85546875" style="407" hidden="1" customWidth="1"/>
    <col min="10" max="10" width="10.7109375" style="578" hidden="1" customWidth="1"/>
    <col min="11" max="11" width="12" style="407" hidden="1" customWidth="1"/>
    <col min="12" max="12" width="10.85546875" style="578" hidden="1" customWidth="1"/>
    <col min="13" max="13" width="12" style="407" hidden="1" customWidth="1"/>
    <col min="14" max="14" width="5.140625" style="407" customWidth="1"/>
    <col min="15" max="15" width="40.140625" style="407" customWidth="1"/>
    <col min="16" max="16" width="8.85546875" style="407" customWidth="1"/>
    <col min="17" max="17" width="12" style="407" bestFit="1" customWidth="1"/>
    <col min="18" max="18" width="11.28515625" style="407" customWidth="1"/>
    <col min="19" max="19" width="0.7109375" style="407" customWidth="1"/>
    <col min="20" max="20" width="12" style="403" bestFit="1" customWidth="1"/>
    <col min="21" max="21" width="11.7109375" style="407" hidden="1" customWidth="1"/>
    <col min="22" max="22" width="11.5703125" style="407" hidden="1"/>
    <col min="23" max="23" width="12" style="407" hidden="1" customWidth="1"/>
    <col min="24" max="24" width="10.7109375" style="578" hidden="1" customWidth="1"/>
    <col min="25" max="25" width="12" style="407" hidden="1" customWidth="1"/>
    <col min="26" max="26" width="10.7109375" style="578" hidden="1" customWidth="1"/>
    <col min="27" max="27" width="12" style="407" hidden="1" customWidth="1"/>
    <col min="28" max="28" width="8.140625" style="579" hidden="1" customWidth="1"/>
    <col min="29" max="30" width="11.5703125" style="407" hidden="1"/>
    <col min="31" max="1024" width="11.5703125" style="407"/>
  </cols>
  <sheetData>
    <row r="1" spans="1:31" s="407" customFormat="1" ht="12" customHeight="1">
      <c r="A1" s="460"/>
      <c r="B1" s="460" t="s">
        <v>626</v>
      </c>
      <c r="C1" s="460"/>
      <c r="D1" s="460"/>
      <c r="E1" s="460"/>
      <c r="G1" s="460"/>
      <c r="H1" s="460"/>
      <c r="I1" s="460"/>
      <c r="J1" s="580"/>
      <c r="K1" s="581"/>
      <c r="L1" s="580"/>
      <c r="M1" s="460"/>
      <c r="N1" s="581"/>
      <c r="O1" s="460"/>
      <c r="P1" s="460" t="s">
        <v>626</v>
      </c>
      <c r="Q1" s="460"/>
      <c r="R1" s="460"/>
      <c r="S1" s="460"/>
      <c r="U1" s="460"/>
      <c r="V1" s="460"/>
      <c r="W1" s="460"/>
      <c r="X1" s="580"/>
      <c r="Y1" s="582"/>
      <c r="Z1" s="580"/>
      <c r="AA1" s="583"/>
      <c r="AB1" s="579"/>
    </row>
    <row r="2" spans="1:31" ht="12" customHeight="1">
      <c r="A2" s="581" t="s">
        <v>627</v>
      </c>
      <c r="B2" s="584" t="s">
        <v>628</v>
      </c>
      <c r="C2" s="584">
        <v>2020</v>
      </c>
      <c r="D2" s="584"/>
      <c r="E2" s="584"/>
      <c r="F2" s="585">
        <v>2019</v>
      </c>
      <c r="G2" s="586"/>
      <c r="H2" s="586"/>
      <c r="I2" s="586">
        <v>2018</v>
      </c>
      <c r="J2" s="587"/>
      <c r="K2" s="582">
        <v>2017</v>
      </c>
      <c r="L2" s="587"/>
      <c r="M2" s="582">
        <v>2016</v>
      </c>
      <c r="N2" s="586"/>
      <c r="O2" s="582" t="s">
        <v>629</v>
      </c>
      <c r="P2" s="584" t="s">
        <v>628</v>
      </c>
      <c r="Q2" s="584">
        <v>2020</v>
      </c>
      <c r="R2" s="584"/>
      <c r="S2" s="584"/>
      <c r="T2" s="585">
        <v>2019</v>
      </c>
      <c r="U2" s="586"/>
      <c r="V2" s="586"/>
      <c r="W2" s="586">
        <v>2018</v>
      </c>
      <c r="X2" s="588"/>
      <c r="Y2" s="589">
        <v>2017</v>
      </c>
      <c r="Z2" s="587"/>
      <c r="AA2" s="584">
        <v>2016</v>
      </c>
      <c r="AC2" s="590"/>
      <c r="AD2" s="591"/>
      <c r="AE2" s="591"/>
    </row>
    <row r="3" spans="1:31" ht="12" customHeight="1">
      <c r="A3" s="460"/>
      <c r="B3" s="460"/>
      <c r="C3" s="460"/>
      <c r="D3" s="592"/>
      <c r="E3" s="460"/>
      <c r="F3" s="414"/>
      <c r="G3" s="593"/>
      <c r="H3" s="593"/>
      <c r="I3" s="593"/>
      <c r="J3" s="580"/>
      <c r="K3" s="582"/>
      <c r="L3" s="580"/>
      <c r="M3" s="593"/>
      <c r="N3" s="582"/>
      <c r="O3" s="593"/>
      <c r="P3" s="593"/>
      <c r="Q3" s="593"/>
      <c r="R3" s="593"/>
      <c r="S3" s="593"/>
      <c r="T3" s="414"/>
      <c r="U3" s="594"/>
      <c r="V3" s="594"/>
      <c r="W3" s="593"/>
      <c r="X3" s="595"/>
      <c r="Y3" s="596"/>
      <c r="Z3" s="580"/>
      <c r="AA3" s="460"/>
    </row>
    <row r="4" spans="1:31" ht="12" customHeight="1">
      <c r="A4" s="597" t="s">
        <v>630</v>
      </c>
      <c r="B4" s="597"/>
      <c r="C4" s="597"/>
      <c r="D4" s="598"/>
      <c r="E4" s="597"/>
      <c r="F4" s="414"/>
      <c r="G4" s="599"/>
      <c r="H4" s="599"/>
      <c r="I4" s="599"/>
      <c r="J4" s="580"/>
      <c r="K4" s="582"/>
      <c r="L4" s="580"/>
      <c r="M4" s="599"/>
      <c r="N4" s="582"/>
      <c r="O4" s="600" t="s">
        <v>631</v>
      </c>
      <c r="P4" s="600"/>
      <c r="Q4" s="600"/>
      <c r="R4" s="600"/>
      <c r="S4" s="600"/>
      <c r="T4" s="414"/>
      <c r="U4" s="601"/>
      <c r="V4" s="601"/>
      <c r="W4" s="600"/>
      <c r="X4" s="595"/>
      <c r="Y4" s="602"/>
      <c r="Z4" s="580"/>
      <c r="AA4" s="603"/>
    </row>
    <row r="5" spans="1:31" ht="12" customHeight="1">
      <c r="A5" s="604" t="s">
        <v>632</v>
      </c>
      <c r="B5" s="605">
        <v>6</v>
      </c>
      <c r="C5" s="606">
        <f>'Planilla final'!Q5</f>
        <v>19929759.489999998</v>
      </c>
      <c r="D5" s="598">
        <f t="shared" ref="D5:D14" si="0">F5-C5</f>
        <v>-14043785.489999998</v>
      </c>
      <c r="E5" s="605"/>
      <c r="F5" s="408">
        <v>5885974</v>
      </c>
      <c r="G5" s="607">
        <v>-5247728</v>
      </c>
      <c r="H5" s="607"/>
      <c r="I5" s="608">
        <v>638246</v>
      </c>
      <c r="J5" s="607">
        <v>1104316</v>
      </c>
      <c r="K5" s="609">
        <v>1742562</v>
      </c>
      <c r="L5" s="607">
        <v>-9053595</v>
      </c>
      <c r="M5" s="610">
        <v>10796157</v>
      </c>
      <c r="N5" s="582"/>
      <c r="O5" s="611" t="s">
        <v>633</v>
      </c>
      <c r="P5" s="582"/>
      <c r="Q5" s="612">
        <f>'Planilla final'!Q27</f>
        <v>0</v>
      </c>
      <c r="R5" s="613">
        <f>+Q5-T5</f>
        <v>-74044</v>
      </c>
      <c r="S5" s="582"/>
      <c r="T5" s="408">
        <v>74044</v>
      </c>
      <c r="U5" s="607">
        <v>-3719967</v>
      </c>
      <c r="V5" s="607"/>
      <c r="W5" s="614">
        <v>3794011</v>
      </c>
      <c r="X5" s="615">
        <v>3533609</v>
      </c>
      <c r="Y5" s="616">
        <v>260402</v>
      </c>
      <c r="Z5" s="607">
        <v>61512</v>
      </c>
      <c r="AA5" s="617">
        <v>198890</v>
      </c>
      <c r="AB5" s="618">
        <v>-3155765</v>
      </c>
      <c r="AC5" s="619"/>
      <c r="AD5" s="620"/>
      <c r="AE5" s="620"/>
    </row>
    <row r="6" spans="1:31" ht="12" customHeight="1">
      <c r="A6" s="604" t="s">
        <v>634</v>
      </c>
      <c r="B6" s="605"/>
      <c r="C6" s="606">
        <f>'Planilla final'!Q7</f>
        <v>3119911</v>
      </c>
      <c r="D6" s="598">
        <f t="shared" si="0"/>
        <v>-3107992</v>
      </c>
      <c r="E6" s="605"/>
      <c r="F6" s="408">
        <v>11919</v>
      </c>
      <c r="G6" s="607">
        <v>60892</v>
      </c>
      <c r="H6" s="607"/>
      <c r="I6" s="608">
        <v>72811</v>
      </c>
      <c r="J6" s="607">
        <v>29809</v>
      </c>
      <c r="K6" s="609">
        <v>102620</v>
      </c>
      <c r="L6" s="607">
        <v>-5828169</v>
      </c>
      <c r="M6" s="610">
        <v>5930789</v>
      </c>
      <c r="N6" s="593"/>
      <c r="O6" s="611" t="s">
        <v>65</v>
      </c>
      <c r="P6" s="582">
        <v>18</v>
      </c>
      <c r="Q6" s="612">
        <f>'Planilla final'!Q28</f>
        <v>2936628</v>
      </c>
      <c r="R6" s="613">
        <f t="shared" ref="R6:R14" si="1">+Q6-T6</f>
        <v>-448485</v>
      </c>
      <c r="S6" s="582"/>
      <c r="T6" s="408">
        <v>3385113</v>
      </c>
      <c r="U6" s="607">
        <v>-8084255</v>
      </c>
      <c r="V6" s="607"/>
      <c r="W6" s="614">
        <v>11469368</v>
      </c>
      <c r="X6" s="615">
        <v>-1944307</v>
      </c>
      <c r="Y6" s="621">
        <v>13413675</v>
      </c>
      <c r="Z6" s="607">
        <v>-4986126</v>
      </c>
      <c r="AA6" s="603">
        <v>18399801</v>
      </c>
      <c r="AC6" s="420"/>
      <c r="AD6" s="620"/>
      <c r="AE6" s="620"/>
    </row>
    <row r="7" spans="1:31" ht="12" customHeight="1">
      <c r="A7" s="604" t="s">
        <v>36</v>
      </c>
      <c r="B7" s="605">
        <v>7</v>
      </c>
      <c r="C7" s="606">
        <f>'Planilla final'!Q6</f>
        <v>8650</v>
      </c>
      <c r="D7" s="598">
        <f t="shared" si="0"/>
        <v>3350139</v>
      </c>
      <c r="E7" s="605"/>
      <c r="F7" s="408">
        <v>3358789</v>
      </c>
      <c r="G7" s="607">
        <v>-965345</v>
      </c>
      <c r="H7" s="607"/>
      <c r="I7" s="608">
        <v>2393444</v>
      </c>
      <c r="J7" s="607">
        <v>251011</v>
      </c>
      <c r="K7" s="609">
        <v>2644455</v>
      </c>
      <c r="L7" s="607">
        <v>593863</v>
      </c>
      <c r="M7" s="610">
        <v>2050592</v>
      </c>
      <c r="N7" s="582"/>
      <c r="O7" s="611" t="s">
        <v>635</v>
      </c>
      <c r="P7" s="582">
        <v>19</v>
      </c>
      <c r="Q7" s="612">
        <f>'Planilla final'!Q29</f>
        <v>7029610.0199999996</v>
      </c>
      <c r="R7" s="613">
        <f t="shared" si="1"/>
        <v>4544879.0199999996</v>
      </c>
      <c r="S7" s="582"/>
      <c r="T7" s="408">
        <v>2484731</v>
      </c>
      <c r="U7" s="607">
        <v>-6103212</v>
      </c>
      <c r="V7" s="607"/>
      <c r="W7" s="614">
        <v>8587943</v>
      </c>
      <c r="X7" s="615">
        <v>-2871367</v>
      </c>
      <c r="Y7" s="621">
        <v>11459310</v>
      </c>
      <c r="Z7" s="607">
        <v>-1466341</v>
      </c>
      <c r="AA7" s="603">
        <v>12925651</v>
      </c>
      <c r="AC7" s="420"/>
      <c r="AD7" s="620"/>
      <c r="AE7" s="620"/>
    </row>
    <row r="8" spans="1:31" ht="12" customHeight="1">
      <c r="A8" s="604" t="s">
        <v>636</v>
      </c>
      <c r="B8" s="605">
        <v>8</v>
      </c>
      <c r="C8" s="606">
        <f>'Planilla final'!Q8</f>
        <v>15810074.74</v>
      </c>
      <c r="D8" s="598">
        <f t="shared" si="0"/>
        <v>-4723519.74</v>
      </c>
      <c r="E8" s="605"/>
      <c r="F8" s="408">
        <v>11086555</v>
      </c>
      <c r="G8" s="607">
        <v>-1755023</v>
      </c>
      <c r="H8" s="607"/>
      <c r="I8" s="608">
        <v>9331532</v>
      </c>
      <c r="J8" s="607">
        <v>6231872</v>
      </c>
      <c r="K8" s="609">
        <v>15563404</v>
      </c>
      <c r="L8" s="607">
        <v>1100909</v>
      </c>
      <c r="M8" s="610">
        <v>14462495</v>
      </c>
      <c r="N8" s="582"/>
      <c r="O8" s="611" t="s">
        <v>637</v>
      </c>
      <c r="P8" s="582">
        <v>20</v>
      </c>
      <c r="Q8" s="612">
        <f>'Planilla final'!Q30</f>
        <v>26254994</v>
      </c>
      <c r="R8" s="613">
        <f t="shared" si="1"/>
        <v>3714995</v>
      </c>
      <c r="S8" s="582"/>
      <c r="T8" s="408">
        <v>22539999</v>
      </c>
      <c r="U8" s="607">
        <v>5790003</v>
      </c>
      <c r="V8" s="607"/>
      <c r="W8" s="614">
        <v>16749996</v>
      </c>
      <c r="X8" s="615">
        <v>-3686049</v>
      </c>
      <c r="Y8" s="621">
        <v>20436045</v>
      </c>
      <c r="Z8" s="607">
        <v>1910661</v>
      </c>
      <c r="AA8" s="603">
        <v>18525384</v>
      </c>
      <c r="AC8" s="420"/>
      <c r="AD8" s="620"/>
      <c r="AE8" s="620"/>
    </row>
    <row r="9" spans="1:31" ht="12" customHeight="1">
      <c r="A9" s="604" t="s">
        <v>638</v>
      </c>
      <c r="B9" s="605">
        <v>21</v>
      </c>
      <c r="C9" s="606">
        <f>'Planilla final'!Q9</f>
        <v>37455803.149999999</v>
      </c>
      <c r="D9" s="598">
        <f t="shared" si="0"/>
        <v>-5652060.1499999985</v>
      </c>
      <c r="E9" s="605"/>
      <c r="F9" s="408">
        <v>31803743</v>
      </c>
      <c r="G9" s="607">
        <v>2402819</v>
      </c>
      <c r="H9" s="607"/>
      <c r="I9" s="608">
        <v>34206562</v>
      </c>
      <c r="J9" s="607">
        <v>-9131565</v>
      </c>
      <c r="K9" s="609">
        <v>25074997</v>
      </c>
      <c r="L9" s="607">
        <v>11254398</v>
      </c>
      <c r="M9" s="610">
        <v>13820599</v>
      </c>
      <c r="N9" s="582"/>
      <c r="O9" s="611" t="s">
        <v>638</v>
      </c>
      <c r="P9" s="582">
        <v>21</v>
      </c>
      <c r="Q9" s="612">
        <f>'Planilla final'!Q31</f>
        <v>641922.08999999985</v>
      </c>
      <c r="R9" s="613">
        <f t="shared" si="1"/>
        <v>-1102575.9100000001</v>
      </c>
      <c r="S9" s="582"/>
      <c r="T9" s="408">
        <v>1744498</v>
      </c>
      <c r="U9" s="607">
        <v>-726210</v>
      </c>
      <c r="V9" s="607"/>
      <c r="W9" s="614">
        <v>2470708</v>
      </c>
      <c r="X9" s="615">
        <v>557079</v>
      </c>
      <c r="Y9" s="621">
        <v>1913629</v>
      </c>
      <c r="Z9" s="607">
        <v>1651239</v>
      </c>
      <c r="AA9" s="603">
        <v>262390</v>
      </c>
      <c r="AD9" s="620"/>
      <c r="AE9" s="620"/>
    </row>
    <row r="10" spans="1:31" ht="12" customHeight="1">
      <c r="A10" s="604" t="s">
        <v>43</v>
      </c>
      <c r="B10" s="605">
        <v>9</v>
      </c>
      <c r="C10" s="606">
        <f>'Planilla final'!Q11</f>
        <v>5830961.7599999998</v>
      </c>
      <c r="D10" s="598">
        <f t="shared" si="0"/>
        <v>-5308932.76</v>
      </c>
      <c r="E10" s="605"/>
      <c r="F10" s="408">
        <v>522029</v>
      </c>
      <c r="G10" s="607">
        <v>228775</v>
      </c>
      <c r="H10" s="607"/>
      <c r="I10" s="608">
        <v>750804</v>
      </c>
      <c r="J10" s="607">
        <v>373975</v>
      </c>
      <c r="K10" s="609">
        <v>1124779</v>
      </c>
      <c r="L10" s="607">
        <v>-685042</v>
      </c>
      <c r="M10" s="610">
        <v>1809821</v>
      </c>
      <c r="N10" s="582"/>
      <c r="O10" s="611" t="s">
        <v>71</v>
      </c>
      <c r="P10" s="582">
        <v>23</v>
      </c>
      <c r="Q10" s="612">
        <f>'Planilla final'!Q32</f>
        <v>12494757</v>
      </c>
      <c r="R10" s="613">
        <f t="shared" si="1"/>
        <v>4661337</v>
      </c>
      <c r="S10" s="582"/>
      <c r="T10" s="408">
        <v>7833420</v>
      </c>
      <c r="U10" s="607">
        <v>1097769</v>
      </c>
      <c r="V10" s="607"/>
      <c r="W10" s="614">
        <v>6735651</v>
      </c>
      <c r="X10" s="615">
        <v>2460744</v>
      </c>
      <c r="Y10" s="621">
        <v>4274907</v>
      </c>
      <c r="Z10" s="607">
        <v>130512</v>
      </c>
      <c r="AA10" s="603">
        <v>4144395</v>
      </c>
      <c r="AD10" s="620"/>
      <c r="AE10" s="620"/>
    </row>
    <row r="11" spans="1:31" ht="12" customHeight="1">
      <c r="A11" s="604" t="s">
        <v>42</v>
      </c>
      <c r="B11" s="605">
        <v>10</v>
      </c>
      <c r="C11" s="606">
        <f>'Planilla final'!Q10</f>
        <v>6482831</v>
      </c>
      <c r="D11" s="598">
        <f t="shared" si="0"/>
        <v>11215256</v>
      </c>
      <c r="E11" s="605"/>
      <c r="F11" s="408">
        <v>17698087</v>
      </c>
      <c r="G11" s="607">
        <v>-12823967</v>
      </c>
      <c r="H11" s="607"/>
      <c r="I11" s="608">
        <v>4874120</v>
      </c>
      <c r="J11" s="607">
        <v>664328</v>
      </c>
      <c r="K11" s="609">
        <v>5538448</v>
      </c>
      <c r="L11" s="607">
        <v>2963608</v>
      </c>
      <c r="M11" s="610">
        <v>2574840</v>
      </c>
      <c r="N11" s="582"/>
      <c r="O11" s="611" t="s">
        <v>72</v>
      </c>
      <c r="P11" s="582">
        <v>22</v>
      </c>
      <c r="Q11" s="612">
        <f>'Planilla final'!Q33</f>
        <v>5822193.5300000003</v>
      </c>
      <c r="R11" s="613">
        <f t="shared" si="1"/>
        <v>1641189.5300000003</v>
      </c>
      <c r="S11" s="582"/>
      <c r="T11" s="408">
        <v>4181004</v>
      </c>
      <c r="U11" s="607">
        <v>-366719</v>
      </c>
      <c r="V11" s="607"/>
      <c r="W11" s="614">
        <v>4547723</v>
      </c>
      <c r="X11" s="615">
        <v>859355</v>
      </c>
      <c r="Y11" s="621">
        <v>3688368</v>
      </c>
      <c r="Z11" s="607">
        <v>-31613</v>
      </c>
      <c r="AA11" s="603">
        <v>3719981</v>
      </c>
      <c r="AD11" s="620"/>
      <c r="AE11" s="620"/>
    </row>
    <row r="12" spans="1:31" ht="12" customHeight="1">
      <c r="A12" s="604" t="s">
        <v>45</v>
      </c>
      <c r="B12" s="605"/>
      <c r="C12" s="606">
        <f>'Planilla final'!Q12</f>
        <v>1761314</v>
      </c>
      <c r="D12" s="598">
        <f t="shared" si="0"/>
        <v>-1008270</v>
      </c>
      <c r="E12" s="605"/>
      <c r="F12" s="408">
        <v>753044</v>
      </c>
      <c r="G12" s="607">
        <v>-233386</v>
      </c>
      <c r="H12" s="607"/>
      <c r="I12" s="608">
        <v>519658</v>
      </c>
      <c r="J12" s="607">
        <v>122526</v>
      </c>
      <c r="K12" s="609">
        <v>642184</v>
      </c>
      <c r="L12" s="607">
        <v>-1728719</v>
      </c>
      <c r="M12" s="610">
        <v>2370903</v>
      </c>
      <c r="N12" s="593"/>
      <c r="O12" s="611" t="s">
        <v>840</v>
      </c>
      <c r="P12" s="582">
        <v>26</v>
      </c>
      <c r="Q12" s="612">
        <f>'Planilla final'!Q34</f>
        <v>4578384</v>
      </c>
      <c r="R12" s="613">
        <f t="shared" si="1"/>
        <v>-3097550</v>
      </c>
      <c r="S12" s="582"/>
      <c r="T12" s="408">
        <v>7675934</v>
      </c>
      <c r="U12" s="607">
        <v>-1991980</v>
      </c>
      <c r="V12" s="607"/>
      <c r="W12" s="614">
        <v>9667914</v>
      </c>
      <c r="X12" s="615">
        <v>3531359</v>
      </c>
      <c r="Y12" s="621">
        <v>6136555</v>
      </c>
      <c r="Z12" s="607">
        <v>-2446877</v>
      </c>
      <c r="AA12" s="603">
        <v>8583432</v>
      </c>
      <c r="AD12" s="620"/>
      <c r="AE12" s="620"/>
    </row>
    <row r="13" spans="1:31" ht="12" customHeight="1">
      <c r="A13" s="604" t="s">
        <v>46</v>
      </c>
      <c r="B13" s="605">
        <v>11</v>
      </c>
      <c r="C13" s="606">
        <f>'Planilla final'!Q13</f>
        <v>28453869.379999999</v>
      </c>
      <c r="D13" s="598">
        <f t="shared" si="0"/>
        <v>462096.62000000104</v>
      </c>
      <c r="E13" s="605"/>
      <c r="F13" s="408">
        <v>28915966</v>
      </c>
      <c r="G13" s="607">
        <v>-4708564</v>
      </c>
      <c r="H13" s="607"/>
      <c r="I13" s="608">
        <v>24207402</v>
      </c>
      <c r="J13" s="607">
        <v>-9322375</v>
      </c>
      <c r="K13" s="609">
        <v>14885027</v>
      </c>
      <c r="L13" s="607">
        <v>-4055589</v>
      </c>
      <c r="M13" s="610">
        <v>18940616</v>
      </c>
      <c r="N13" s="582"/>
      <c r="O13" s="414" t="s">
        <v>639</v>
      </c>
      <c r="P13" s="622">
        <v>17</v>
      </c>
      <c r="Q13" s="623">
        <f>'Planilla final'!Q36</f>
        <v>1574195</v>
      </c>
      <c r="R13" s="613">
        <f t="shared" si="1"/>
        <v>54494</v>
      </c>
      <c r="S13" s="622"/>
      <c r="T13" s="408">
        <v>1519701</v>
      </c>
      <c r="U13" s="607">
        <v>1519701</v>
      </c>
      <c r="V13" s="607"/>
      <c r="W13" s="414">
        <v>0</v>
      </c>
      <c r="X13" s="624"/>
      <c r="Y13" s="411">
        <v>0</v>
      </c>
      <c r="Z13" s="607">
        <v>184123</v>
      </c>
      <c r="AA13" s="603">
        <v>4375344</v>
      </c>
      <c r="AD13" s="620"/>
      <c r="AE13" s="620"/>
    </row>
    <row r="14" spans="1:31" ht="12" customHeight="1">
      <c r="A14" s="407" t="s">
        <v>868</v>
      </c>
      <c r="B14" s="625"/>
      <c r="C14" s="978">
        <f>+'Planilla final'!Q14</f>
        <v>413564</v>
      </c>
      <c r="D14" s="598">
        <f t="shared" si="0"/>
        <v>-413564</v>
      </c>
      <c r="E14" s="625"/>
      <c r="F14" s="449"/>
      <c r="G14" s="414"/>
      <c r="H14" s="414"/>
      <c r="I14" s="414"/>
      <c r="J14" s="607"/>
      <c r="K14" s="626">
        <v>67318476</v>
      </c>
      <c r="L14" s="607"/>
      <c r="M14" s="626">
        <v>72756812</v>
      </c>
      <c r="N14" s="593"/>
      <c r="O14" s="611" t="s">
        <v>75</v>
      </c>
      <c r="P14" s="582">
        <v>24</v>
      </c>
      <c r="Q14" s="612">
        <f>'Planilla final'!Q35</f>
        <v>9968238.0800000001</v>
      </c>
      <c r="R14" s="613">
        <f t="shared" si="1"/>
        <v>2068445.08</v>
      </c>
      <c r="S14" s="582"/>
      <c r="T14" s="408">
        <v>7899793</v>
      </c>
      <c r="U14" s="607">
        <v>0</v>
      </c>
      <c r="V14" s="607"/>
      <c r="W14" s="414">
        <v>0</v>
      </c>
      <c r="X14" s="624"/>
      <c r="Y14" s="411">
        <v>0</v>
      </c>
      <c r="Z14" s="607"/>
      <c r="AA14" s="627">
        <v>71135268</v>
      </c>
      <c r="AD14" s="620"/>
      <c r="AE14" s="620"/>
    </row>
    <row r="15" spans="1:31" ht="12" customHeight="1">
      <c r="A15" s="597" t="s">
        <v>640</v>
      </c>
      <c r="B15" s="605"/>
      <c r="C15" s="977">
        <f>SUM(C5:C14)</f>
        <v>119266738.52</v>
      </c>
      <c r="D15" s="598"/>
      <c r="E15" s="605"/>
      <c r="F15" s="628">
        <v>100036106</v>
      </c>
      <c r="G15" s="607"/>
      <c r="H15" s="607"/>
      <c r="I15" s="629">
        <v>76994579</v>
      </c>
      <c r="J15" s="607"/>
      <c r="K15" s="630"/>
      <c r="L15" s="607"/>
      <c r="M15" s="631"/>
      <c r="N15" s="593"/>
      <c r="O15" s="632" t="s">
        <v>641</v>
      </c>
      <c r="P15" s="633"/>
      <c r="Q15" s="628">
        <f>SUM(Q5:Q14)</f>
        <v>71300921.719999999</v>
      </c>
      <c r="R15" s="613"/>
      <c r="S15" s="633"/>
      <c r="T15" s="628">
        <v>59338237</v>
      </c>
      <c r="U15" s="607">
        <v>1674396</v>
      </c>
      <c r="V15" s="607"/>
      <c r="W15" s="614">
        <v>6225397</v>
      </c>
      <c r="X15" s="615">
        <v>1665930</v>
      </c>
      <c r="Y15" s="621">
        <v>4559467</v>
      </c>
      <c r="AD15" s="620"/>
      <c r="AE15" s="620"/>
    </row>
    <row r="16" spans="1:31" ht="12" customHeight="1">
      <c r="A16" s="604"/>
      <c r="B16" s="605"/>
      <c r="C16" s="605"/>
      <c r="D16" s="598"/>
      <c r="E16" s="605"/>
      <c r="F16" s="414"/>
      <c r="G16" s="607"/>
      <c r="H16" s="607"/>
      <c r="I16" s="634"/>
      <c r="J16" s="607">
        <v>687947</v>
      </c>
      <c r="K16" s="609">
        <v>3212434</v>
      </c>
      <c r="L16" s="607">
        <v>206140</v>
      </c>
      <c r="M16" s="610">
        <v>3006294</v>
      </c>
      <c r="N16" s="593"/>
      <c r="U16" s="578"/>
      <c r="V16" s="578"/>
      <c r="W16" s="414"/>
      <c r="X16" s="624"/>
      <c r="Y16" s="411"/>
      <c r="Z16" s="607">
        <v>251068</v>
      </c>
      <c r="AA16" s="603">
        <v>9423864</v>
      </c>
      <c r="AD16" s="620"/>
      <c r="AE16" s="620"/>
    </row>
    <row r="17" spans="1:35" ht="12" customHeight="1">
      <c r="A17" s="597" t="s">
        <v>642</v>
      </c>
      <c r="B17" s="605"/>
      <c r="C17" s="605"/>
      <c r="D17" s="598"/>
      <c r="E17" s="605"/>
      <c r="F17" s="414"/>
      <c r="G17" s="607"/>
      <c r="H17" s="607"/>
      <c r="I17" s="634"/>
      <c r="J17" s="607">
        <v>1073025</v>
      </c>
      <c r="K17" s="414">
        <v>3150764</v>
      </c>
      <c r="L17" s="607">
        <v>3150764</v>
      </c>
      <c r="M17" s="610">
        <v>0</v>
      </c>
      <c r="N17" s="582"/>
      <c r="O17" s="600" t="s">
        <v>643</v>
      </c>
      <c r="P17" s="633"/>
      <c r="Q17" s="633"/>
      <c r="R17" s="613"/>
      <c r="S17" s="633"/>
      <c r="T17" s="408"/>
      <c r="U17" s="607"/>
      <c r="V17" s="607"/>
      <c r="W17" s="600"/>
      <c r="X17" s="615"/>
      <c r="Y17" s="411"/>
      <c r="Z17" s="607">
        <v>-6904650</v>
      </c>
      <c r="AA17" s="603">
        <v>13615166</v>
      </c>
      <c r="AD17" s="620"/>
      <c r="AE17" s="620"/>
    </row>
    <row r="18" spans="1:35" ht="12" customHeight="1">
      <c r="A18" s="604" t="s">
        <v>42</v>
      </c>
      <c r="B18" s="605"/>
      <c r="C18" s="606">
        <f>'Planilla final'!Q16</f>
        <v>4645673</v>
      </c>
      <c r="D18" s="598">
        <f t="shared" ref="D18:D27" si="2">F18-C18</f>
        <v>-4284809</v>
      </c>
      <c r="E18" s="605"/>
      <c r="F18" s="408">
        <v>360864</v>
      </c>
      <c r="G18" s="607">
        <v>2163623</v>
      </c>
      <c r="H18" s="607"/>
      <c r="I18" s="608">
        <v>2524487</v>
      </c>
      <c r="J18" s="607">
        <v>9280194</v>
      </c>
      <c r="K18" s="609">
        <v>112886401</v>
      </c>
      <c r="L18" s="607">
        <v>-2499431</v>
      </c>
      <c r="M18" s="610">
        <v>115385832</v>
      </c>
      <c r="N18" s="582"/>
      <c r="O18" s="635" t="s">
        <v>644</v>
      </c>
      <c r="P18" s="633">
        <v>18</v>
      </c>
      <c r="Q18" s="636">
        <f>'Planilla final'!Q38</f>
        <v>1645615</v>
      </c>
      <c r="R18" s="613">
        <f t="shared" ref="R18:R26" si="3">+Q18-T18</f>
        <v>-8390</v>
      </c>
      <c r="S18" s="633"/>
      <c r="T18" s="408">
        <v>1654005</v>
      </c>
      <c r="U18" s="607">
        <v>-2724382</v>
      </c>
      <c r="V18" s="607"/>
      <c r="W18" s="637">
        <v>4378387</v>
      </c>
      <c r="X18" s="615">
        <v>-5296545</v>
      </c>
      <c r="Y18" s="638">
        <v>9674932</v>
      </c>
      <c r="Z18" s="607">
        <v>-3509537</v>
      </c>
      <c r="AA18" s="603">
        <v>5713210</v>
      </c>
      <c r="AD18" s="620"/>
      <c r="AE18" s="620"/>
    </row>
    <row r="19" spans="1:35" ht="12" customHeight="1">
      <c r="A19" s="604" t="s">
        <v>638</v>
      </c>
      <c r="B19" s="605">
        <v>21</v>
      </c>
      <c r="C19" s="606">
        <f>'Planilla final'!Q15</f>
        <v>0</v>
      </c>
      <c r="D19" s="598">
        <f t="shared" si="2"/>
        <v>2077739</v>
      </c>
      <c r="E19" s="605"/>
      <c r="F19" s="408">
        <v>2077739</v>
      </c>
      <c r="G19" s="607">
        <v>0</v>
      </c>
      <c r="H19" s="607"/>
      <c r="I19" s="608">
        <v>2077739</v>
      </c>
      <c r="J19" s="607">
        <v>37744</v>
      </c>
      <c r="K19" s="609">
        <v>661755</v>
      </c>
      <c r="L19" s="607">
        <v>-39210</v>
      </c>
      <c r="M19" s="610">
        <v>700965</v>
      </c>
      <c r="N19" s="582"/>
      <c r="O19" s="635" t="s">
        <v>78</v>
      </c>
      <c r="P19" s="633">
        <v>19</v>
      </c>
      <c r="Q19" s="636">
        <f>'Planilla final'!Q39</f>
        <v>6657895</v>
      </c>
      <c r="R19" s="613">
        <f t="shared" si="3"/>
        <v>6657895</v>
      </c>
      <c r="S19" s="633"/>
      <c r="T19" s="408">
        <v>0</v>
      </c>
      <c r="U19" s="607">
        <v>-2447101</v>
      </c>
      <c r="V19" s="607"/>
      <c r="W19" s="637">
        <v>2447101</v>
      </c>
      <c r="X19" s="615">
        <v>-4263415</v>
      </c>
      <c r="Y19" s="638">
        <v>6710516</v>
      </c>
      <c r="Z19" s="607">
        <v>2</v>
      </c>
      <c r="AA19" s="603">
        <v>10628878</v>
      </c>
      <c r="AC19" s="639"/>
      <c r="AD19" s="620"/>
      <c r="AE19" s="620"/>
      <c r="AG19" s="640"/>
      <c r="AI19" s="640"/>
    </row>
    <row r="20" spans="1:35" ht="12" customHeight="1">
      <c r="A20" s="604" t="s">
        <v>645</v>
      </c>
      <c r="B20" s="605">
        <v>12</v>
      </c>
      <c r="C20" s="606">
        <f>'Planilla final'!Q17+'Planilla final'!Q18</f>
        <v>78965096.439999998</v>
      </c>
      <c r="D20" s="598">
        <f t="shared" si="2"/>
        <v>6967974.5600000024</v>
      </c>
      <c r="E20" s="605"/>
      <c r="F20" s="408">
        <v>85933071</v>
      </c>
      <c r="G20" s="607">
        <v>17673136</v>
      </c>
      <c r="H20" s="607"/>
      <c r="I20" s="608">
        <v>103606207</v>
      </c>
      <c r="J20" s="607">
        <v>-2676829</v>
      </c>
      <c r="K20" s="609">
        <v>11276112</v>
      </c>
      <c r="L20" s="607">
        <v>-841341</v>
      </c>
      <c r="M20" s="610">
        <v>12117453</v>
      </c>
      <c r="N20" s="582"/>
      <c r="O20" s="611" t="s">
        <v>637</v>
      </c>
      <c r="P20" s="582">
        <v>20</v>
      </c>
      <c r="Q20" s="612">
        <f>'Planilla final'!Q40</f>
        <v>0</v>
      </c>
      <c r="R20" s="613">
        <f t="shared" si="3"/>
        <v>0</v>
      </c>
      <c r="S20" s="582"/>
      <c r="T20" s="408">
        <v>0</v>
      </c>
      <c r="U20" s="607">
        <v>-2345800</v>
      </c>
      <c r="V20" s="607"/>
      <c r="W20" s="641">
        <v>2345800</v>
      </c>
      <c r="X20" s="615">
        <v>142127</v>
      </c>
      <c r="Y20" s="638">
        <v>2203673</v>
      </c>
      <c r="Z20" s="607">
        <v>-477887</v>
      </c>
      <c r="AA20" s="603">
        <v>2793866</v>
      </c>
      <c r="AD20" s="620"/>
      <c r="AE20" s="620"/>
      <c r="AF20" s="581"/>
      <c r="AG20" s="640"/>
      <c r="AH20" s="581"/>
      <c r="AI20" s="640"/>
    </row>
    <row r="21" spans="1:35" ht="12" customHeight="1">
      <c r="A21" s="604" t="s">
        <v>646</v>
      </c>
      <c r="B21" s="605">
        <v>13</v>
      </c>
      <c r="C21" s="606">
        <f>'Planilla final'!Q19</f>
        <v>984912.65</v>
      </c>
      <c r="D21" s="598">
        <f t="shared" si="2"/>
        <v>-400111.65</v>
      </c>
      <c r="E21" s="605"/>
      <c r="F21" s="408">
        <v>584801</v>
      </c>
      <c r="G21" s="607">
        <v>39210</v>
      </c>
      <c r="H21" s="607"/>
      <c r="I21" s="608">
        <v>624011</v>
      </c>
      <c r="J21" s="607">
        <v>0</v>
      </c>
      <c r="K21" s="609">
        <v>1422229</v>
      </c>
      <c r="L21" s="607">
        <v>0</v>
      </c>
      <c r="M21" s="610">
        <v>1422229</v>
      </c>
      <c r="N21" s="582"/>
      <c r="O21" s="611" t="s">
        <v>638</v>
      </c>
      <c r="P21" s="582">
        <v>21</v>
      </c>
      <c r="Q21" s="612">
        <f>'Planilla final'!Q41</f>
        <v>693806.23000000045</v>
      </c>
      <c r="R21" s="613">
        <f t="shared" si="3"/>
        <v>187048.23000000045</v>
      </c>
      <c r="S21" s="582"/>
      <c r="T21" s="408">
        <v>506758</v>
      </c>
      <c r="U21" s="607">
        <v>-10525144</v>
      </c>
      <c r="V21" s="607"/>
      <c r="W21" s="641">
        <v>11031902</v>
      </c>
      <c r="X21" s="615">
        <v>403022</v>
      </c>
      <c r="Y21" s="638">
        <v>10628880</v>
      </c>
      <c r="Z21" s="607">
        <v>-610580</v>
      </c>
      <c r="AA21" s="603">
        <v>5796127</v>
      </c>
      <c r="AD21" s="620"/>
      <c r="AE21" s="620"/>
    </row>
    <row r="22" spans="1:35" ht="12" customHeight="1">
      <c r="A22" s="604" t="s">
        <v>647</v>
      </c>
      <c r="B22" s="605">
        <v>14</v>
      </c>
      <c r="C22" s="606">
        <f>'Planilla final'!Q20</f>
        <v>11598541</v>
      </c>
      <c r="D22" s="598">
        <f t="shared" si="2"/>
        <v>635543</v>
      </c>
      <c r="E22" s="605"/>
      <c r="F22" s="408">
        <v>12234084</v>
      </c>
      <c r="G22" s="607">
        <v>1718857</v>
      </c>
      <c r="H22" s="607"/>
      <c r="I22" s="608">
        <v>13952941</v>
      </c>
      <c r="J22" s="607">
        <v>0</v>
      </c>
      <c r="K22" s="609">
        <v>3318028</v>
      </c>
      <c r="L22" s="607">
        <v>-3227531</v>
      </c>
      <c r="M22" s="610">
        <v>6545559</v>
      </c>
      <c r="N22" s="582"/>
      <c r="O22" s="611" t="s">
        <v>72</v>
      </c>
      <c r="P22" s="582">
        <v>22</v>
      </c>
      <c r="Q22" s="612">
        <f>'Planilla final'!Q42</f>
        <v>1141591</v>
      </c>
      <c r="R22" s="613">
        <f t="shared" si="3"/>
        <v>-12273597</v>
      </c>
      <c r="S22" s="582"/>
      <c r="T22" s="408">
        <v>13415188</v>
      </c>
      <c r="U22" s="607">
        <v>12329117</v>
      </c>
      <c r="V22" s="607"/>
      <c r="W22" s="641">
        <v>1086071</v>
      </c>
      <c r="X22" s="615">
        <v>-1229908</v>
      </c>
      <c r="Y22" s="638">
        <v>2315979</v>
      </c>
      <c r="Z22" s="607">
        <v>3116879</v>
      </c>
      <c r="AA22" s="603">
        <v>17696327</v>
      </c>
      <c r="AD22" s="620"/>
      <c r="AE22" s="620"/>
    </row>
    <row r="23" spans="1:35" ht="12" customHeight="1">
      <c r="A23" s="604" t="s">
        <v>56</v>
      </c>
      <c r="B23" s="605">
        <v>15</v>
      </c>
      <c r="C23" s="606">
        <f>'Planilla final'!Q21</f>
        <v>0</v>
      </c>
      <c r="D23" s="598">
        <f t="shared" si="2"/>
        <v>1673584</v>
      </c>
      <c r="E23" s="605"/>
      <c r="F23" s="408">
        <v>1673584</v>
      </c>
      <c r="G23" s="607">
        <v>-251355</v>
      </c>
      <c r="H23" s="607"/>
      <c r="I23" s="608">
        <v>1422229</v>
      </c>
      <c r="J23" s="607">
        <v>1257222</v>
      </c>
      <c r="K23" s="609">
        <v>4326687</v>
      </c>
      <c r="L23" s="607">
        <v>1190535</v>
      </c>
      <c r="M23" s="610">
        <v>3136152</v>
      </c>
      <c r="N23" s="582"/>
      <c r="O23" s="611" t="s">
        <v>880</v>
      </c>
      <c r="P23" s="582">
        <v>28</v>
      </c>
      <c r="Q23" s="612">
        <f>'Planilla final'!Q43</f>
        <v>7332501</v>
      </c>
      <c r="R23" s="613">
        <f t="shared" si="3"/>
        <v>-910979</v>
      </c>
      <c r="S23" s="582"/>
      <c r="T23" s="408">
        <v>8243480</v>
      </c>
      <c r="U23" s="607">
        <v>2284473</v>
      </c>
      <c r="V23" s="607"/>
      <c r="W23" s="641">
        <v>5959007</v>
      </c>
      <c r="X23" s="615">
        <v>773460</v>
      </c>
      <c r="Y23" s="638">
        <v>5185547</v>
      </c>
      <c r="Z23" s="607">
        <v>0</v>
      </c>
      <c r="AA23" s="603">
        <v>3572443</v>
      </c>
      <c r="AD23" s="620"/>
      <c r="AE23" s="620"/>
    </row>
    <row r="24" spans="1:35" ht="12" customHeight="1">
      <c r="A24" s="604" t="s">
        <v>516</v>
      </c>
      <c r="B24" s="605">
        <v>16</v>
      </c>
      <c r="C24" s="606">
        <f>'Planilla final'!Q22</f>
        <v>4056030</v>
      </c>
      <c r="D24" s="598">
        <f t="shared" si="2"/>
        <v>-469628.5299999998</v>
      </c>
      <c r="E24" s="605"/>
      <c r="F24" s="408">
        <v>3586401.47</v>
      </c>
      <c r="G24" s="607">
        <v>-268373.46999999898</v>
      </c>
      <c r="H24" s="607"/>
      <c r="I24" s="608">
        <v>3318028</v>
      </c>
      <c r="J24" s="607"/>
      <c r="K24" s="609">
        <v>0</v>
      </c>
      <c r="L24" s="607"/>
      <c r="M24" s="610"/>
      <c r="N24" s="582"/>
      <c r="O24" s="611" t="s">
        <v>76</v>
      </c>
      <c r="P24" s="582">
        <v>26</v>
      </c>
      <c r="Q24" s="612">
        <f>+'Planilla final'!Q37</f>
        <v>45106525</v>
      </c>
      <c r="R24" s="613">
        <f t="shared" si="3"/>
        <v>11250279</v>
      </c>
      <c r="S24" s="582"/>
      <c r="T24" s="408">
        <v>33856246</v>
      </c>
      <c r="U24" s="607">
        <v>9060189</v>
      </c>
      <c r="V24" s="607"/>
      <c r="W24" s="641">
        <v>24796057</v>
      </c>
      <c r="X24" s="615">
        <v>3982851</v>
      </c>
      <c r="Y24" s="638">
        <v>20813206</v>
      </c>
      <c r="Z24" s="607"/>
      <c r="AA24" s="603"/>
      <c r="AD24" s="620"/>
      <c r="AE24" s="620"/>
    </row>
    <row r="25" spans="1:35" ht="12" customHeight="1">
      <c r="A25" s="604" t="s">
        <v>61</v>
      </c>
      <c r="B25" s="605"/>
      <c r="C25" s="606">
        <f>'Planilla final'!Q25</f>
        <v>1737355.1799999997</v>
      </c>
      <c r="D25" s="598">
        <f t="shared" si="2"/>
        <v>-1735755.1799999997</v>
      </c>
      <c r="E25" s="605"/>
      <c r="F25" s="408">
        <v>1600</v>
      </c>
      <c r="G25" s="607">
        <v>3067865</v>
      </c>
      <c r="H25" s="607"/>
      <c r="I25" s="608">
        <v>3069465</v>
      </c>
      <c r="J25" s="607">
        <v>-261500</v>
      </c>
      <c r="K25" s="609">
        <v>0</v>
      </c>
      <c r="L25" s="607">
        <v>0</v>
      </c>
      <c r="M25" s="610">
        <v>0</v>
      </c>
      <c r="N25" s="414"/>
      <c r="O25" s="611" t="s">
        <v>648</v>
      </c>
      <c r="P25" s="582">
        <v>17</v>
      </c>
      <c r="Q25" s="612">
        <f>'Planilla final'!Q44</f>
        <v>2542451</v>
      </c>
      <c r="R25" s="613">
        <f t="shared" si="3"/>
        <v>-261708</v>
      </c>
      <c r="S25" s="582"/>
      <c r="T25" s="408">
        <v>2804159</v>
      </c>
      <c r="U25" s="607">
        <v>2804159</v>
      </c>
      <c r="V25" s="607"/>
      <c r="W25" s="642">
        <v>0</v>
      </c>
      <c r="X25" s="615">
        <v>-3572443</v>
      </c>
      <c r="Y25" s="638">
        <v>3572443</v>
      </c>
      <c r="Z25" s="607">
        <v>0</v>
      </c>
      <c r="AA25" s="643">
        <v>0</v>
      </c>
      <c r="AD25" s="620"/>
      <c r="AE25" s="620"/>
    </row>
    <row r="26" spans="1:35" ht="12" customHeight="1">
      <c r="A26" s="604" t="s">
        <v>518</v>
      </c>
      <c r="B26" s="605">
        <v>17</v>
      </c>
      <c r="C26" s="606">
        <f>'Planilla final'!Q24</f>
        <v>3949574</v>
      </c>
      <c r="D26" s="598">
        <f t="shared" si="2"/>
        <v>197533</v>
      </c>
      <c r="E26" s="605"/>
      <c r="F26" s="408">
        <v>4147107</v>
      </c>
      <c r="G26" s="607">
        <v>-4147107</v>
      </c>
      <c r="H26" s="607"/>
      <c r="I26" s="608">
        <v>0</v>
      </c>
      <c r="K26" s="626">
        <v>140254410</v>
      </c>
      <c r="M26" s="626">
        <v>142314484</v>
      </c>
      <c r="N26" s="582"/>
      <c r="O26" s="611" t="s">
        <v>842</v>
      </c>
      <c r="P26" s="582">
        <v>29</v>
      </c>
      <c r="Q26" s="612">
        <f>'Planilla final'!Q46</f>
        <v>2580000</v>
      </c>
      <c r="R26" s="613">
        <f t="shared" si="3"/>
        <v>0</v>
      </c>
      <c r="S26" s="582"/>
      <c r="T26" s="408">
        <v>2580000</v>
      </c>
      <c r="U26" s="607">
        <v>0</v>
      </c>
      <c r="V26" s="607"/>
      <c r="W26" s="641">
        <v>2580000</v>
      </c>
      <c r="X26" s="615">
        <v>2580000</v>
      </c>
      <c r="Y26" s="644">
        <v>0</v>
      </c>
      <c r="AA26" s="645">
        <v>69239881</v>
      </c>
      <c r="AD26" s="620"/>
      <c r="AE26" s="620"/>
    </row>
    <row r="27" spans="1:35" ht="12" customHeight="1">
      <c r="A27" s="604" t="s">
        <v>649</v>
      </c>
      <c r="B27" s="605"/>
      <c r="C27" s="606">
        <f>'Planilla final'!Q23</f>
        <v>263613</v>
      </c>
      <c r="D27" s="598">
        <f t="shared" si="2"/>
        <v>0</v>
      </c>
      <c r="E27" s="605"/>
      <c r="F27" s="408">
        <v>263613</v>
      </c>
      <c r="G27" s="607">
        <v>-2113</v>
      </c>
      <c r="H27" s="607"/>
      <c r="I27" s="608">
        <v>261500</v>
      </c>
      <c r="K27" s="414"/>
      <c r="M27" s="414"/>
      <c r="N27" s="414"/>
      <c r="O27" s="632" t="s">
        <v>144</v>
      </c>
      <c r="P27" s="633"/>
      <c r="Q27" s="646">
        <f>SUM(Q18:Q26)</f>
        <v>67700384.230000004</v>
      </c>
      <c r="R27" s="647"/>
      <c r="S27" s="633"/>
      <c r="T27" s="646">
        <v>63059836</v>
      </c>
      <c r="U27" s="578"/>
      <c r="V27" s="578"/>
      <c r="W27" s="648">
        <v>54624325</v>
      </c>
      <c r="X27" s="624"/>
      <c r="Y27" s="649">
        <v>61105176</v>
      </c>
      <c r="AA27" s="650">
        <v>140375149</v>
      </c>
      <c r="AD27" s="620"/>
      <c r="AE27" s="620"/>
    </row>
    <row r="28" spans="1:35" ht="12" customHeight="1">
      <c r="A28" s="597" t="s">
        <v>650</v>
      </c>
      <c r="B28" s="605"/>
      <c r="C28" s="628">
        <f>SUM(C18:C27)</f>
        <v>106200795.27000001</v>
      </c>
      <c r="D28" s="651"/>
      <c r="E28" s="605"/>
      <c r="F28" s="628">
        <v>110862864.47</v>
      </c>
      <c r="G28" s="626"/>
      <c r="H28" s="626"/>
      <c r="I28" s="629">
        <v>130856607</v>
      </c>
      <c r="K28" s="414"/>
      <c r="M28" s="414"/>
      <c r="N28" s="414"/>
      <c r="O28" s="632" t="s">
        <v>86</v>
      </c>
      <c r="P28" s="633"/>
      <c r="Q28" s="628">
        <f>Q15+Q27</f>
        <v>139001305.94999999</v>
      </c>
      <c r="R28" s="647"/>
      <c r="S28" s="633"/>
      <c r="T28" s="628">
        <v>122398073</v>
      </c>
      <c r="U28" s="578"/>
      <c r="V28" s="578"/>
      <c r="W28" s="652">
        <v>124873036</v>
      </c>
      <c r="X28" s="624"/>
      <c r="Y28" s="653">
        <v>127247534</v>
      </c>
      <c r="AA28" s="544"/>
      <c r="AD28" s="620"/>
      <c r="AE28" s="620"/>
    </row>
    <row r="29" spans="1:35" ht="12" customHeight="1">
      <c r="B29" s="625"/>
      <c r="C29" s="625"/>
      <c r="D29" s="651"/>
      <c r="E29" s="625"/>
      <c r="F29" s="408"/>
      <c r="G29" s="414"/>
      <c r="H29" s="414"/>
      <c r="I29" s="414"/>
      <c r="K29" s="414"/>
      <c r="M29" s="414"/>
      <c r="N29" s="582"/>
      <c r="O29" s="632"/>
      <c r="P29" s="633"/>
      <c r="Q29" s="408"/>
      <c r="R29" s="647"/>
      <c r="S29" s="633"/>
      <c r="T29" s="408"/>
      <c r="U29" s="578"/>
      <c r="V29" s="578"/>
      <c r="W29" s="654"/>
      <c r="X29" s="624"/>
      <c r="Y29" s="655"/>
      <c r="AA29" s="656"/>
      <c r="AD29" s="620"/>
      <c r="AE29" s="620"/>
    </row>
    <row r="30" spans="1:35" ht="12" customHeight="1">
      <c r="B30" s="625"/>
      <c r="C30" s="625"/>
      <c r="D30" s="651"/>
      <c r="E30" s="625"/>
      <c r="F30" s="408"/>
      <c r="G30" s="414"/>
      <c r="H30" s="414"/>
      <c r="I30" s="414"/>
      <c r="K30" s="414"/>
      <c r="M30" s="414"/>
      <c r="N30" s="414"/>
      <c r="O30" s="632" t="s">
        <v>651</v>
      </c>
      <c r="P30" s="633"/>
      <c r="Q30" s="408">
        <f>'Planilla final'!Q59</f>
        <v>86466227.840000004</v>
      </c>
      <c r="R30" s="613">
        <f>+Q30-T30</f>
        <v>-2034669.6299999952</v>
      </c>
      <c r="S30" s="633"/>
      <c r="T30" s="408">
        <v>88500897.469999999</v>
      </c>
      <c r="U30" s="578">
        <v>5522747.4699999997</v>
      </c>
      <c r="V30" s="578"/>
      <c r="W30" s="609">
        <v>82978150</v>
      </c>
      <c r="X30" s="624">
        <v>2652798</v>
      </c>
      <c r="Y30" s="657">
        <v>80325352</v>
      </c>
      <c r="Z30" s="578">
        <v>5629205</v>
      </c>
      <c r="AA30" s="617">
        <v>74696147</v>
      </c>
      <c r="AC30" s="420"/>
      <c r="AD30" s="620"/>
      <c r="AE30" s="620"/>
    </row>
    <row r="31" spans="1:35" ht="12" customHeight="1">
      <c r="B31" s="625"/>
      <c r="C31" s="625"/>
      <c r="D31" s="651"/>
      <c r="E31" s="625"/>
      <c r="F31" s="408"/>
      <c r="G31" s="414"/>
      <c r="H31" s="414"/>
      <c r="I31" s="414"/>
      <c r="K31" s="414"/>
      <c r="M31" s="414"/>
      <c r="N31" s="658"/>
      <c r="O31" s="414"/>
      <c r="P31" s="622"/>
      <c r="Q31" s="414"/>
      <c r="R31" s="659"/>
      <c r="S31" s="622"/>
      <c r="T31" s="414"/>
      <c r="U31" s="414"/>
      <c r="V31" s="414"/>
      <c r="W31" s="414"/>
      <c r="X31" s="624"/>
      <c r="Y31" s="411"/>
      <c r="AD31" s="620"/>
      <c r="AE31" s="620"/>
    </row>
    <row r="32" spans="1:35" ht="12" customHeight="1">
      <c r="A32" s="460" t="s">
        <v>652</v>
      </c>
      <c r="B32" s="605"/>
      <c r="C32" s="660">
        <f>C15+C28</f>
        <v>225467533.79000002</v>
      </c>
      <c r="D32" s="1033">
        <f>SUM(D5:D31)</f>
        <v>-14568563.319999989</v>
      </c>
      <c r="E32" s="605"/>
      <c r="F32" s="660">
        <v>210898970.47</v>
      </c>
      <c r="G32" s="640"/>
      <c r="H32" s="640"/>
      <c r="I32" s="660">
        <v>207851186</v>
      </c>
      <c r="J32" s="580"/>
      <c r="K32" s="640">
        <v>207572886</v>
      </c>
      <c r="L32" s="580"/>
      <c r="M32" s="640">
        <v>215071296</v>
      </c>
      <c r="N32" s="582"/>
      <c r="O32" s="661" t="s">
        <v>653</v>
      </c>
      <c r="P32" s="661"/>
      <c r="Q32" s="660">
        <f>Q28+Q30</f>
        <v>225467533.78999999</v>
      </c>
      <c r="R32" s="1033">
        <f>SUM(R5:R31)</f>
        <v>14568563.320000004</v>
      </c>
      <c r="S32" s="661"/>
      <c r="T32" s="660">
        <v>210898970.47</v>
      </c>
      <c r="U32" s="640"/>
      <c r="V32" s="640"/>
      <c r="W32" s="662">
        <v>207851186</v>
      </c>
      <c r="X32" s="595"/>
      <c r="Y32" s="663">
        <v>207572886</v>
      </c>
      <c r="Z32" s="580"/>
      <c r="AA32" s="660">
        <v>215071296</v>
      </c>
      <c r="AD32" s="620"/>
      <c r="AE32" s="620"/>
    </row>
    <row r="33" spans="1:30" ht="5.0999999999999996" customHeight="1">
      <c r="B33" s="625"/>
      <c r="C33" s="625"/>
      <c r="D33" s="625"/>
      <c r="E33" s="625"/>
      <c r="F33" s="414"/>
      <c r="G33" s="414"/>
      <c r="H33" s="414"/>
      <c r="I33" s="414"/>
      <c r="K33" s="664"/>
      <c r="M33" s="414"/>
      <c r="N33" s="582"/>
      <c r="O33" s="656"/>
      <c r="P33" s="656"/>
      <c r="Q33" s="656"/>
      <c r="R33" s="656"/>
      <c r="S33" s="656"/>
      <c r="T33" s="414"/>
      <c r="U33" s="656"/>
      <c r="V33" s="656"/>
      <c r="W33" s="656"/>
      <c r="X33" s="665"/>
      <c r="Y33" s="419"/>
      <c r="AD33" s="656"/>
    </row>
    <row r="34" spans="1:30" ht="17.25" customHeight="1">
      <c r="A34" s="407" t="s">
        <v>654</v>
      </c>
      <c r="C34"/>
      <c r="F34" s="420"/>
      <c r="I34"/>
      <c r="K34" s="664"/>
      <c r="N34" s="582"/>
      <c r="O34" s="656"/>
      <c r="P34" s="656"/>
      <c r="Q34" s="656"/>
      <c r="R34" s="656"/>
      <c r="S34" s="656"/>
      <c r="T34" s="407"/>
      <c r="AD34" s="656"/>
    </row>
    <row r="35" spans="1:30" ht="11.85" customHeight="1">
      <c r="F35" s="420"/>
      <c r="K35" s="664"/>
      <c r="N35" s="582"/>
      <c r="O35" s="656"/>
      <c r="P35" s="656"/>
      <c r="Q35" s="656">
        <f>C32-Q32</f>
        <v>0</v>
      </c>
      <c r="R35" s="656"/>
      <c r="S35" s="656"/>
      <c r="T35" s="619">
        <v>0</v>
      </c>
      <c r="U35" s="619">
        <v>0</v>
      </c>
      <c r="V35" s="619"/>
      <c r="W35" s="619">
        <v>0</v>
      </c>
      <c r="AD35" s="656"/>
    </row>
    <row r="36" spans="1:30" ht="12" customHeight="1">
      <c r="F36" s="407"/>
      <c r="K36" s="656"/>
      <c r="N36" s="582"/>
      <c r="O36" s="656"/>
      <c r="P36" s="656"/>
      <c r="Q36" s="656"/>
      <c r="R36" s="656"/>
      <c r="S36" s="656"/>
      <c r="T36" s="407"/>
      <c r="U36" s="656"/>
      <c r="V36" s="656"/>
      <c r="W36" s="656"/>
      <c r="Y36" s="656"/>
      <c r="AA36" s="656"/>
      <c r="AD36" s="656"/>
    </row>
    <row r="37" spans="1:30" s="987" customFormat="1" ht="12" customHeight="1">
      <c r="A37" s="985" t="s">
        <v>655</v>
      </c>
      <c r="B37" s="985"/>
      <c r="C37" s="986"/>
      <c r="F37" s="988"/>
      <c r="G37" s="989"/>
      <c r="H37" s="990"/>
      <c r="I37" s="989"/>
      <c r="K37" s="991"/>
      <c r="L37" s="992" t="s">
        <v>869</v>
      </c>
      <c r="M37" s="992"/>
      <c r="O37" s="992" t="s">
        <v>869</v>
      </c>
      <c r="P37" s="992"/>
      <c r="Q37" s="986"/>
      <c r="R37" s="989"/>
      <c r="T37" s="989"/>
      <c r="V37" s="993"/>
      <c r="X37" s="990"/>
    </row>
    <row r="38" spans="1:30" s="987" customFormat="1" ht="12" customHeight="1">
      <c r="A38" s="994" t="s">
        <v>656</v>
      </c>
      <c r="B38" s="994"/>
      <c r="C38" s="995">
        <f>+'EFE20'!C15</f>
        <v>468128</v>
      </c>
      <c r="D38" s="996"/>
      <c r="E38" s="996"/>
      <c r="F38" s="996"/>
      <c r="G38" s="989"/>
      <c r="H38" s="990"/>
      <c r="I38" s="989"/>
      <c r="J38" s="990"/>
      <c r="K38" s="991"/>
      <c r="L38" s="994" t="s">
        <v>348</v>
      </c>
      <c r="M38" s="994"/>
      <c r="O38" s="994" t="s">
        <v>348</v>
      </c>
      <c r="P38" s="994"/>
      <c r="Q38" s="995">
        <f>+Q47</f>
        <v>17336462.178671967</v>
      </c>
      <c r="R38" s="989"/>
      <c r="T38" s="989"/>
      <c r="V38" s="993"/>
      <c r="X38" s="990"/>
    </row>
    <row r="39" spans="1:30" s="987" customFormat="1" ht="12" customHeight="1">
      <c r="A39" s="1050" t="s">
        <v>657</v>
      </c>
      <c r="B39" s="1050"/>
      <c r="C39" s="1051">
        <f>-C38+D24</f>
        <v>-937756.5299999998</v>
      </c>
      <c r="D39" s="999"/>
      <c r="E39" s="999"/>
      <c r="F39" s="999"/>
      <c r="G39" s="989"/>
      <c r="H39" s="990"/>
      <c r="I39" s="989"/>
      <c r="L39" s="1000" t="s">
        <v>658</v>
      </c>
      <c r="M39" s="1000"/>
      <c r="O39" s="1000" t="s">
        <v>843</v>
      </c>
      <c r="P39" s="1000"/>
      <c r="Q39" s="1035">
        <f>+'ECP20'!T76</f>
        <v>-21629181</v>
      </c>
      <c r="R39" s="1047" t="s">
        <v>886</v>
      </c>
      <c r="T39" s="989"/>
      <c r="V39" s="993"/>
      <c r="X39" s="990"/>
    </row>
    <row r="40" spans="1:30" s="987" customFormat="1" ht="12" customHeight="1">
      <c r="A40" s="1002" t="s">
        <v>5</v>
      </c>
      <c r="B40" s="1002"/>
      <c r="C40" s="998">
        <f>+C38+C39</f>
        <v>-469628.5299999998</v>
      </c>
      <c r="D40" s="999"/>
      <c r="E40" s="999"/>
      <c r="F40" s="999"/>
      <c r="G40" s="989"/>
      <c r="H40" s="990"/>
      <c r="I40" s="989"/>
      <c r="K40" s="991"/>
      <c r="L40" s="1000" t="s">
        <v>659</v>
      </c>
      <c r="M40" s="1000"/>
      <c r="O40" s="1000" t="s">
        <v>659</v>
      </c>
      <c r="P40" s="1000"/>
      <c r="Q40" s="995">
        <v>0</v>
      </c>
      <c r="R40" s="989"/>
      <c r="T40" s="989"/>
      <c r="V40" s="993"/>
      <c r="X40" s="990"/>
    </row>
    <row r="41" spans="1:30" s="987" customFormat="1" ht="12" customHeight="1">
      <c r="C41" s="1003">
        <f>-C40+D24</f>
        <v>0</v>
      </c>
      <c r="G41" s="1004"/>
      <c r="H41" s="990"/>
      <c r="I41" s="1004"/>
      <c r="K41" s="991"/>
      <c r="L41" s="1005" t="s">
        <v>660</v>
      </c>
      <c r="M41" s="1005"/>
      <c r="O41" s="1005" t="s">
        <v>660</v>
      </c>
      <c r="P41" s="1005"/>
      <c r="Q41" s="995">
        <v>0</v>
      </c>
      <c r="R41" s="1004"/>
      <c r="S41" s="990"/>
      <c r="T41" s="1004"/>
      <c r="U41" s="990"/>
      <c r="V41" s="993"/>
      <c r="X41" s="990"/>
    </row>
    <row r="42" spans="1:30" s="987" customFormat="1" ht="12" customHeight="1">
      <c r="A42" s="985" t="s">
        <v>661</v>
      </c>
      <c r="B42" s="985"/>
      <c r="C42" s="986"/>
      <c r="G42" s="989"/>
      <c r="H42" s="990"/>
      <c r="I42" s="989"/>
      <c r="K42" s="991"/>
      <c r="L42" s="994" t="s">
        <v>749</v>
      </c>
      <c r="M42" s="994"/>
      <c r="O42" s="994" t="s">
        <v>749</v>
      </c>
      <c r="P42" s="994"/>
      <c r="Q42" s="995">
        <v>0</v>
      </c>
      <c r="R42" s="989"/>
      <c r="T42" s="989"/>
      <c r="V42" s="993"/>
      <c r="X42" s="990"/>
    </row>
    <row r="43" spans="1:30" s="987" customFormat="1" ht="12" customHeight="1">
      <c r="A43" s="994" t="s">
        <v>662</v>
      </c>
      <c r="B43" s="994"/>
      <c r="C43" s="995">
        <f>+'EFE20'!C10</f>
        <v>19635020</v>
      </c>
      <c r="D43" s="996"/>
      <c r="E43" s="996"/>
      <c r="F43" s="996"/>
      <c r="G43" s="989"/>
      <c r="H43" s="990"/>
      <c r="I43" s="989"/>
      <c r="J43" s="990"/>
      <c r="K43" s="991"/>
      <c r="L43" s="1005" t="s">
        <v>663</v>
      </c>
      <c r="M43" s="1005"/>
      <c r="O43" s="1005" t="s">
        <v>883</v>
      </c>
      <c r="P43" s="1005"/>
      <c r="Q43" s="995">
        <f>+'ECP20'!T71+'ECP20'!T74+'ECP20'!T78+'ECP20'!T80</f>
        <v>2260361</v>
      </c>
      <c r="R43" s="989"/>
      <c r="T43" s="989"/>
      <c r="V43" s="993"/>
      <c r="X43" s="990"/>
    </row>
    <row r="44" spans="1:30" s="987" customFormat="1" ht="12" customHeight="1">
      <c r="A44" s="997" t="s">
        <v>657</v>
      </c>
      <c r="B44" s="997"/>
      <c r="C44" s="998">
        <f>-C43+D20</f>
        <v>-12667045.439999998</v>
      </c>
      <c r="D44" s="999"/>
      <c r="E44" s="999"/>
      <c r="F44" s="999"/>
      <c r="G44" s="989"/>
      <c r="H44" s="990"/>
      <c r="I44" s="989"/>
      <c r="L44" s="994" t="s">
        <v>664</v>
      </c>
      <c r="M44" s="994"/>
      <c r="O44" s="994" t="s">
        <v>664</v>
      </c>
      <c r="P44" s="994"/>
      <c r="Q44" s="995">
        <v>0</v>
      </c>
      <c r="R44" s="989"/>
      <c r="T44" s="989"/>
      <c r="V44" s="993"/>
      <c r="X44" s="990"/>
    </row>
    <row r="45" spans="1:30" s="987" customFormat="1" ht="12" customHeight="1">
      <c r="A45" s="1002" t="s">
        <v>5</v>
      </c>
      <c r="B45" s="1002"/>
      <c r="C45" s="998">
        <f>+C43+C44</f>
        <v>6967974.5600000024</v>
      </c>
      <c r="D45" s="999"/>
      <c r="E45" s="999"/>
      <c r="F45" s="999"/>
      <c r="G45" s="989"/>
      <c r="H45" s="990"/>
      <c r="I45" s="989"/>
      <c r="K45" s="991"/>
      <c r="L45" s="1006" t="s">
        <v>5</v>
      </c>
      <c r="M45" s="1006"/>
      <c r="O45" s="1006" t="s">
        <v>5</v>
      </c>
      <c r="P45" s="1006"/>
      <c r="Q45" s="1007">
        <f>SUM(Q38:Q44)</f>
        <v>-2032357.8213280328</v>
      </c>
      <c r="R45" s="989"/>
      <c r="T45" s="989"/>
      <c r="V45" s="993"/>
      <c r="X45" s="990"/>
    </row>
    <row r="46" spans="1:30" s="987" customFormat="1" ht="12" customHeight="1">
      <c r="C46" s="999">
        <f>+C45-D20</f>
        <v>0</v>
      </c>
      <c r="D46" s="999"/>
      <c r="E46" s="999"/>
      <c r="F46" s="999"/>
      <c r="G46" s="1004"/>
      <c r="H46" s="1008"/>
      <c r="I46" s="1004"/>
      <c r="L46" s="1001"/>
      <c r="M46" s="1001"/>
      <c r="O46" s="1001"/>
      <c r="P46" s="1001"/>
      <c r="Q46" s="999">
        <f>+Q45-R30</f>
        <v>2311.8086719624698</v>
      </c>
      <c r="R46" s="1004"/>
      <c r="T46" s="1004"/>
      <c r="V46" s="993"/>
      <c r="X46" s="990"/>
    </row>
    <row r="47" spans="1:30" s="987" customFormat="1" ht="12" customHeight="1">
      <c r="A47" s="985" t="s">
        <v>665</v>
      </c>
      <c r="B47" s="985"/>
      <c r="C47" s="986"/>
      <c r="G47" s="989"/>
      <c r="H47" s="990"/>
      <c r="I47" s="989"/>
      <c r="K47" s="991"/>
      <c r="L47" s="1009" t="s">
        <v>348</v>
      </c>
      <c r="M47" s="1009"/>
      <c r="O47" s="1009" t="s">
        <v>348</v>
      </c>
      <c r="P47" s="1009"/>
      <c r="Q47" s="1010">
        <f>+'ECP20'!T82</f>
        <v>17336462.178671967</v>
      </c>
      <c r="R47" s="989"/>
      <c r="T47" s="989"/>
      <c r="V47" s="993"/>
      <c r="X47" s="990"/>
    </row>
    <row r="48" spans="1:30" s="987" customFormat="1" ht="12" customHeight="1">
      <c r="A48" s="994" t="s">
        <v>662</v>
      </c>
      <c r="B48" s="994"/>
      <c r="C48" s="995">
        <f>+'EFE20'!C12</f>
        <v>1808437</v>
      </c>
      <c r="D48" s="996"/>
      <c r="E48" s="996"/>
      <c r="F48" s="996"/>
      <c r="G48" s="989"/>
      <c r="H48" s="990"/>
      <c r="I48" s="989"/>
      <c r="J48" s="990"/>
      <c r="K48" s="991"/>
      <c r="L48" s="1011" t="s">
        <v>870</v>
      </c>
      <c r="M48" s="1011"/>
      <c r="O48" s="1011" t="s">
        <v>870</v>
      </c>
      <c r="P48" s="1011"/>
      <c r="Q48" s="998">
        <f>+C71</f>
        <v>7958121</v>
      </c>
      <c r="R48" s="989"/>
      <c r="T48" s="989"/>
      <c r="V48" s="993"/>
      <c r="X48" s="990"/>
    </row>
    <row r="49" spans="1:24" s="987" customFormat="1" ht="12" customHeight="1">
      <c r="A49" s="997" t="s">
        <v>666</v>
      </c>
      <c r="B49" s="997"/>
      <c r="C49" s="995">
        <v>0</v>
      </c>
      <c r="D49" s="999"/>
      <c r="E49" s="999"/>
      <c r="F49" s="999"/>
      <c r="G49" s="989"/>
      <c r="H49" s="990"/>
      <c r="I49" s="989"/>
      <c r="L49" s="1012" t="s">
        <v>109</v>
      </c>
      <c r="M49" s="1012"/>
      <c r="O49" s="1012" t="s">
        <v>109</v>
      </c>
      <c r="P49" s="1012"/>
      <c r="Q49" s="1013">
        <f>+Q47+Q48</f>
        <v>25294583.178671967</v>
      </c>
      <c r="R49" s="989"/>
      <c r="T49" s="989"/>
      <c r="V49" s="993"/>
      <c r="X49" s="990"/>
    </row>
    <row r="50" spans="1:24" s="987" customFormat="1" ht="12" customHeight="1">
      <c r="A50" s="997" t="s">
        <v>667</v>
      </c>
      <c r="B50" s="997"/>
      <c r="C50" s="998">
        <f>+D26-C48-C49</f>
        <v>-1610904</v>
      </c>
      <c r="D50" s="1014"/>
      <c r="E50" s="999"/>
      <c r="F50" s="999"/>
      <c r="G50" s="989"/>
      <c r="H50" s="990"/>
      <c r="I50" s="989"/>
      <c r="L50" s="1001"/>
      <c r="M50" s="1001"/>
      <c r="O50" s="1001"/>
      <c r="P50" s="1001"/>
      <c r="Q50" s="1001"/>
      <c r="R50" s="989"/>
      <c r="T50" s="989"/>
      <c r="V50" s="993"/>
      <c r="X50" s="990"/>
    </row>
    <row r="51" spans="1:24" s="987" customFormat="1" ht="12" customHeight="1">
      <c r="A51" s="1002" t="s">
        <v>5</v>
      </c>
      <c r="B51" s="1002"/>
      <c r="C51" s="998">
        <f>SUM(C48:C50)</f>
        <v>197533</v>
      </c>
      <c r="D51" s="999"/>
      <c r="E51" s="999"/>
      <c r="F51" s="999"/>
      <c r="G51" s="989"/>
      <c r="H51" s="990"/>
      <c r="I51" s="989"/>
      <c r="K51" s="991"/>
      <c r="L51" s="1001"/>
      <c r="M51" s="1001"/>
      <c r="O51" s="1001"/>
      <c r="P51" s="1001"/>
      <c r="Q51" s="1001"/>
      <c r="R51" s="989"/>
      <c r="T51" s="989"/>
      <c r="V51" s="993"/>
      <c r="X51" s="990"/>
    </row>
    <row r="52" spans="1:24" s="987" customFormat="1" ht="12" customHeight="1">
      <c r="C52" s="1015">
        <f>+D26-C51</f>
        <v>0</v>
      </c>
      <c r="D52" s="1015"/>
      <c r="E52" s="1015"/>
      <c r="F52" s="999"/>
      <c r="G52" s="989"/>
      <c r="H52" s="990"/>
      <c r="I52" s="989"/>
      <c r="K52" s="991"/>
      <c r="L52" s="1001"/>
      <c r="M52" s="1001"/>
      <c r="O52" s="1001"/>
      <c r="P52" s="1001"/>
      <c r="Q52" s="1001"/>
      <c r="R52" s="989"/>
      <c r="T52" s="989"/>
      <c r="V52" s="993"/>
      <c r="X52" s="990"/>
    </row>
    <row r="53" spans="1:24" s="987" customFormat="1" ht="12" customHeight="1">
      <c r="A53" s="985" t="s">
        <v>668</v>
      </c>
      <c r="B53" s="985"/>
      <c r="C53" s="986"/>
      <c r="D53" s="999"/>
      <c r="E53" s="999"/>
      <c r="F53" s="999"/>
      <c r="G53" s="989"/>
      <c r="H53" s="990"/>
      <c r="I53" s="989"/>
      <c r="K53" s="991"/>
      <c r="L53" s="1001"/>
      <c r="M53" s="1001"/>
      <c r="O53" s="1001"/>
      <c r="P53" s="1001"/>
      <c r="Q53" s="1001"/>
      <c r="R53" s="989"/>
      <c r="T53" s="989"/>
      <c r="V53" s="993"/>
      <c r="X53" s="990"/>
    </row>
    <row r="54" spans="1:24" s="987" customFormat="1" ht="12" customHeight="1">
      <c r="A54" s="994" t="s">
        <v>669</v>
      </c>
      <c r="B54" s="994"/>
      <c r="C54" s="995">
        <f>+'EFE20'!Y17</f>
        <v>649755</v>
      </c>
      <c r="D54" s="999"/>
      <c r="E54" s="999"/>
      <c r="F54" s="999"/>
      <c r="G54" s="1004"/>
      <c r="I54" s="1004"/>
      <c r="K54" s="991"/>
      <c r="L54" s="1001"/>
      <c r="M54" s="1001"/>
      <c r="O54" s="1001"/>
      <c r="P54" s="1001"/>
      <c r="Q54" s="1001"/>
      <c r="R54" s="1004"/>
      <c r="T54" s="1004"/>
      <c r="V54" s="993"/>
      <c r="X54" s="990"/>
    </row>
    <row r="55" spans="1:24" s="987" customFormat="1" ht="12" customHeight="1">
      <c r="A55" s="994" t="s">
        <v>884</v>
      </c>
      <c r="B55" s="994"/>
      <c r="C55" s="1035">
        <v>-17000</v>
      </c>
      <c r="D55" s="999"/>
      <c r="E55" s="999"/>
      <c r="F55" s="999"/>
      <c r="G55" s="1004"/>
      <c r="I55" s="1004"/>
      <c r="K55" s="991"/>
      <c r="L55" s="1001"/>
      <c r="M55" s="1001"/>
      <c r="O55" s="1001"/>
      <c r="P55" s="1001"/>
      <c r="Q55" s="1001"/>
      <c r="R55" s="1004"/>
      <c r="T55" s="1004"/>
      <c r="V55" s="993"/>
      <c r="X55" s="990"/>
    </row>
    <row r="56" spans="1:24" s="987" customFormat="1" ht="12" customHeight="1">
      <c r="A56" s="994" t="s">
        <v>670</v>
      </c>
      <c r="B56" s="994"/>
      <c r="C56" s="995">
        <f>-1543734</f>
        <v>-1543734</v>
      </c>
      <c r="D56" s="999"/>
      <c r="E56" s="999"/>
      <c r="F56" s="999"/>
      <c r="G56" s="1004"/>
      <c r="I56" s="1004"/>
      <c r="K56" s="991"/>
      <c r="L56" s="1001"/>
      <c r="M56" s="1001"/>
      <c r="O56" s="1001"/>
      <c r="P56" s="1001"/>
      <c r="Q56" s="1001"/>
      <c r="R56" s="1004"/>
      <c r="T56" s="1004"/>
      <c r="V56" s="993"/>
      <c r="X56" s="990"/>
    </row>
    <row r="57" spans="1:24" s="987" customFormat="1" ht="12" customHeight="1">
      <c r="A57" s="997" t="s">
        <v>671</v>
      </c>
      <c r="B57" s="997"/>
      <c r="C57" s="998">
        <f>+R23-C54-C55-C56</f>
        <v>0</v>
      </c>
      <c r="D57" s="999"/>
      <c r="E57" s="999"/>
      <c r="F57" s="999"/>
      <c r="G57" s="989"/>
      <c r="H57" s="990"/>
      <c r="I57" s="989"/>
      <c r="K57" s="991"/>
      <c r="L57" s="1001"/>
      <c r="M57" s="1001"/>
      <c r="O57" s="1001"/>
      <c r="P57" s="1001"/>
      <c r="Q57" s="1001"/>
      <c r="R57" s="989"/>
      <c r="T57" s="989"/>
      <c r="V57" s="993"/>
      <c r="X57" s="990"/>
    </row>
    <row r="58" spans="1:24" s="987" customFormat="1" ht="12" customHeight="1">
      <c r="A58" s="1002" t="s">
        <v>5</v>
      </c>
      <c r="B58" s="1002"/>
      <c r="C58" s="998">
        <f>SUM(C54:C57)</f>
        <v>-910979</v>
      </c>
      <c r="D58" s="999"/>
      <c r="E58" s="999"/>
      <c r="F58" s="999"/>
      <c r="G58" s="989"/>
      <c r="H58" s="990"/>
      <c r="I58" s="989"/>
      <c r="K58" s="991"/>
      <c r="L58" s="1001"/>
      <c r="M58" s="1001"/>
      <c r="O58" s="1001"/>
      <c r="P58" s="1001"/>
      <c r="Q58" s="1001"/>
      <c r="R58" s="989"/>
      <c r="T58" s="989"/>
      <c r="V58" s="993"/>
      <c r="X58" s="990"/>
    </row>
    <row r="59" spans="1:24" s="987" customFormat="1" ht="12" customHeight="1">
      <c r="C59" s="999">
        <f>+C58-R23</f>
        <v>0</v>
      </c>
      <c r="D59" s="999"/>
      <c r="E59" s="999"/>
      <c r="F59" s="999"/>
      <c r="G59" s="989"/>
      <c r="H59" s="990"/>
      <c r="I59" s="989"/>
      <c r="K59" s="991"/>
      <c r="L59" s="1001"/>
      <c r="M59" s="1001"/>
      <c r="O59" s="1001"/>
      <c r="P59" s="1001"/>
      <c r="Q59" s="1001"/>
      <c r="R59" s="989"/>
      <c r="T59" s="989"/>
      <c r="V59" s="993"/>
      <c r="X59" s="990"/>
    </row>
    <row r="60" spans="1:24" s="987" customFormat="1" ht="12" customHeight="1">
      <c r="A60" s="985" t="s">
        <v>672</v>
      </c>
      <c r="B60" s="985"/>
      <c r="C60" s="986"/>
      <c r="D60" s="999"/>
      <c r="E60" s="999"/>
      <c r="F60" s="999"/>
      <c r="G60" s="989"/>
      <c r="H60" s="990"/>
      <c r="I60" s="989"/>
      <c r="K60" s="991"/>
      <c r="L60" s="1001"/>
      <c r="M60" s="1001"/>
      <c r="O60" s="1001"/>
      <c r="P60" s="1001"/>
      <c r="Q60" s="1001"/>
      <c r="R60" s="989"/>
      <c r="T60" s="989"/>
      <c r="V60" s="993"/>
      <c r="X60" s="990"/>
    </row>
    <row r="61" spans="1:24" s="987" customFormat="1" ht="12" customHeight="1">
      <c r="A61" s="994" t="s">
        <v>871</v>
      </c>
      <c r="B61" s="994"/>
      <c r="C61" s="995">
        <f>+'EFE20'!C14</f>
        <v>2380394</v>
      </c>
      <c r="D61" s="999"/>
      <c r="E61" s="999"/>
      <c r="F61" s="999"/>
      <c r="G61" s="989"/>
      <c r="H61" s="990"/>
      <c r="I61" s="989"/>
      <c r="L61" s="1001"/>
      <c r="M61" s="1001"/>
      <c r="O61" s="1001"/>
      <c r="P61" s="1001"/>
      <c r="Q61" s="1001"/>
      <c r="R61" s="989"/>
      <c r="T61" s="989"/>
      <c r="V61" s="993"/>
      <c r="X61" s="990"/>
    </row>
    <row r="62" spans="1:24" s="987" customFormat="1" ht="12" customHeight="1">
      <c r="A62" s="997" t="s">
        <v>657</v>
      </c>
      <c r="B62" s="997"/>
      <c r="C62" s="998">
        <f>-C61+D22</f>
        <v>-1744851</v>
      </c>
      <c r="D62" s="999"/>
      <c r="E62" s="999"/>
      <c r="F62" s="999"/>
      <c r="G62" s="989"/>
      <c r="H62" s="990"/>
      <c r="I62" s="989"/>
      <c r="L62" s="1001"/>
      <c r="M62" s="1001"/>
      <c r="O62" s="1001"/>
      <c r="P62" s="1001"/>
      <c r="Q62" s="1001"/>
      <c r="R62" s="989"/>
      <c r="T62" s="989"/>
      <c r="V62" s="993"/>
      <c r="X62" s="990"/>
    </row>
    <row r="63" spans="1:24" s="987" customFormat="1" ht="12" customHeight="1">
      <c r="A63" s="1002" t="s">
        <v>5</v>
      </c>
      <c r="B63" s="1002"/>
      <c r="C63" s="998">
        <f>+C61+C62</f>
        <v>635543</v>
      </c>
      <c r="D63" s="999"/>
      <c r="E63" s="999"/>
      <c r="F63" s="999"/>
      <c r="G63" s="1004"/>
      <c r="H63" s="1001"/>
      <c r="I63" s="1004"/>
      <c r="L63" s="1001"/>
      <c r="M63" s="1001"/>
      <c r="O63" s="1001"/>
      <c r="P63" s="1001"/>
      <c r="Q63" s="1001"/>
      <c r="R63" s="1004"/>
      <c r="T63" s="1004"/>
      <c r="V63" s="993"/>
      <c r="X63" s="990"/>
    </row>
    <row r="64" spans="1:24" s="987" customFormat="1" ht="12" customHeight="1">
      <c r="C64" s="999">
        <f>+C63-D22</f>
        <v>0</v>
      </c>
      <c r="D64" s="999"/>
      <c r="E64" s="999"/>
      <c r="F64" s="999"/>
      <c r="G64" s="1004"/>
      <c r="H64" s="1001"/>
      <c r="I64" s="1004"/>
      <c r="L64" s="1001"/>
      <c r="M64" s="1001"/>
      <c r="O64" s="1001"/>
      <c r="P64" s="1001"/>
      <c r="Q64" s="1001"/>
      <c r="R64" s="1004"/>
      <c r="T64" s="1004"/>
      <c r="V64" s="993"/>
      <c r="X64" s="990"/>
    </row>
    <row r="65" spans="1:24" s="987" customFormat="1" ht="12" customHeight="1">
      <c r="A65" s="985" t="s">
        <v>872</v>
      </c>
      <c r="B65" s="985"/>
      <c r="C65" s="986"/>
      <c r="D65" s="999"/>
      <c r="E65" s="999"/>
      <c r="F65" s="999"/>
      <c r="G65" s="1004"/>
      <c r="I65" s="1004"/>
      <c r="L65" s="1001"/>
      <c r="M65" s="1001"/>
      <c r="O65" s="1001"/>
      <c r="P65" s="1001"/>
      <c r="Q65" s="1001"/>
      <c r="R65" s="1004"/>
      <c r="T65" s="1004"/>
      <c r="V65" s="993"/>
      <c r="X65" s="990"/>
    </row>
    <row r="66" spans="1:24" s="987" customFormat="1" ht="12" customHeight="1">
      <c r="A66" s="994" t="s">
        <v>873</v>
      </c>
      <c r="B66" s="994"/>
      <c r="C66" s="995">
        <f>+'EFE20'!C11</f>
        <v>39210</v>
      </c>
      <c r="D66" s="999"/>
      <c r="E66" s="999"/>
      <c r="F66" s="999"/>
      <c r="G66" s="1004"/>
      <c r="I66" s="1004"/>
      <c r="L66" s="1001"/>
      <c r="M66" s="1001"/>
      <c r="O66" s="1001"/>
      <c r="P66" s="1001"/>
      <c r="Q66" s="1001"/>
      <c r="R66" s="1004"/>
      <c r="T66" s="1004"/>
      <c r="V66" s="993"/>
      <c r="X66" s="990"/>
    </row>
    <row r="67" spans="1:24" s="987" customFormat="1" ht="12" customHeight="1">
      <c r="A67" s="997" t="s">
        <v>657</v>
      </c>
      <c r="B67" s="997"/>
      <c r="C67" s="998">
        <f>-C66+D21</f>
        <v>-439321.65</v>
      </c>
      <c r="D67" s="999"/>
      <c r="E67" s="999"/>
      <c r="F67" s="999"/>
      <c r="G67" s="1004"/>
      <c r="I67" s="1004"/>
      <c r="R67" s="1004"/>
      <c r="T67" s="1004"/>
      <c r="V67" s="993"/>
      <c r="X67" s="990"/>
    </row>
    <row r="68" spans="1:24" s="987" customFormat="1" ht="12" customHeight="1">
      <c r="A68" s="1002" t="s">
        <v>874</v>
      </c>
      <c r="B68" s="1002"/>
      <c r="C68" s="998">
        <f>+C66+C67</f>
        <v>-400111.65</v>
      </c>
      <c r="D68" s="999"/>
      <c r="E68" s="999"/>
      <c r="F68" s="999"/>
      <c r="G68" s="1004"/>
      <c r="I68" s="1004"/>
      <c r="R68" s="1004"/>
      <c r="T68" s="1004"/>
      <c r="V68" s="993"/>
      <c r="X68" s="990"/>
    </row>
    <row r="69" spans="1:24" s="987" customFormat="1" ht="12" customHeight="1">
      <c r="C69" s="999">
        <f>+C68-D21</f>
        <v>0</v>
      </c>
      <c r="D69" s="999"/>
      <c r="E69" s="999"/>
      <c r="F69" s="999"/>
      <c r="G69" s="1004"/>
      <c r="I69" s="1004"/>
      <c r="R69" s="1004"/>
      <c r="T69" s="1004"/>
      <c r="V69" s="993"/>
      <c r="X69" s="990"/>
    </row>
    <row r="70" spans="1:24" s="987" customFormat="1" ht="12" customHeight="1">
      <c r="A70" s="985" t="s">
        <v>673</v>
      </c>
      <c r="B70" s="985"/>
      <c r="C70" s="1010"/>
      <c r="D70" s="999"/>
      <c r="E70" s="999"/>
      <c r="F70" s="999"/>
      <c r="G70" s="1004"/>
      <c r="I70" s="1004"/>
      <c r="R70" s="1004"/>
      <c r="T70" s="1004"/>
      <c r="V70" s="993"/>
      <c r="X70" s="990"/>
    </row>
    <row r="71" spans="1:24" s="987" customFormat="1" ht="12" customHeight="1">
      <c r="A71" s="997" t="s">
        <v>875</v>
      </c>
      <c r="B71" s="997"/>
      <c r="C71" s="995">
        <f>-'ERI20'!D20</f>
        <v>7958121</v>
      </c>
      <c r="G71" s="1004"/>
      <c r="I71" s="1004"/>
      <c r="R71" s="1004"/>
      <c r="T71" s="1004"/>
      <c r="V71" s="993"/>
      <c r="X71" s="990"/>
    </row>
    <row r="72" spans="1:24" s="987" customFormat="1" ht="12" customHeight="1">
      <c r="A72" s="997" t="s">
        <v>674</v>
      </c>
      <c r="B72" s="997"/>
      <c r="C72" s="995">
        <f>+'EFE20'!C41</f>
        <v>-4275291</v>
      </c>
      <c r="G72" s="1004"/>
      <c r="I72" s="1004"/>
      <c r="R72" s="1004"/>
      <c r="T72" s="1004"/>
      <c r="V72" s="993"/>
      <c r="X72" s="990"/>
    </row>
    <row r="73" spans="1:24" s="987" customFormat="1" ht="12" customHeight="1">
      <c r="A73" s="997" t="s">
        <v>671</v>
      </c>
      <c r="B73" s="997"/>
      <c r="C73" s="1016">
        <f>-C71-C72+R10</f>
        <v>978507</v>
      </c>
      <c r="G73" s="1004"/>
      <c r="I73" s="1004"/>
      <c r="R73" s="1004"/>
      <c r="T73" s="1004"/>
      <c r="V73" s="993"/>
      <c r="X73" s="990"/>
    </row>
    <row r="74" spans="1:24" s="987" customFormat="1" ht="12" customHeight="1">
      <c r="A74" s="1002" t="s">
        <v>874</v>
      </c>
      <c r="B74" s="1002"/>
      <c r="C74" s="1016">
        <f>SUM(C71:C73)</f>
        <v>4661337</v>
      </c>
      <c r="G74" s="1004"/>
      <c r="I74" s="1004"/>
      <c r="R74" s="1004"/>
      <c r="T74" s="1004"/>
      <c r="V74" s="993"/>
      <c r="X74" s="990"/>
    </row>
    <row r="75" spans="1:24" s="987" customFormat="1" ht="12" customHeight="1">
      <c r="C75" s="1034">
        <f>+C74-R10</f>
        <v>0</v>
      </c>
      <c r="G75" s="1004"/>
      <c r="I75" s="1004"/>
      <c r="R75" s="1004"/>
      <c r="T75" s="1004"/>
      <c r="V75" s="993"/>
      <c r="X75" s="990"/>
    </row>
    <row r="76" spans="1:24" s="987" customFormat="1" ht="12" customHeight="1">
      <c r="A76" s="985" t="s">
        <v>675</v>
      </c>
      <c r="B76" s="985"/>
      <c r="C76" s="1010"/>
      <c r="G76" s="1004"/>
      <c r="I76" s="1004"/>
      <c r="R76" s="1004"/>
      <c r="T76" s="1004"/>
      <c r="V76" s="993"/>
      <c r="X76" s="990"/>
    </row>
    <row r="77" spans="1:24" s="987" customFormat="1" ht="12" customHeight="1">
      <c r="A77" s="997" t="s">
        <v>876</v>
      </c>
      <c r="B77" s="997"/>
      <c r="C77" s="995">
        <f>-'ERI20'!D18</f>
        <v>4837640</v>
      </c>
      <c r="G77" s="1004"/>
      <c r="I77" s="1004"/>
      <c r="R77" s="1004"/>
      <c r="T77" s="1004"/>
      <c r="V77" s="993"/>
      <c r="X77" s="990"/>
    </row>
    <row r="78" spans="1:24" s="987" customFormat="1" ht="12" customHeight="1">
      <c r="A78" s="997" t="s">
        <v>676</v>
      </c>
      <c r="B78" s="997"/>
      <c r="C78" s="1049">
        <f>+'EFE20'!C42</f>
        <v>-4453394</v>
      </c>
      <c r="G78" s="1004"/>
      <c r="I78" s="1004"/>
      <c r="R78" s="1004"/>
      <c r="T78" s="1004"/>
      <c r="V78" s="993"/>
      <c r="X78" s="990"/>
    </row>
    <row r="79" spans="1:24" s="987" customFormat="1" ht="12" customHeight="1">
      <c r="A79" s="997" t="s">
        <v>671</v>
      </c>
      <c r="B79" s="997"/>
      <c r="C79" s="1016">
        <f>-C77-C78+R14</f>
        <v>1684199.08</v>
      </c>
      <c r="G79" s="1004"/>
      <c r="I79" s="1004"/>
      <c r="R79" s="1004"/>
      <c r="T79" s="1004"/>
      <c r="V79" s="993"/>
      <c r="X79" s="990"/>
    </row>
    <row r="80" spans="1:24" s="987" customFormat="1" ht="12" customHeight="1">
      <c r="A80" s="1002" t="s">
        <v>874</v>
      </c>
      <c r="B80" s="1002"/>
      <c r="C80" s="1016">
        <f>SUM(C77:C79)</f>
        <v>2068445.08</v>
      </c>
      <c r="G80" s="1004"/>
      <c r="I80" s="1004"/>
      <c r="R80" s="1004"/>
      <c r="T80" s="1004"/>
      <c r="V80" s="993"/>
      <c r="X80" s="990"/>
    </row>
    <row r="81" spans="1:24" s="987" customFormat="1" ht="12" customHeight="1">
      <c r="C81" s="1034">
        <f>+C80-R14</f>
        <v>0</v>
      </c>
      <c r="G81" s="1004"/>
      <c r="I81" s="1004"/>
      <c r="R81" s="1004"/>
      <c r="T81" s="1004"/>
      <c r="V81" s="993"/>
      <c r="X81" s="990"/>
    </row>
    <row r="82" spans="1:24" s="987" customFormat="1" ht="12" customHeight="1">
      <c r="A82" s="985" t="s">
        <v>677</v>
      </c>
      <c r="B82" s="985"/>
      <c r="C82" s="986"/>
      <c r="G82" s="1004"/>
      <c r="I82" s="1004"/>
      <c r="R82" s="1004"/>
      <c r="T82" s="1004"/>
      <c r="V82" s="993"/>
      <c r="X82" s="990"/>
    </row>
    <row r="83" spans="1:24" s="987" customFormat="1" ht="12" customHeight="1">
      <c r="A83" s="994" t="s">
        <v>877</v>
      </c>
      <c r="B83" s="994"/>
      <c r="C83" s="995">
        <f>+'EFE20'!C8</f>
        <v>179838</v>
      </c>
      <c r="G83" s="1004"/>
      <c r="I83" s="1004"/>
      <c r="R83" s="1004"/>
      <c r="T83" s="1004"/>
      <c r="V83" s="993"/>
      <c r="X83" s="990"/>
    </row>
    <row r="84" spans="1:24" s="987" customFormat="1" ht="12" customHeight="1">
      <c r="A84" s="997" t="s">
        <v>878</v>
      </c>
      <c r="B84" s="997"/>
      <c r="C84" s="998">
        <f>-C83+D8</f>
        <v>-4903357.74</v>
      </c>
      <c r="G84" s="1004"/>
      <c r="I84" s="1004"/>
      <c r="R84" s="1004"/>
      <c r="T84" s="1004"/>
      <c r="V84" s="993"/>
      <c r="X84" s="990"/>
    </row>
    <row r="85" spans="1:24" s="987" customFormat="1" ht="12" customHeight="1">
      <c r="A85" s="1002" t="s">
        <v>874</v>
      </c>
      <c r="B85" s="1002"/>
      <c r="C85" s="998">
        <f>+C83+C84</f>
        <v>-4723519.74</v>
      </c>
      <c r="G85" s="1004"/>
      <c r="I85" s="1004"/>
      <c r="R85" s="1004"/>
      <c r="T85" s="1004"/>
      <c r="V85" s="993"/>
      <c r="X85" s="990"/>
    </row>
    <row r="86" spans="1:24" s="987" customFormat="1" ht="12" customHeight="1">
      <c r="C86" s="999">
        <f>+C85-D8</f>
        <v>0</v>
      </c>
      <c r="G86" s="1004"/>
      <c r="I86" s="1004"/>
      <c r="R86" s="1004"/>
      <c r="T86" s="1004"/>
      <c r="V86" s="993"/>
      <c r="X86" s="990"/>
    </row>
    <row r="87" spans="1:24" s="987" customFormat="1" ht="12" customHeight="1">
      <c r="A87" s="985" t="s">
        <v>678</v>
      </c>
      <c r="B87" s="985"/>
      <c r="C87" s="986"/>
      <c r="G87" s="1004"/>
      <c r="I87" s="1004"/>
      <c r="R87" s="1004"/>
      <c r="T87" s="1004"/>
      <c r="V87" s="993"/>
      <c r="X87" s="990"/>
    </row>
    <row r="88" spans="1:24" s="987" customFormat="1" ht="12" customHeight="1">
      <c r="A88" s="994" t="s">
        <v>877</v>
      </c>
      <c r="B88" s="994"/>
      <c r="C88" s="995">
        <f>+[2]EFE19!C9</f>
        <v>1812247</v>
      </c>
      <c r="G88" s="1004"/>
      <c r="I88" s="1004"/>
      <c r="R88" s="1004"/>
      <c r="T88" s="1004"/>
      <c r="V88" s="993"/>
      <c r="X88" s="990"/>
    </row>
    <row r="89" spans="1:24" s="987" customFormat="1" ht="12" customHeight="1">
      <c r="A89" s="997" t="s">
        <v>879</v>
      </c>
      <c r="B89" s="997"/>
      <c r="C89" s="998">
        <f>-C88+D11+D18</f>
        <v>5118200</v>
      </c>
      <c r="G89" s="1004"/>
      <c r="I89" s="1004"/>
      <c r="R89" s="1004"/>
      <c r="T89" s="1004"/>
      <c r="V89" s="993"/>
      <c r="X89" s="990"/>
    </row>
    <row r="90" spans="1:24" s="987" customFormat="1" ht="12" customHeight="1">
      <c r="A90" s="1002" t="s">
        <v>874</v>
      </c>
      <c r="B90" s="1002"/>
      <c r="C90" s="998">
        <f>+C88+C89</f>
        <v>6930447</v>
      </c>
      <c r="G90" s="1004"/>
      <c r="I90" s="1004"/>
      <c r="R90" s="1004"/>
      <c r="T90" s="1004"/>
      <c r="V90" s="993"/>
      <c r="X90" s="990"/>
    </row>
    <row r="91" spans="1:24" s="987" customFormat="1" ht="12" customHeight="1">
      <c r="C91" s="1015">
        <f>+D11+D18-C90</f>
        <v>0</v>
      </c>
      <c r="G91" s="1004"/>
      <c r="I91" s="1004"/>
      <c r="R91" s="1004"/>
      <c r="T91" s="1004"/>
      <c r="V91" s="993"/>
      <c r="X91" s="990"/>
    </row>
    <row r="92" spans="1:24" s="987" customFormat="1" ht="12" customHeight="1">
      <c r="A92" s="985" t="s">
        <v>679</v>
      </c>
      <c r="B92" s="985"/>
      <c r="C92" s="986"/>
      <c r="G92" s="1004"/>
      <c r="I92" s="1004"/>
      <c r="R92" s="1004"/>
      <c r="T92" s="1004"/>
      <c r="V92" s="993"/>
      <c r="X92" s="990"/>
    </row>
    <row r="93" spans="1:24" s="987" customFormat="1" ht="12" customHeight="1">
      <c r="A93" s="994" t="s">
        <v>680</v>
      </c>
      <c r="B93" s="994"/>
      <c r="C93" s="995">
        <v>0</v>
      </c>
      <c r="G93" s="1004"/>
      <c r="I93" s="1004"/>
      <c r="R93" s="1004"/>
      <c r="T93" s="1004"/>
      <c r="V93" s="993"/>
      <c r="X93" s="990"/>
    </row>
    <row r="94" spans="1:24" s="987" customFormat="1" ht="12" customHeight="1">
      <c r="A94" s="997" t="s">
        <v>671</v>
      </c>
      <c r="B94" s="997"/>
      <c r="C94" s="998">
        <f>-C93+D27</f>
        <v>0</v>
      </c>
      <c r="G94" s="1004"/>
      <c r="I94" s="1004"/>
      <c r="N94" s="975"/>
      <c r="R94" s="1004"/>
      <c r="T94" s="1004"/>
      <c r="V94" s="993"/>
    </row>
    <row r="95" spans="1:24" s="987" customFormat="1" ht="12" customHeight="1">
      <c r="A95" s="1002" t="s">
        <v>874</v>
      </c>
      <c r="B95" s="1002"/>
      <c r="C95" s="998">
        <f>+C93+C94</f>
        <v>0</v>
      </c>
      <c r="G95" s="1004"/>
      <c r="I95" s="1004"/>
      <c r="N95" s="975"/>
      <c r="R95" s="1004"/>
      <c r="T95" s="1004"/>
      <c r="V95" s="993"/>
    </row>
    <row r="96" spans="1:24" s="987" customFormat="1" ht="12" customHeight="1">
      <c r="C96" s="1017">
        <f>+C95-D27</f>
        <v>0</v>
      </c>
      <c r="G96" s="1004"/>
      <c r="I96" s="1004"/>
      <c r="N96" s="975"/>
      <c r="R96" s="1004"/>
      <c r="T96" s="1004"/>
      <c r="V96" s="993"/>
    </row>
    <row r="97" spans="1:22" s="987" customFormat="1" ht="12" customHeight="1">
      <c r="A97" s="985" t="s">
        <v>681</v>
      </c>
      <c r="B97" s="985"/>
      <c r="C97" s="986"/>
      <c r="G97" s="1004"/>
      <c r="I97" s="1004"/>
      <c r="N97" s="975"/>
      <c r="R97" s="1004"/>
      <c r="T97" s="1004"/>
      <c r="V97" s="993"/>
    </row>
    <row r="98" spans="1:22" s="987" customFormat="1" ht="12" customHeight="1">
      <c r="A98" s="994" t="s">
        <v>682</v>
      </c>
      <c r="B98" s="994"/>
      <c r="C98" s="995">
        <f>+'EFE20'!C58</f>
        <v>-1307540</v>
      </c>
      <c r="G98" s="1004"/>
      <c r="I98" s="1004"/>
      <c r="N98" s="975"/>
      <c r="R98" s="1004"/>
      <c r="T98" s="1004"/>
      <c r="V98" s="993"/>
    </row>
    <row r="99" spans="1:22" s="987" customFormat="1" ht="12" customHeight="1">
      <c r="A99" s="994" t="s">
        <v>683</v>
      </c>
      <c r="B99" s="994"/>
      <c r="C99" s="995">
        <v>0</v>
      </c>
      <c r="G99" s="1004"/>
      <c r="I99" s="1004"/>
      <c r="N99" s="975"/>
      <c r="R99" s="1004"/>
      <c r="T99" s="1004"/>
      <c r="V99" s="993"/>
    </row>
    <row r="100" spans="1:22" s="987" customFormat="1" ht="12" customHeight="1">
      <c r="A100" s="997" t="s">
        <v>671</v>
      </c>
      <c r="B100" s="997"/>
      <c r="C100" s="1016">
        <f>-C98-C99+R13+R25</f>
        <v>1100326</v>
      </c>
      <c r="G100" s="1004"/>
      <c r="I100" s="1004"/>
      <c r="N100" s="975"/>
      <c r="R100" s="1004"/>
      <c r="T100" s="1004"/>
      <c r="V100" s="993"/>
    </row>
    <row r="101" spans="1:22" s="987" customFormat="1" ht="12" customHeight="1">
      <c r="A101" s="1002" t="s">
        <v>874</v>
      </c>
      <c r="B101" s="1002"/>
      <c r="C101" s="998">
        <f>SUM(C98:C100)</f>
        <v>-207214</v>
      </c>
      <c r="G101" s="1004"/>
      <c r="I101" s="1004"/>
      <c r="N101" s="975"/>
      <c r="R101" s="1004"/>
      <c r="T101" s="1004"/>
      <c r="V101" s="993"/>
    </row>
    <row r="102" spans="1:22" s="987" customFormat="1" ht="12" customHeight="1">
      <c r="C102" s="1017">
        <f>+C101-R13-R25</f>
        <v>0</v>
      </c>
      <c r="G102" s="1004"/>
      <c r="I102" s="1004"/>
      <c r="N102" s="975"/>
      <c r="R102" s="1004"/>
      <c r="T102" s="1004"/>
      <c r="V102" s="993"/>
    </row>
    <row r="103" spans="1:22" s="987" customFormat="1" ht="12" customHeight="1">
      <c r="A103" s="985" t="s">
        <v>882</v>
      </c>
      <c r="B103" s="985"/>
      <c r="C103" s="986"/>
      <c r="G103" s="1004"/>
      <c r="I103" s="1004"/>
      <c r="N103" s="975"/>
      <c r="R103" s="1004"/>
      <c r="T103" s="1004"/>
      <c r="V103" s="993"/>
    </row>
    <row r="104" spans="1:22" s="987" customFormat="1" ht="12" customHeight="1">
      <c r="A104" s="994" t="s">
        <v>76</v>
      </c>
      <c r="B104" s="994"/>
      <c r="C104" s="995">
        <f>'EFE20'!C18</f>
        <v>11250279</v>
      </c>
      <c r="G104" s="1004"/>
      <c r="I104" s="1004"/>
      <c r="N104" s="975"/>
      <c r="R104" s="1004"/>
      <c r="T104" s="1004"/>
      <c r="V104" s="993"/>
    </row>
    <row r="105" spans="1:22" s="987" customFormat="1" ht="12" customHeight="1">
      <c r="A105" s="997" t="s">
        <v>671</v>
      </c>
      <c r="B105" s="997"/>
      <c r="C105" s="998">
        <f>+C104-R24</f>
        <v>0</v>
      </c>
      <c r="G105" s="1004"/>
      <c r="I105" s="1004"/>
      <c r="N105" s="975"/>
      <c r="R105" s="1004"/>
      <c r="T105" s="1004"/>
      <c r="V105" s="993"/>
    </row>
    <row r="106" spans="1:22" s="987" customFormat="1" ht="12" customHeight="1">
      <c r="A106" s="1002" t="s">
        <v>874</v>
      </c>
      <c r="B106" s="1002"/>
      <c r="C106" s="998">
        <f>SUM(C104:C105)</f>
        <v>11250279</v>
      </c>
      <c r="G106" s="1004"/>
      <c r="I106" s="1004"/>
      <c r="N106" s="975"/>
      <c r="R106" s="1004"/>
      <c r="T106" s="1004"/>
      <c r="V106" s="993"/>
    </row>
    <row r="107" spans="1:22" ht="12" customHeight="1">
      <c r="C107" s="1036">
        <f>+C106-R24</f>
        <v>0</v>
      </c>
      <c r="F107" s="434">
        <v>0</v>
      </c>
    </row>
    <row r="108" spans="1:22" ht="12" customHeight="1"/>
    <row r="109" spans="1:22" ht="12" customHeight="1"/>
    <row r="110" spans="1:22" ht="12" customHeight="1"/>
    <row r="111" spans="1:22" ht="12" customHeight="1"/>
    <row r="112" spans="1:2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</sheetData>
  <pageMargins left="0.7" right="0.7" top="0.75" bottom="0.75" header="0.51180555555555496" footer="0.51180555555555496"/>
  <pageSetup paperSize="9" scale="85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"/>
  <sheetViews>
    <sheetView zoomScaleNormal="100" workbookViewId="0">
      <selection activeCell="J18" sqref="J18"/>
    </sheetView>
  </sheetViews>
  <sheetFormatPr defaultColWidth="11.42578125" defaultRowHeight="15"/>
  <cols>
    <col min="1" max="1" width="68.85546875" style="77" customWidth="1"/>
    <col min="2" max="2" width="7.28515625" style="77" customWidth="1"/>
    <col min="3" max="3" width="1" style="77" customWidth="1"/>
    <col min="4" max="4" width="15.140625" style="77" customWidth="1"/>
    <col min="5" max="5" width="1.7109375" style="77" customWidth="1"/>
    <col min="6" max="6" width="16.140625" style="77" customWidth="1"/>
    <col min="7" max="8" width="1.42578125" style="77" customWidth="1"/>
    <col min="9" max="9" width="15.42578125" style="77" hidden="1" customWidth="1"/>
    <col min="10" max="10" width="11.42578125" style="77"/>
    <col min="11" max="11" width="14.42578125" style="77" customWidth="1"/>
    <col min="12" max="1024" width="11.42578125" style="77"/>
  </cols>
  <sheetData>
    <row r="1" spans="1:9">
      <c r="B1" s="78"/>
      <c r="C1" s="78"/>
      <c r="D1" s="79"/>
      <c r="E1" s="80"/>
      <c r="F1" s="81" t="s">
        <v>118</v>
      </c>
      <c r="G1" s="81"/>
    </row>
    <row r="2" spans="1:9" ht="34.5">
      <c r="A2" s="82" t="s">
        <v>119</v>
      </c>
      <c r="B2" s="83" t="s">
        <v>120</v>
      </c>
      <c r="C2" s="78"/>
      <c r="D2" s="84" t="s">
        <v>121</v>
      </c>
      <c r="E2" s="80"/>
      <c r="F2" s="84" t="s">
        <v>122</v>
      </c>
      <c r="G2" s="80"/>
      <c r="H2" s="85"/>
    </row>
    <row r="3" spans="1:9" ht="6" customHeight="1">
      <c r="A3" s="85"/>
      <c r="B3" s="86"/>
      <c r="C3" s="87"/>
      <c r="E3" s="87"/>
      <c r="G3" s="87"/>
      <c r="H3" s="87"/>
    </row>
    <row r="4" spans="1:9">
      <c r="A4" s="88" t="s">
        <v>123</v>
      </c>
      <c r="B4" s="86"/>
      <c r="C4" s="87"/>
      <c r="E4" s="87"/>
      <c r="G4" s="87"/>
      <c r="H4" s="87"/>
    </row>
    <row r="5" spans="1:9">
      <c r="A5" s="89" t="s">
        <v>35</v>
      </c>
      <c r="B5" s="90">
        <v>6</v>
      </c>
      <c r="C5" s="87"/>
      <c r="D5" s="86">
        <v>10796157</v>
      </c>
      <c r="E5" s="87"/>
      <c r="F5" s="86">
        <v>2860714</v>
      </c>
      <c r="G5" s="87"/>
      <c r="H5" s="87"/>
    </row>
    <row r="6" spans="1:9">
      <c r="A6" s="89" t="s">
        <v>124</v>
      </c>
      <c r="B6" s="90">
        <v>7</v>
      </c>
      <c r="C6" s="87"/>
      <c r="D6" s="86">
        <v>5930789</v>
      </c>
      <c r="E6" s="87"/>
      <c r="F6" s="86">
        <f>6451966-2177033</f>
        <v>4274933</v>
      </c>
      <c r="G6" s="87"/>
      <c r="H6" s="87"/>
    </row>
    <row r="7" spans="1:9">
      <c r="A7" s="89" t="s">
        <v>36</v>
      </c>
      <c r="B7" s="90">
        <v>8</v>
      </c>
      <c r="C7" s="87"/>
      <c r="D7" s="86">
        <v>2050592</v>
      </c>
      <c r="E7" s="87"/>
      <c r="F7" s="86">
        <f>8326743-6451966</f>
        <v>1874777</v>
      </c>
      <c r="G7" s="87"/>
      <c r="H7" s="87"/>
    </row>
    <row r="8" spans="1:9">
      <c r="A8" s="89" t="s">
        <v>38</v>
      </c>
      <c r="B8" s="90">
        <v>9</v>
      </c>
      <c r="C8" s="87"/>
      <c r="D8" s="86">
        <f>15475559-75667-741007+24485</f>
        <v>14683370</v>
      </c>
      <c r="E8" s="87"/>
      <c r="F8" s="86">
        <v>18690745</v>
      </c>
      <c r="G8" s="87"/>
      <c r="H8" s="87"/>
      <c r="I8" s="77" t="s">
        <v>125</v>
      </c>
    </row>
    <row r="9" spans="1:9">
      <c r="A9" s="89" t="s">
        <v>126</v>
      </c>
      <c r="B9" s="90">
        <v>21</v>
      </c>
      <c r="C9" s="87"/>
      <c r="D9" s="86">
        <f>13533602-176970</f>
        <v>13356632</v>
      </c>
      <c r="E9" s="87"/>
      <c r="F9" s="86">
        <v>3629981</v>
      </c>
      <c r="G9" s="87"/>
      <c r="H9" s="87"/>
    </row>
    <row r="10" spans="1:9">
      <c r="A10" s="89" t="s">
        <v>42</v>
      </c>
      <c r="B10" s="90">
        <v>10</v>
      </c>
      <c r="C10" s="87"/>
      <c r="D10" s="86">
        <f>1782651+75667+741007-24485</f>
        <v>2574840</v>
      </c>
      <c r="E10" s="87"/>
      <c r="F10" s="86">
        <v>7066072</v>
      </c>
      <c r="G10" s="87"/>
      <c r="H10" s="87"/>
    </row>
    <row r="11" spans="1:9">
      <c r="A11" s="89" t="s">
        <v>43</v>
      </c>
      <c r="B11" s="90">
        <v>23</v>
      </c>
      <c r="C11" s="87"/>
      <c r="D11" s="86">
        <v>1809821</v>
      </c>
      <c r="E11" s="86"/>
      <c r="F11" s="86">
        <v>1863806</v>
      </c>
      <c r="G11" s="87"/>
      <c r="H11" s="87"/>
    </row>
    <row r="12" spans="1:9">
      <c r="A12" s="91" t="s">
        <v>45</v>
      </c>
      <c r="B12" s="86"/>
      <c r="D12" s="86">
        <v>2370903</v>
      </c>
      <c r="E12" s="86"/>
      <c r="F12" s="86">
        <v>2140317</v>
      </c>
      <c r="G12" s="87"/>
      <c r="H12" s="87"/>
    </row>
    <row r="13" spans="1:9">
      <c r="A13" s="89" t="s">
        <v>46</v>
      </c>
      <c r="B13" s="90">
        <v>11</v>
      </c>
      <c r="D13" s="86">
        <v>18940616</v>
      </c>
      <c r="E13" s="86"/>
      <c r="F13" s="86">
        <v>19594268</v>
      </c>
      <c r="G13" s="87"/>
      <c r="H13" s="87"/>
    </row>
    <row r="14" spans="1:9">
      <c r="A14" s="89" t="s">
        <v>47</v>
      </c>
      <c r="B14" s="90">
        <v>15</v>
      </c>
      <c r="C14" s="87"/>
      <c r="D14" s="92">
        <v>0</v>
      </c>
      <c r="E14" s="86"/>
      <c r="F14" s="86">
        <v>11189237</v>
      </c>
      <c r="G14" s="87"/>
      <c r="H14" s="87"/>
    </row>
    <row r="15" spans="1:9">
      <c r="A15" s="88" t="s">
        <v>127</v>
      </c>
      <c r="B15" s="86"/>
      <c r="C15" s="87"/>
      <c r="D15" s="93">
        <f>SUM(D5:D14)</f>
        <v>72513720</v>
      </c>
      <c r="E15" s="94" t="s">
        <v>44</v>
      </c>
      <c r="F15" s="95">
        <f>SUM(F5:F14)</f>
        <v>73184850</v>
      </c>
      <c r="G15" s="94" t="s">
        <v>44</v>
      </c>
      <c r="H15" s="94" t="s">
        <v>44</v>
      </c>
    </row>
    <row r="16" spans="1:9" ht="7.5" customHeight="1">
      <c r="A16" s="88"/>
      <c r="B16" s="86"/>
      <c r="C16" s="87"/>
      <c r="D16" s="92"/>
      <c r="E16" s="94"/>
      <c r="F16" s="94"/>
      <c r="G16" s="94"/>
      <c r="H16" s="94"/>
    </row>
    <row r="17" spans="1:9">
      <c r="A17" s="88" t="s">
        <v>128</v>
      </c>
      <c r="B17" s="86"/>
      <c r="C17" s="87"/>
      <c r="D17" s="96">
        <v>0</v>
      </c>
      <c r="E17" s="94"/>
      <c r="F17" s="96">
        <v>0</v>
      </c>
      <c r="G17" s="94"/>
      <c r="H17" s="94"/>
    </row>
    <row r="18" spans="1:9">
      <c r="A18" s="85"/>
      <c r="B18" s="86"/>
      <c r="C18" s="87"/>
      <c r="D18" s="86"/>
      <c r="E18" s="86"/>
      <c r="F18" s="86"/>
      <c r="G18" s="87"/>
      <c r="H18" s="87"/>
    </row>
    <row r="19" spans="1:9">
      <c r="A19" s="97" t="s">
        <v>129</v>
      </c>
      <c r="B19" s="86"/>
      <c r="C19" s="98"/>
      <c r="D19" s="86"/>
      <c r="E19" s="86"/>
      <c r="F19" s="86"/>
      <c r="G19" s="98"/>
      <c r="H19" s="98"/>
    </row>
    <row r="20" spans="1:9">
      <c r="A20" s="89" t="s">
        <v>126</v>
      </c>
      <c r="B20" s="90">
        <v>21</v>
      </c>
      <c r="C20" s="98"/>
      <c r="D20" s="99">
        <v>0</v>
      </c>
      <c r="E20" s="86"/>
      <c r="F20" s="92">
        <v>0</v>
      </c>
      <c r="G20" s="98"/>
      <c r="H20" s="98"/>
    </row>
    <row r="21" spans="1:9">
      <c r="A21" s="89" t="s">
        <v>42</v>
      </c>
      <c r="B21" s="90">
        <v>10</v>
      </c>
      <c r="C21" s="87"/>
      <c r="D21" s="86">
        <f>2830934-1610+176970</f>
        <v>3006294</v>
      </c>
      <c r="E21" s="87"/>
      <c r="F21" s="92">
        <v>2899664</v>
      </c>
      <c r="G21" s="100"/>
      <c r="H21" s="87"/>
    </row>
    <row r="22" spans="1:9">
      <c r="A22" s="89" t="s">
        <v>50</v>
      </c>
      <c r="B22" s="90">
        <v>12</v>
      </c>
      <c r="C22" s="87"/>
      <c r="D22" s="86">
        <v>115482884</v>
      </c>
      <c r="E22" s="87"/>
      <c r="F22" s="92">
        <v>61835159</v>
      </c>
      <c r="G22" s="100"/>
      <c r="H22" s="87"/>
      <c r="I22" s="77" t="s">
        <v>130</v>
      </c>
    </row>
    <row r="23" spans="1:9">
      <c r="A23" s="89" t="s">
        <v>131</v>
      </c>
      <c r="B23" s="90">
        <v>13</v>
      </c>
      <c r="C23" s="87"/>
      <c r="D23" s="86">
        <v>700965</v>
      </c>
      <c r="E23" s="87"/>
      <c r="F23" s="92">
        <v>860466</v>
      </c>
      <c r="G23" s="100"/>
      <c r="H23" s="87"/>
    </row>
    <row r="24" spans="1:9">
      <c r="A24" s="89" t="s">
        <v>54</v>
      </c>
      <c r="B24" s="90">
        <v>14</v>
      </c>
      <c r="C24" s="87"/>
      <c r="D24" s="86">
        <v>12117453</v>
      </c>
      <c r="E24" s="87"/>
      <c r="F24" s="92">
        <v>12384735</v>
      </c>
      <c r="G24" s="100"/>
      <c r="H24" s="87"/>
    </row>
    <row r="25" spans="1:9">
      <c r="A25" s="89" t="s">
        <v>47</v>
      </c>
      <c r="B25" s="90">
        <v>15</v>
      </c>
      <c r="C25" s="87"/>
      <c r="D25" s="92">
        <v>3030143</v>
      </c>
      <c r="E25" s="87"/>
      <c r="F25" s="92">
        <v>40281700</v>
      </c>
      <c r="G25" s="100"/>
      <c r="H25" s="87"/>
      <c r="I25" s="77" t="s">
        <v>132</v>
      </c>
    </row>
    <row r="26" spans="1:9">
      <c r="A26" s="89" t="s">
        <v>56</v>
      </c>
      <c r="B26" s="90">
        <v>16</v>
      </c>
      <c r="C26" s="87"/>
      <c r="D26" s="86">
        <v>1422229</v>
      </c>
      <c r="E26" s="87"/>
      <c r="F26" s="92">
        <v>1297229</v>
      </c>
      <c r="G26" s="100"/>
      <c r="H26" s="87"/>
    </row>
    <row r="27" spans="1:9">
      <c r="A27" s="89" t="s">
        <v>57</v>
      </c>
      <c r="B27" s="90">
        <v>17</v>
      </c>
      <c r="C27" s="87"/>
      <c r="D27" s="86">
        <f>5314208+1231351</f>
        <v>6545559</v>
      </c>
      <c r="E27" s="87"/>
      <c r="F27" s="92">
        <v>5317430</v>
      </c>
      <c r="G27" s="100"/>
      <c r="H27" s="87"/>
    </row>
    <row r="28" spans="1:9">
      <c r="A28" s="89" t="s">
        <v>61</v>
      </c>
      <c r="B28" s="90"/>
      <c r="C28" s="87"/>
      <c r="D28" s="101">
        <f>104399+1610</f>
        <v>106009</v>
      </c>
      <c r="E28" s="87"/>
      <c r="F28" s="92">
        <f>104394+1501</f>
        <v>105895</v>
      </c>
      <c r="G28" s="100"/>
      <c r="H28" s="87"/>
    </row>
    <row r="29" spans="1:9">
      <c r="A29" s="88" t="s">
        <v>133</v>
      </c>
      <c r="B29" s="86"/>
      <c r="C29" s="87"/>
      <c r="D29" s="102">
        <f>SUM(D20:D28)</f>
        <v>142411536</v>
      </c>
      <c r="E29" s="86"/>
      <c r="F29" s="103">
        <f>SUM(F20:F28)</f>
        <v>124982278</v>
      </c>
      <c r="G29" s="98"/>
      <c r="H29" s="98"/>
    </row>
    <row r="30" spans="1:9">
      <c r="A30" s="88" t="s">
        <v>63</v>
      </c>
      <c r="B30" s="86"/>
      <c r="C30" s="87"/>
      <c r="D30" s="104">
        <f>+D15+D29+D17</f>
        <v>214925256</v>
      </c>
      <c r="E30" s="86"/>
      <c r="F30" s="104">
        <f>+F15+F29+F17</f>
        <v>198167128</v>
      </c>
      <c r="G30" s="98"/>
      <c r="H30" s="98"/>
    </row>
    <row r="31" spans="1:9" ht="8.25" customHeight="1">
      <c r="A31" s="88"/>
      <c r="B31" s="86"/>
      <c r="C31" s="87"/>
      <c r="D31" s="94"/>
      <c r="E31" s="86"/>
      <c r="F31" s="94"/>
      <c r="G31" s="98"/>
      <c r="H31" s="98"/>
    </row>
    <row r="32" spans="1:9">
      <c r="A32" s="88"/>
      <c r="B32" s="86"/>
      <c r="C32" s="87"/>
      <c r="D32" s="94"/>
      <c r="E32" s="86"/>
      <c r="F32" s="94"/>
      <c r="G32" s="98"/>
      <c r="H32" s="98"/>
    </row>
    <row r="33" spans="1:9">
      <c r="B33" s="105"/>
      <c r="C33" s="105"/>
      <c r="D33" s="105"/>
      <c r="E33" s="106"/>
      <c r="F33" s="107" t="s">
        <v>118</v>
      </c>
    </row>
    <row r="34" spans="1:9" ht="34.5">
      <c r="A34" s="108" t="s">
        <v>134</v>
      </c>
      <c r="B34" s="109" t="s">
        <v>120</v>
      </c>
      <c r="C34" s="105"/>
      <c r="D34" s="110" t="s">
        <v>121</v>
      </c>
      <c r="E34" s="111"/>
      <c r="F34" s="110" t="s">
        <v>122</v>
      </c>
    </row>
    <row r="35" spans="1:9" ht="3.75" customHeight="1">
      <c r="A35" s="112"/>
      <c r="B35" s="86"/>
      <c r="C35" s="87"/>
      <c r="D35" s="86"/>
      <c r="E35" s="86"/>
      <c r="F35" s="86"/>
    </row>
    <row r="36" spans="1:9">
      <c r="A36" s="108" t="s">
        <v>135</v>
      </c>
      <c r="B36" s="86"/>
      <c r="C36" s="87"/>
      <c r="D36" s="86"/>
      <c r="E36" s="86"/>
      <c r="F36" s="86"/>
    </row>
    <row r="37" spans="1:9">
      <c r="A37" s="108"/>
      <c r="B37" s="86"/>
      <c r="C37" s="87"/>
      <c r="D37" s="86"/>
      <c r="E37" s="86"/>
      <c r="F37" s="86"/>
    </row>
    <row r="38" spans="1:9">
      <c r="A38" s="113" t="s">
        <v>136</v>
      </c>
      <c r="B38" s="86"/>
      <c r="C38" s="87"/>
      <c r="D38" s="86"/>
      <c r="E38" s="86"/>
      <c r="F38" s="86"/>
    </row>
    <row r="39" spans="1:9">
      <c r="A39" s="114" t="s">
        <v>137</v>
      </c>
      <c r="B39" s="115">
        <v>18</v>
      </c>
      <c r="C39" s="87"/>
      <c r="D39" s="92">
        <v>31524342</v>
      </c>
      <c r="E39" s="92"/>
      <c r="F39" s="92">
        <v>25934358</v>
      </c>
      <c r="I39" s="99"/>
    </row>
    <row r="40" spans="1:9">
      <c r="A40" s="114" t="s">
        <v>138</v>
      </c>
      <c r="B40" s="115">
        <v>19</v>
      </c>
      <c r="C40" s="87"/>
      <c r="D40" s="92">
        <v>18525384</v>
      </c>
      <c r="E40" s="92"/>
      <c r="F40" s="92">
        <v>24674706</v>
      </c>
      <c r="I40" s="99"/>
    </row>
    <row r="41" spans="1:9">
      <c r="A41" s="114" t="s">
        <v>139</v>
      </c>
      <c r="B41" s="115">
        <v>21</v>
      </c>
      <c r="C41" s="87"/>
      <c r="D41" s="92">
        <f>348539-86149</f>
        <v>262390</v>
      </c>
      <c r="E41" s="92"/>
      <c r="F41" s="92">
        <v>805431</v>
      </c>
      <c r="I41" s="99"/>
    </row>
    <row r="42" spans="1:9">
      <c r="A42" s="114" t="s">
        <v>70</v>
      </c>
      <c r="B42" s="115">
        <v>22</v>
      </c>
      <c r="C42" s="87"/>
      <c r="D42" s="92">
        <v>0</v>
      </c>
      <c r="E42" s="92"/>
      <c r="F42" s="92">
        <v>0</v>
      </c>
      <c r="I42" s="99"/>
    </row>
    <row r="43" spans="1:9">
      <c r="A43" s="114" t="s">
        <v>71</v>
      </c>
      <c r="B43" s="115">
        <v>23</v>
      </c>
      <c r="C43" s="87"/>
      <c r="D43" s="92">
        <v>4144395</v>
      </c>
      <c r="E43" s="92"/>
      <c r="F43" s="92">
        <v>2516445</v>
      </c>
      <c r="I43" s="99"/>
    </row>
    <row r="44" spans="1:9">
      <c r="A44" s="114" t="s">
        <v>72</v>
      </c>
      <c r="B44" s="86"/>
      <c r="C44" s="87"/>
      <c r="D44" s="92">
        <f>783153</f>
        <v>783153</v>
      </c>
      <c r="E44" s="100"/>
      <c r="F44" s="92">
        <v>926219</v>
      </c>
      <c r="I44" s="99"/>
    </row>
    <row r="45" spans="1:9">
      <c r="A45" s="114" t="s">
        <v>74</v>
      </c>
      <c r="B45" s="115">
        <v>20</v>
      </c>
      <c r="C45" s="87"/>
      <c r="D45" s="92">
        <v>4358272</v>
      </c>
      <c r="E45" s="100"/>
      <c r="F45" s="92">
        <v>10350691</v>
      </c>
    </row>
    <row r="46" spans="1:9">
      <c r="A46" s="114" t="s">
        <v>140</v>
      </c>
      <c r="B46" s="115">
        <v>24</v>
      </c>
      <c r="C46" s="87"/>
      <c r="D46" s="92">
        <v>4375344</v>
      </c>
      <c r="E46" s="92"/>
      <c r="F46" s="92">
        <v>4604646</v>
      </c>
      <c r="I46" s="99"/>
    </row>
    <row r="47" spans="1:9">
      <c r="A47" s="114" t="s">
        <v>76</v>
      </c>
      <c r="B47" s="115">
        <v>26</v>
      </c>
      <c r="C47" s="87"/>
      <c r="D47" s="92">
        <v>4225160</v>
      </c>
      <c r="E47" s="92"/>
      <c r="F47" s="92">
        <v>3530956</v>
      </c>
      <c r="I47" s="99"/>
    </row>
    <row r="48" spans="1:9">
      <c r="A48" s="113" t="s">
        <v>141</v>
      </c>
      <c r="B48" s="86"/>
      <c r="C48" s="87"/>
      <c r="D48" s="93">
        <f>SUM(D39:D47)</f>
        <v>68198440</v>
      </c>
      <c r="E48" s="92"/>
      <c r="F48" s="93">
        <f>SUM(F39:F47)</f>
        <v>73343452</v>
      </c>
    </row>
    <row r="49" spans="1:11">
      <c r="B49" s="86"/>
      <c r="C49" s="86"/>
      <c r="D49" s="92" t="s">
        <v>44</v>
      </c>
      <c r="E49" s="92"/>
      <c r="F49" s="92" t="s">
        <v>44</v>
      </c>
    </row>
    <row r="50" spans="1:11">
      <c r="A50" s="113" t="s">
        <v>142</v>
      </c>
      <c r="B50" s="86"/>
      <c r="C50" s="87"/>
      <c r="D50" s="92"/>
      <c r="E50" s="92"/>
      <c r="F50" s="92"/>
    </row>
    <row r="51" spans="1:11">
      <c r="A51" s="114" t="s">
        <v>137</v>
      </c>
      <c r="B51" s="115">
        <v>18</v>
      </c>
      <c r="C51" s="87"/>
      <c r="D51" s="92">
        <v>23039030</v>
      </c>
      <c r="E51" s="92"/>
      <c r="F51" s="92">
        <v>18334913</v>
      </c>
      <c r="I51" s="99"/>
      <c r="K51" s="116"/>
    </row>
    <row r="52" spans="1:11">
      <c r="A52" s="114" t="s">
        <v>138</v>
      </c>
      <c r="B52" s="115">
        <v>19</v>
      </c>
      <c r="C52" s="87"/>
      <c r="D52" s="92">
        <v>5713210</v>
      </c>
      <c r="E52" s="92"/>
      <c r="F52" s="92">
        <v>0</v>
      </c>
      <c r="I52" s="99"/>
    </row>
    <row r="53" spans="1:11">
      <c r="A53" s="114" t="s">
        <v>139</v>
      </c>
      <c r="B53" s="115">
        <v>21</v>
      </c>
      <c r="C53" s="87"/>
      <c r="D53" s="92">
        <v>10628878</v>
      </c>
      <c r="E53" s="92"/>
      <c r="F53" s="92">
        <v>14282894</v>
      </c>
      <c r="I53" s="99"/>
    </row>
    <row r="54" spans="1:11">
      <c r="A54" s="114" t="s">
        <v>72</v>
      </c>
      <c r="B54" s="115"/>
      <c r="C54" s="87"/>
      <c r="D54" s="92">
        <f>2680000+86149</f>
        <v>2766149</v>
      </c>
      <c r="E54" s="92"/>
      <c r="F54" s="92">
        <v>0</v>
      </c>
      <c r="I54" s="99"/>
      <c r="J54" s="117"/>
      <c r="K54" s="116"/>
    </row>
    <row r="55" spans="1:11">
      <c r="A55" s="114" t="s">
        <v>140</v>
      </c>
      <c r="B55" s="115">
        <v>25</v>
      </c>
      <c r="C55" s="87"/>
      <c r="D55" s="92">
        <v>5796127</v>
      </c>
      <c r="E55" s="92"/>
      <c r="F55" s="92">
        <v>4471614</v>
      </c>
      <c r="I55" s="99"/>
    </row>
    <row r="56" spans="1:11">
      <c r="A56" s="114" t="s">
        <v>74</v>
      </c>
      <c r="B56" s="115"/>
      <c r="C56" s="87"/>
      <c r="D56" s="92">
        <v>27717</v>
      </c>
      <c r="E56" s="92"/>
      <c r="F56" s="92">
        <v>0</v>
      </c>
      <c r="I56" s="92"/>
    </row>
    <row r="57" spans="1:11">
      <c r="A57" s="114" t="s">
        <v>143</v>
      </c>
      <c r="B57" s="115">
        <v>26</v>
      </c>
      <c r="C57" s="87"/>
      <c r="D57" s="92">
        <v>17696327</v>
      </c>
      <c r="E57" s="92"/>
      <c r="F57" s="92">
        <v>13213506</v>
      </c>
      <c r="I57" s="99"/>
    </row>
    <row r="58" spans="1:11">
      <c r="A58" s="114" t="s">
        <v>85</v>
      </c>
      <c r="B58" s="115">
        <v>27</v>
      </c>
      <c r="C58" s="87"/>
      <c r="D58" s="92">
        <v>3572443</v>
      </c>
      <c r="E58" s="92"/>
      <c r="F58" s="92">
        <v>5938109</v>
      </c>
      <c r="I58" s="99"/>
    </row>
    <row r="59" spans="1:11">
      <c r="A59" s="113" t="s">
        <v>144</v>
      </c>
      <c r="B59" s="86"/>
      <c r="C59" s="87"/>
      <c r="D59" s="93">
        <f>SUM(D51:D58)</f>
        <v>69239881</v>
      </c>
      <c r="E59" s="92"/>
      <c r="F59" s="93">
        <f>SUM(F51:F58)</f>
        <v>56241036</v>
      </c>
    </row>
    <row r="60" spans="1:11">
      <c r="A60" s="113" t="s">
        <v>86</v>
      </c>
      <c r="B60" s="86"/>
      <c r="C60" s="87"/>
      <c r="D60" s="93">
        <f>+D48+D59</f>
        <v>137438321</v>
      </c>
      <c r="E60" s="92"/>
      <c r="F60" s="93">
        <f>+F48+F59</f>
        <v>129584488</v>
      </c>
    </row>
    <row r="61" spans="1:11">
      <c r="A61" s="113"/>
      <c r="B61" s="86"/>
      <c r="C61" s="87"/>
      <c r="D61" s="92"/>
      <c r="E61" s="92"/>
      <c r="F61" s="92"/>
    </row>
    <row r="62" spans="1:11">
      <c r="A62" s="108" t="s">
        <v>145</v>
      </c>
      <c r="B62" s="86"/>
      <c r="C62" s="87"/>
      <c r="D62" s="92"/>
      <c r="E62" s="92"/>
      <c r="F62" s="92"/>
    </row>
    <row r="63" spans="1:11">
      <c r="A63" s="114" t="s">
        <v>146</v>
      </c>
      <c r="B63" s="115">
        <v>28</v>
      </c>
      <c r="C63" s="87"/>
      <c r="D63" s="92">
        <v>23879352</v>
      </c>
      <c r="E63" s="92"/>
      <c r="F63" s="92">
        <v>23879352</v>
      </c>
    </row>
    <row r="64" spans="1:11">
      <c r="A64" s="114" t="s">
        <v>147</v>
      </c>
      <c r="B64" s="115">
        <v>28</v>
      </c>
      <c r="C64" s="87"/>
      <c r="D64" s="92">
        <v>705936</v>
      </c>
      <c r="E64" s="92"/>
      <c r="F64" s="92">
        <v>705936</v>
      </c>
    </row>
    <row r="65" spans="1:6">
      <c r="A65" s="114" t="s">
        <v>148</v>
      </c>
      <c r="B65" s="86"/>
      <c r="C65" s="87"/>
      <c r="D65" s="92">
        <v>4016935</v>
      </c>
      <c r="E65" s="92"/>
      <c r="F65" s="92">
        <v>2675050</v>
      </c>
    </row>
    <row r="66" spans="1:6">
      <c r="A66" s="114" t="s">
        <v>149</v>
      </c>
      <c r="B66" s="86"/>
      <c r="C66" s="87"/>
      <c r="D66" s="101">
        <v>37723453</v>
      </c>
      <c r="E66" s="92"/>
      <c r="F66" s="101">
        <v>31964783</v>
      </c>
    </row>
    <row r="67" spans="1:6">
      <c r="A67" s="114"/>
      <c r="B67" s="86"/>
      <c r="C67" s="87"/>
      <c r="D67" s="92">
        <f>SUM(D63:D66)</f>
        <v>66325676</v>
      </c>
      <c r="E67" s="92"/>
      <c r="F67" s="92">
        <f>SUM(F63:F66)</f>
        <v>59225121</v>
      </c>
    </row>
    <row r="68" spans="1:6" s="123" customFormat="1" ht="11.25">
      <c r="A68" s="118" t="s">
        <v>150</v>
      </c>
      <c r="B68" s="119"/>
      <c r="C68" s="120"/>
      <c r="D68" s="121">
        <v>11161259</v>
      </c>
      <c r="E68" s="122"/>
      <c r="F68" s="121">
        <v>9357519</v>
      </c>
    </row>
    <row r="69" spans="1:6" s="123" customFormat="1" ht="7.5" customHeight="1">
      <c r="A69" s="118"/>
      <c r="B69" s="119"/>
      <c r="C69" s="120"/>
      <c r="D69" s="122"/>
      <c r="E69" s="122"/>
      <c r="F69" s="122"/>
    </row>
    <row r="70" spans="1:6" s="123" customFormat="1" ht="11.25">
      <c r="A70" s="124" t="s">
        <v>100</v>
      </c>
      <c r="B70" s="119"/>
      <c r="C70" s="120"/>
      <c r="D70" s="121">
        <f>SUM(D67:D68)</f>
        <v>77486935</v>
      </c>
      <c r="E70" s="122"/>
      <c r="F70" s="121">
        <f>SUM(F67:F68)</f>
        <v>68582640</v>
      </c>
    </row>
    <row r="71" spans="1:6" s="123" customFormat="1" ht="3" customHeight="1">
      <c r="A71" s="124"/>
      <c r="B71" s="119"/>
      <c r="C71" s="120"/>
      <c r="D71" s="122"/>
      <c r="E71" s="122"/>
      <c r="F71" s="122"/>
    </row>
    <row r="72" spans="1:6" s="123" customFormat="1" ht="11.25">
      <c r="A72" s="124" t="s">
        <v>151</v>
      </c>
      <c r="B72" s="119"/>
      <c r="C72" s="120"/>
      <c r="D72" s="125">
        <f>+D60+D70</f>
        <v>214925256</v>
      </c>
      <c r="E72" s="122"/>
      <c r="F72" s="125">
        <f>+F60+F70</f>
        <v>198167128</v>
      </c>
    </row>
    <row r="73" spans="1:6">
      <c r="D73" s="86"/>
      <c r="E73" s="86"/>
      <c r="F73" s="86"/>
    </row>
    <row r="74" spans="1:6">
      <c r="D74" s="86"/>
      <c r="E74" s="86"/>
      <c r="F74" s="86"/>
    </row>
    <row r="75" spans="1:6">
      <c r="D75" s="99">
        <f>D72-D30</f>
        <v>0</v>
      </c>
      <c r="E75" s="99"/>
      <c r="F75" s="99">
        <f>F72-F30</f>
        <v>0</v>
      </c>
    </row>
    <row r="76" spans="1:6">
      <c r="D76" s="86"/>
      <c r="E76" s="86"/>
      <c r="F76" s="86"/>
    </row>
    <row r="77" spans="1:6">
      <c r="D77" s="86"/>
      <c r="E77" s="86"/>
      <c r="F77" s="86"/>
    </row>
    <row r="78" spans="1:6">
      <c r="D78" s="86"/>
      <c r="E78" s="86"/>
      <c r="F78" s="86"/>
    </row>
    <row r="79" spans="1:6">
      <c r="D79" s="86"/>
      <c r="E79" s="86"/>
      <c r="F79" s="86"/>
    </row>
    <row r="80" spans="1:6">
      <c r="D80" s="86"/>
      <c r="E80" s="86"/>
      <c r="F80" s="86"/>
    </row>
    <row r="81" spans="4:6">
      <c r="D81" s="86"/>
      <c r="E81" s="86"/>
      <c r="F81" s="86"/>
    </row>
    <row r="82" spans="4:6">
      <c r="D82" s="86"/>
      <c r="E82" s="86"/>
      <c r="F82" s="86"/>
    </row>
    <row r="83" spans="4:6">
      <c r="D83" s="86"/>
      <c r="E83" s="86"/>
      <c r="F83" s="86"/>
    </row>
    <row r="84" spans="4:6">
      <c r="D84" s="86"/>
      <c r="E84" s="86"/>
      <c r="F84" s="86"/>
    </row>
    <row r="85" spans="4:6">
      <c r="D85" s="86"/>
      <c r="E85" s="86"/>
      <c r="F85" s="86"/>
    </row>
    <row r="86" spans="4:6">
      <c r="D86" s="86"/>
      <c r="E86" s="86"/>
      <c r="F86" s="8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J39"/>
  <sheetViews>
    <sheetView showGridLines="0" topLeftCell="A4" zoomScaleNormal="100" workbookViewId="0">
      <selection activeCell="M19" sqref="M19"/>
    </sheetView>
  </sheetViews>
  <sheetFormatPr defaultColWidth="11.5703125" defaultRowHeight="15"/>
  <cols>
    <col min="1" max="1" width="2.42578125" style="666" customWidth="1"/>
    <col min="2" max="2" width="36" style="666" customWidth="1"/>
    <col min="3" max="3" width="9.85546875" style="666" customWidth="1"/>
    <col min="4" max="4" width="12.28515625" style="666" customWidth="1"/>
    <col min="5" max="5" width="3.42578125" style="666" customWidth="1"/>
    <col min="6" max="6" width="12.28515625" style="666" customWidth="1"/>
    <col min="7" max="7" width="11.5703125" style="666"/>
    <col min="8" max="8" width="12.28515625" style="666" hidden="1" customWidth="1"/>
    <col min="9" max="9" width="11.5703125" style="666" hidden="1"/>
    <col min="10" max="10" width="12.7109375" style="666" hidden="1" customWidth="1"/>
    <col min="11" max="11" width="11.5703125" style="666" hidden="1"/>
    <col min="12" max="12" width="12" style="666" hidden="1" customWidth="1"/>
    <col min="13" max="13" width="11.5703125" style="667"/>
    <col min="14" max="1024" width="11.5703125" style="666"/>
  </cols>
  <sheetData>
    <row r="1" spans="1:15" s="674" customFormat="1" ht="12">
      <c r="A1" s="668"/>
      <c r="B1" s="669"/>
      <c r="C1" s="670" t="s">
        <v>626</v>
      </c>
      <c r="D1" s="670">
        <v>2020</v>
      </c>
      <c r="E1" s="670"/>
      <c r="F1" s="671">
        <v>2019</v>
      </c>
      <c r="G1" s="669"/>
      <c r="H1" s="671">
        <v>2018</v>
      </c>
      <c r="I1" s="672"/>
      <c r="J1" s="673">
        <v>2017</v>
      </c>
      <c r="K1" s="673"/>
      <c r="L1" s="673">
        <v>2016</v>
      </c>
      <c r="M1" s="668"/>
    </row>
    <row r="2" spans="1:15" ht="12" customHeight="1">
      <c r="A2" s="667"/>
      <c r="B2" s="675"/>
      <c r="C2" s="584" t="s">
        <v>628</v>
      </c>
      <c r="D2" s="584"/>
      <c r="E2" s="584"/>
      <c r="F2" s="675"/>
      <c r="G2" s="675"/>
      <c r="H2" s="675"/>
      <c r="I2" s="672"/>
      <c r="J2" s="673"/>
      <c r="K2" s="673"/>
      <c r="L2" s="673"/>
    </row>
    <row r="3" spans="1:15">
      <c r="A3" s="676" t="s">
        <v>684</v>
      </c>
      <c r="C3" s="677"/>
      <c r="D3" s="678">
        <f>'Planilla final'!Q64</f>
        <v>210617337.90000001</v>
      </c>
      <c r="E3" s="677"/>
      <c r="F3" s="676">
        <v>191805258</v>
      </c>
      <c r="G3" s="676"/>
      <c r="H3" s="676">
        <v>159845498</v>
      </c>
      <c r="I3" s="679"/>
      <c r="J3" s="680">
        <v>155656071.41999999</v>
      </c>
      <c r="K3" s="681"/>
      <c r="L3" s="680">
        <v>146349769</v>
      </c>
      <c r="O3" s="682"/>
    </row>
    <row r="4" spans="1:15">
      <c r="A4" s="676" t="s">
        <v>685</v>
      </c>
      <c r="C4" s="677">
        <v>33</v>
      </c>
      <c r="D4" s="678">
        <f>'Planilla final'!Q65</f>
        <v>-98260115.700000003</v>
      </c>
      <c r="E4" s="677"/>
      <c r="F4" s="676">
        <v>-121049688</v>
      </c>
      <c r="G4" s="676"/>
      <c r="H4" s="676">
        <v>-106153033</v>
      </c>
      <c r="I4" s="679"/>
      <c r="J4" s="683">
        <v>-103315253</v>
      </c>
      <c r="K4" s="681"/>
      <c r="L4" s="683">
        <v>-96949966</v>
      </c>
    </row>
    <row r="5" spans="1:15" ht="5.0999999999999996" customHeight="1">
      <c r="A5" s="667"/>
      <c r="C5" s="668"/>
      <c r="D5" s="684"/>
      <c r="E5" s="668"/>
      <c r="F5" s="667"/>
      <c r="G5" s="667"/>
      <c r="H5" s="667"/>
    </row>
    <row r="6" spans="1:15">
      <c r="A6" s="676" t="s">
        <v>686</v>
      </c>
      <c r="C6" s="677"/>
      <c r="D6" s="685">
        <f>D3+D4</f>
        <v>112357222.2</v>
      </c>
      <c r="E6" s="677"/>
      <c r="F6" s="686">
        <v>70755570</v>
      </c>
      <c r="G6" s="681"/>
      <c r="H6" s="686">
        <v>53692465</v>
      </c>
      <c r="I6" s="679"/>
      <c r="J6" s="681">
        <v>52340818.420000002</v>
      </c>
      <c r="K6" s="681"/>
      <c r="L6" s="681">
        <v>49399803</v>
      </c>
    </row>
    <row r="7" spans="1:15" ht="5.0999999999999996" customHeight="1">
      <c r="A7" s="676"/>
      <c r="C7" s="677"/>
      <c r="D7" s="678"/>
      <c r="E7" s="677"/>
      <c r="F7" s="676"/>
      <c r="G7" s="676"/>
      <c r="H7" s="676"/>
      <c r="I7" s="676"/>
      <c r="J7" s="681"/>
      <c r="K7" s="681"/>
      <c r="L7" s="681"/>
    </row>
    <row r="8" spans="1:15">
      <c r="A8" s="675" t="s">
        <v>687</v>
      </c>
      <c r="C8" s="669"/>
      <c r="D8" s="687"/>
      <c r="E8" s="669"/>
      <c r="F8" s="675"/>
      <c r="G8" s="675"/>
      <c r="H8" s="675"/>
      <c r="I8" s="676"/>
      <c r="J8" s="681"/>
      <c r="K8" s="681"/>
      <c r="L8" s="681"/>
    </row>
    <row r="9" spans="1:15">
      <c r="A9" s="676" t="s">
        <v>688</v>
      </c>
      <c r="C9" s="677">
        <v>33</v>
      </c>
      <c r="D9" s="678">
        <f>'Planilla final'!N67</f>
        <v>-79963126.739999995</v>
      </c>
      <c r="E9" s="677"/>
      <c r="F9" s="676">
        <v>-44400771</v>
      </c>
      <c r="G9" s="676"/>
      <c r="H9" s="676">
        <v>-37329669</v>
      </c>
      <c r="I9" s="676"/>
      <c r="J9" s="688">
        <v>-35713851.420000002</v>
      </c>
      <c r="K9" s="681"/>
      <c r="L9" s="688">
        <v>-31216849</v>
      </c>
    </row>
    <row r="10" spans="1:15" ht="5.0999999999999996" customHeight="1">
      <c r="A10" s="676"/>
      <c r="C10" s="677"/>
      <c r="D10" s="678"/>
      <c r="E10" s="677"/>
      <c r="F10" s="676"/>
      <c r="G10" s="676"/>
      <c r="H10" s="676"/>
      <c r="I10" s="676"/>
      <c r="J10" s="681"/>
      <c r="K10" s="681"/>
      <c r="L10" s="681"/>
    </row>
    <row r="11" spans="1:15">
      <c r="A11" s="676" t="s">
        <v>689</v>
      </c>
      <c r="C11" s="677"/>
      <c r="D11" s="685">
        <f>D6+D9</f>
        <v>32394095.460000008</v>
      </c>
      <c r="E11" s="677"/>
      <c r="F11" s="686">
        <v>26354799</v>
      </c>
      <c r="G11" s="681"/>
      <c r="H11" s="686">
        <v>16362796</v>
      </c>
      <c r="I11" s="676"/>
      <c r="J11" s="681">
        <v>16626967</v>
      </c>
      <c r="K11" s="681"/>
      <c r="L11" s="681">
        <v>18182954</v>
      </c>
    </row>
    <row r="12" spans="1:15" ht="5.0999999999999996" customHeight="1">
      <c r="A12" s="676"/>
      <c r="C12" s="677"/>
      <c r="D12" s="678"/>
      <c r="E12" s="677"/>
      <c r="F12" s="676"/>
      <c r="G12" s="676"/>
      <c r="H12" s="676"/>
      <c r="I12" s="676"/>
      <c r="J12" s="681"/>
      <c r="K12" s="681"/>
      <c r="L12" s="681"/>
    </row>
    <row r="13" spans="1:15">
      <c r="A13" s="689" t="s">
        <v>690</v>
      </c>
      <c r="C13" s="690"/>
      <c r="D13" s="691">
        <f>'Planilla final'!N70</f>
        <v>-1897461</v>
      </c>
      <c r="E13" s="690"/>
      <c r="F13" s="689">
        <v>-2329066</v>
      </c>
      <c r="G13" s="689"/>
      <c r="H13" s="676">
        <v>-3672120</v>
      </c>
      <c r="I13" s="676"/>
      <c r="J13" s="681">
        <v>-5201733</v>
      </c>
      <c r="K13" s="681"/>
      <c r="L13" s="681">
        <v>-4584126</v>
      </c>
    </row>
    <row r="14" spans="1:15">
      <c r="A14" s="676" t="s">
        <v>691</v>
      </c>
      <c r="C14" s="677"/>
      <c r="D14" s="678">
        <f>'Planilla final'!N68</f>
        <v>-834851.41</v>
      </c>
      <c r="E14" s="677"/>
      <c r="F14" s="676">
        <v>219694.47</v>
      </c>
      <c r="G14" s="676"/>
      <c r="H14" s="676">
        <v>-1111670</v>
      </c>
      <c r="I14" s="676"/>
      <c r="J14" s="681">
        <v>-2320429.9500000002</v>
      </c>
      <c r="K14" s="681"/>
      <c r="L14" s="681">
        <v>-507141</v>
      </c>
      <c r="N14" s="682"/>
      <c r="O14" s="682"/>
    </row>
    <row r="15" spans="1:15" ht="5.45" customHeight="1">
      <c r="A15" s="676"/>
      <c r="C15" s="677"/>
      <c r="D15" s="678"/>
      <c r="E15" s="677"/>
      <c r="F15" s="676"/>
      <c r="G15" s="676"/>
      <c r="H15" s="676"/>
      <c r="I15" s="676"/>
      <c r="J15" s="688"/>
      <c r="K15" s="681"/>
      <c r="L15" s="688"/>
    </row>
    <row r="16" spans="1:15" ht="27.6" customHeight="1">
      <c r="B16" s="692" t="s">
        <v>692</v>
      </c>
      <c r="C16" s="693"/>
      <c r="D16" s="685">
        <f>D11+D13+D14</f>
        <v>29661783.050000008</v>
      </c>
      <c r="E16" s="693"/>
      <c r="F16" s="686">
        <v>24245427.469999999</v>
      </c>
      <c r="G16" s="681"/>
      <c r="H16" s="686">
        <v>11579006</v>
      </c>
      <c r="I16" s="676"/>
      <c r="J16" s="681">
        <v>9104804.0499999896</v>
      </c>
      <c r="K16" s="681"/>
      <c r="L16" s="681">
        <v>13091687</v>
      </c>
    </row>
    <row r="17" spans="1:17" ht="5.0999999999999996" customHeight="1">
      <c r="A17" s="676"/>
      <c r="C17" s="677"/>
      <c r="D17" s="678"/>
      <c r="E17" s="677"/>
      <c r="F17" s="676"/>
      <c r="G17" s="676"/>
      <c r="H17" s="676"/>
      <c r="I17" s="676"/>
      <c r="J17" s="681"/>
      <c r="K17" s="681"/>
      <c r="L17" s="681"/>
    </row>
    <row r="18" spans="1:17">
      <c r="A18" s="676" t="s">
        <v>110</v>
      </c>
      <c r="C18" s="677"/>
      <c r="D18" s="678">
        <f>'Planilla final'!N72</f>
        <v>-4837640</v>
      </c>
      <c r="E18" s="677"/>
      <c r="F18" s="676">
        <v>-4208157</v>
      </c>
      <c r="G18" s="676"/>
      <c r="H18" s="676">
        <v>-2417615</v>
      </c>
      <c r="I18" s="676"/>
      <c r="J18" s="680">
        <v>-1591304</v>
      </c>
      <c r="K18" s="679"/>
      <c r="L18" s="680">
        <v>-1759101</v>
      </c>
    </row>
    <row r="19" spans="1:17" ht="5.45" customHeight="1">
      <c r="A19" s="676"/>
      <c r="C19" s="677"/>
      <c r="D19" s="678"/>
      <c r="E19" s="677"/>
      <c r="F19" s="676"/>
      <c r="G19" s="676"/>
      <c r="H19" s="676"/>
      <c r="I19" s="676"/>
      <c r="J19" s="681"/>
      <c r="K19" s="681"/>
      <c r="L19" s="681"/>
    </row>
    <row r="20" spans="1:17">
      <c r="A20" s="676" t="s">
        <v>693</v>
      </c>
      <c r="C20" s="677">
        <v>27</v>
      </c>
      <c r="D20" s="678">
        <f>'Planilla final'!Q73</f>
        <v>-7958121</v>
      </c>
      <c r="E20" s="677"/>
      <c r="F20" s="676">
        <v>-7566400</v>
      </c>
      <c r="G20" s="676"/>
      <c r="H20" s="676">
        <v>-4254413</v>
      </c>
      <c r="J20" s="681">
        <v>-3475906</v>
      </c>
      <c r="L20" s="681">
        <v>-3198548</v>
      </c>
    </row>
    <row r="21" spans="1:17" ht="5.0999999999999996" customHeight="1">
      <c r="A21" s="694"/>
      <c r="C21" s="693"/>
      <c r="D21" s="695"/>
      <c r="E21" s="693"/>
      <c r="F21" s="694"/>
      <c r="G21" s="694"/>
      <c r="H21" s="694"/>
      <c r="J21" s="667"/>
      <c r="L21" s="667"/>
    </row>
    <row r="22" spans="1:17">
      <c r="B22" s="676" t="s">
        <v>194</v>
      </c>
      <c r="C22" s="677"/>
      <c r="D22" s="696">
        <f>D16+D18+D20</f>
        <v>16866022.050000008</v>
      </c>
      <c r="E22" s="677"/>
      <c r="F22" s="697">
        <v>12470870.470000001</v>
      </c>
      <c r="G22" s="681"/>
      <c r="H22" s="697">
        <v>4906978</v>
      </c>
      <c r="J22" s="697">
        <v>4037594.04999999</v>
      </c>
      <c r="K22" s="681"/>
      <c r="L22" s="697">
        <v>8134038</v>
      </c>
      <c r="M22" s="681"/>
      <c r="N22" s="698"/>
      <c r="O22" s="699"/>
      <c r="P22" s="700"/>
      <c r="Q22" s="701"/>
    </row>
    <row r="23" spans="1:17">
      <c r="A23" s="667"/>
      <c r="C23" s="668"/>
      <c r="D23" s="684"/>
      <c r="E23" s="668"/>
      <c r="F23" s="667"/>
      <c r="G23" s="667"/>
      <c r="H23" s="667"/>
    </row>
    <row r="24" spans="1:17">
      <c r="A24" s="675" t="s">
        <v>694</v>
      </c>
      <c r="C24" s="669"/>
      <c r="D24" s="687"/>
      <c r="E24" s="669"/>
      <c r="F24" s="675"/>
      <c r="G24" s="675"/>
      <c r="H24" s="675"/>
    </row>
    <row r="25" spans="1:17" ht="5.0999999999999996" customHeight="1">
      <c r="A25" s="694"/>
      <c r="C25" s="693"/>
      <c r="D25" s="695"/>
      <c r="E25" s="693"/>
      <c r="F25" s="694"/>
      <c r="G25" s="694"/>
      <c r="H25" s="694"/>
      <c r="J25" s="667"/>
      <c r="L25" s="667"/>
    </row>
    <row r="26" spans="1:17" ht="25.5" customHeight="1">
      <c r="B26" s="702" t="s">
        <v>695</v>
      </c>
      <c r="C26" s="677"/>
      <c r="D26" s="678">
        <f>'Planilla final'!Q75</f>
        <v>0</v>
      </c>
      <c r="E26" s="677"/>
      <c r="F26" s="678">
        <v>-1099700</v>
      </c>
      <c r="G26" s="678"/>
      <c r="H26" s="678">
        <v>70086</v>
      </c>
      <c r="J26" s="683">
        <v>1849659</v>
      </c>
      <c r="L26" s="683">
        <v>-495802</v>
      </c>
    </row>
    <row r="27" spans="1:17" ht="5.0999999999999996" customHeight="1">
      <c r="A27" s="694"/>
      <c r="C27" s="693"/>
      <c r="D27" s="695"/>
      <c r="E27" s="693"/>
      <c r="F27" s="694"/>
      <c r="G27" s="694"/>
      <c r="H27" s="694"/>
      <c r="J27" s="667"/>
      <c r="L27" s="667"/>
    </row>
    <row r="28" spans="1:17">
      <c r="A28" s="676" t="s">
        <v>98</v>
      </c>
      <c r="C28" s="677"/>
      <c r="D28" s="703">
        <f>D22+D26</f>
        <v>16866022.050000008</v>
      </c>
      <c r="E28" s="677"/>
      <c r="F28" s="704">
        <v>11371170.470000001</v>
      </c>
      <c r="G28" s="705"/>
      <c r="H28" s="704">
        <v>4977064</v>
      </c>
      <c r="J28" s="706">
        <v>5887253.0499999896</v>
      </c>
      <c r="L28" s="706">
        <v>7638236</v>
      </c>
    </row>
    <row r="29" spans="1:17" ht="5.0999999999999996" customHeight="1">
      <c r="A29" s="676"/>
      <c r="C29" s="677"/>
      <c r="D29" s="678"/>
      <c r="E29" s="677"/>
      <c r="F29" s="676"/>
      <c r="G29" s="676"/>
      <c r="H29" s="676"/>
    </row>
    <row r="30" spans="1:17" s="666" customFormat="1" ht="12" hidden="1">
      <c r="A30" s="667" t="s">
        <v>696</v>
      </c>
      <c r="C30" s="668"/>
      <c r="D30" s="707"/>
      <c r="E30" s="668"/>
      <c r="F30" s="617">
        <v>12631217.718596799</v>
      </c>
      <c r="G30" s="617"/>
      <c r="H30" s="681">
        <v>6002231</v>
      </c>
      <c r="J30" s="688">
        <v>6447471.9952226197</v>
      </c>
      <c r="K30" s="681"/>
      <c r="L30" s="688">
        <v>7246588</v>
      </c>
    </row>
    <row r="31" spans="1:17" s="666" customFormat="1" ht="5.0999999999999996" hidden="1" customHeight="1">
      <c r="A31" s="667"/>
      <c r="C31" s="668"/>
      <c r="D31" s="707"/>
      <c r="E31" s="668"/>
      <c r="F31" s="617"/>
      <c r="G31" s="617"/>
      <c r="H31" s="667"/>
      <c r="J31" s="708"/>
      <c r="K31" s="709"/>
      <c r="L31" s="708"/>
    </row>
    <row r="32" spans="1:17" s="666" customFormat="1" ht="12" hidden="1">
      <c r="A32" s="667" t="s">
        <v>697</v>
      </c>
      <c r="C32" s="668"/>
      <c r="D32" s="707"/>
      <c r="E32" s="668"/>
      <c r="F32" s="617">
        <v>-1260047.2485968301</v>
      </c>
      <c r="G32" s="617"/>
      <c r="H32" s="680">
        <v>-1025167</v>
      </c>
      <c r="J32" s="683">
        <v>-560218.94522262504</v>
      </c>
      <c r="L32" s="710">
        <v>391648</v>
      </c>
    </row>
    <row r="33" spans="1:12" s="666" customFormat="1" ht="5.0999999999999996" customHeight="1">
      <c r="A33" s="667"/>
      <c r="C33" s="668"/>
      <c r="D33" s="684"/>
      <c r="E33" s="668"/>
      <c r="F33" s="667"/>
      <c r="G33" s="667"/>
      <c r="H33" s="667"/>
    </row>
    <row r="34" spans="1:12">
      <c r="A34" s="667" t="s">
        <v>698</v>
      </c>
      <c r="C34" s="668"/>
      <c r="D34" s="711">
        <v>37143362</v>
      </c>
      <c r="E34" s="668"/>
      <c r="F34" s="514">
        <v>37143362</v>
      </c>
      <c r="G34" s="514"/>
      <c r="H34" s="514">
        <v>35042687</v>
      </c>
    </row>
    <row r="35" spans="1:12">
      <c r="A35" s="667" t="s">
        <v>699</v>
      </c>
      <c r="C35" s="667"/>
      <c r="D35" s="712">
        <f>D28/D34</f>
        <v>0.45407903705647346</v>
      </c>
      <c r="E35" s="667"/>
      <c r="F35" s="713">
        <v>0.306142736082964</v>
      </c>
      <c r="G35" s="667"/>
      <c r="H35" s="713">
        <v>0.14202860642507201</v>
      </c>
      <c r="J35" s="714"/>
      <c r="L35" s="714"/>
    </row>
    <row r="36" spans="1:12">
      <c r="D36" s="715"/>
    </row>
    <row r="37" spans="1:12" s="666" customFormat="1" ht="12">
      <c r="D37" s="715"/>
    </row>
    <row r="38" spans="1:12" s="666" customFormat="1" ht="12">
      <c r="D38" s="715"/>
      <c r="F38" s="716"/>
    </row>
    <row r="39" spans="1:12" s="666" customFormat="1" ht="12">
      <c r="D39" s="7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86"/>
  <sheetViews>
    <sheetView showGridLines="0" zoomScaleNormal="100" workbookViewId="0">
      <pane xSplit="1" ySplit="4" topLeftCell="B70" activePane="bottomRight" state="frozen"/>
      <selection pane="topRight" activeCell="B1" sqref="B1"/>
      <selection pane="bottomLeft" activeCell="A56" sqref="A56"/>
      <selection pane="bottomRight" activeCell="V81" sqref="V81"/>
    </sheetView>
  </sheetViews>
  <sheetFormatPr defaultColWidth="11.42578125" defaultRowHeight="15"/>
  <cols>
    <col min="1" max="1" width="32.85546875" style="717" customWidth="1"/>
    <col min="2" max="2" width="11.5703125" style="717" customWidth="1"/>
    <col min="3" max="3" width="1" style="717" customWidth="1"/>
    <col min="4" max="4" width="12.85546875" style="717" customWidth="1"/>
    <col min="5" max="5" width="0.7109375" style="717" customWidth="1"/>
    <col min="6" max="6" width="9.7109375" style="717" customWidth="1"/>
    <col min="7" max="7" width="0.85546875" style="717" customWidth="1"/>
    <col min="8" max="8" width="10.42578125" style="717" customWidth="1"/>
    <col min="9" max="9" width="1" style="717" customWidth="1"/>
    <col min="10" max="10" width="10.5703125" style="717" customWidth="1"/>
    <col min="11" max="11" width="1" style="717" customWidth="1"/>
    <col min="12" max="12" width="8.5703125" style="717" customWidth="1"/>
    <col min="13" max="13" width="0.7109375" style="717" customWidth="1"/>
    <col min="14" max="14" width="10.5703125" style="717" customWidth="1"/>
    <col min="15" max="15" width="0.85546875" style="717" customWidth="1"/>
    <col min="16" max="16" width="11" style="717" customWidth="1"/>
    <col min="17" max="17" width="0.7109375" style="717" customWidth="1"/>
    <col min="18" max="18" width="11.42578125" style="717"/>
    <col min="19" max="19" width="0.7109375" style="717" customWidth="1"/>
    <col min="20" max="20" width="11.7109375" style="717" customWidth="1"/>
    <col min="21" max="21" width="4.7109375" style="717" customWidth="1"/>
    <col min="22" max="1024" width="11.42578125" style="717"/>
  </cols>
  <sheetData>
    <row r="1" spans="1:20" s="719" customFormat="1" ht="12">
      <c r="A1" s="718" t="s">
        <v>390</v>
      </c>
    </row>
    <row r="2" spans="1:20" s="719" customFormat="1" ht="24">
      <c r="A2" s="720" t="s">
        <v>700</v>
      </c>
    </row>
    <row r="3" spans="1:20" s="721" customFormat="1" ht="14.25" customHeight="1">
      <c r="B3" s="722"/>
      <c r="C3" s="722"/>
      <c r="D3" s="723"/>
      <c r="E3" s="723"/>
      <c r="F3" s="723"/>
      <c r="G3" s="723"/>
      <c r="H3" s="723"/>
      <c r="I3" s="723"/>
      <c r="J3" s="723"/>
      <c r="K3" s="723"/>
      <c r="L3" s="724" t="s">
        <v>149</v>
      </c>
      <c r="M3" s="725"/>
      <c r="N3" s="725"/>
      <c r="O3" s="725"/>
      <c r="P3" s="725"/>
      <c r="Q3" s="725"/>
      <c r="R3" s="722"/>
      <c r="S3" s="722"/>
      <c r="T3" s="722"/>
    </row>
    <row r="4" spans="1:20" s="721" customFormat="1" ht="48">
      <c r="B4" s="725" t="s">
        <v>172</v>
      </c>
      <c r="C4" s="725"/>
      <c r="D4" s="725" t="s">
        <v>701</v>
      </c>
      <c r="E4" s="725"/>
      <c r="F4" s="725" t="s">
        <v>538</v>
      </c>
      <c r="G4" s="725"/>
      <c r="H4" s="725" t="s">
        <v>702</v>
      </c>
      <c r="I4" s="725"/>
      <c r="J4" s="725" t="s">
        <v>94</v>
      </c>
      <c r="K4" s="725"/>
      <c r="L4" s="725" t="s">
        <v>436</v>
      </c>
      <c r="M4" s="725"/>
      <c r="N4" s="725" t="s">
        <v>703</v>
      </c>
      <c r="O4" s="725"/>
      <c r="P4" s="725" t="s">
        <v>149</v>
      </c>
      <c r="Q4" s="725"/>
      <c r="R4" s="725" t="s">
        <v>704</v>
      </c>
      <c r="S4" s="725"/>
      <c r="T4" s="725" t="s">
        <v>259</v>
      </c>
    </row>
    <row r="5" spans="1:20" hidden="1">
      <c r="B5" s="726"/>
      <c r="C5" s="726"/>
      <c r="D5" s="726"/>
      <c r="E5" s="726"/>
      <c r="F5" s="726"/>
      <c r="G5" s="726"/>
      <c r="H5" s="726"/>
      <c r="I5" s="726"/>
      <c r="J5" s="726"/>
      <c r="K5" s="726"/>
      <c r="L5" s="726"/>
      <c r="M5" s="726"/>
      <c r="N5" s="726"/>
      <c r="O5" s="726"/>
      <c r="P5" s="726"/>
      <c r="Q5" s="726"/>
      <c r="R5" s="726"/>
      <c r="S5" s="726"/>
      <c r="T5" s="726"/>
    </row>
    <row r="6" spans="1:20" hidden="1">
      <c r="A6" s="727" t="s">
        <v>705</v>
      </c>
      <c r="B6" s="728">
        <v>23879352</v>
      </c>
      <c r="C6" s="728"/>
      <c r="D6" s="728">
        <v>705936</v>
      </c>
      <c r="E6" s="728"/>
      <c r="F6" s="728">
        <v>2640253</v>
      </c>
      <c r="G6" s="728"/>
      <c r="H6" s="728">
        <v>34797</v>
      </c>
      <c r="I6" s="728"/>
      <c r="J6" s="728">
        <v>0</v>
      </c>
      <c r="K6" s="728"/>
      <c r="L6" s="728">
        <v>227072</v>
      </c>
      <c r="M6" s="728"/>
      <c r="N6" s="728">
        <v>-3202431</v>
      </c>
      <c r="O6" s="728"/>
      <c r="P6" s="728">
        <v>34940142</v>
      </c>
      <c r="Q6" s="728"/>
      <c r="R6" s="728">
        <v>9357519</v>
      </c>
      <c r="S6" s="728"/>
      <c r="T6" s="728">
        <v>68582640</v>
      </c>
    </row>
    <row r="7" spans="1:20" hidden="1">
      <c r="B7" s="729"/>
      <c r="C7" s="729"/>
      <c r="D7" s="729"/>
      <c r="E7" s="729"/>
      <c r="F7" s="729"/>
      <c r="G7" s="729"/>
      <c r="H7" s="729"/>
      <c r="I7" s="729"/>
      <c r="J7" s="729"/>
      <c r="K7" s="729"/>
      <c r="L7" s="729"/>
      <c r="M7" s="729"/>
      <c r="N7" s="729"/>
      <c r="O7" s="729"/>
      <c r="P7" s="729"/>
      <c r="Q7" s="729"/>
      <c r="R7" s="729"/>
      <c r="S7" s="729"/>
      <c r="T7" s="729"/>
    </row>
    <row r="8" spans="1:20" ht="24.75" hidden="1">
      <c r="A8" s="727" t="s">
        <v>706</v>
      </c>
      <c r="B8" s="728"/>
      <c r="C8" s="728"/>
      <c r="D8" s="728"/>
      <c r="E8" s="728"/>
      <c r="F8" s="728"/>
      <c r="G8" s="728"/>
      <c r="H8" s="728"/>
      <c r="I8" s="728"/>
      <c r="J8" s="728"/>
      <c r="K8" s="728"/>
      <c r="L8" s="728"/>
      <c r="M8" s="728"/>
      <c r="N8" s="728"/>
      <c r="O8" s="728"/>
      <c r="P8" s="728">
        <v>-2936828</v>
      </c>
      <c r="Q8" s="728"/>
      <c r="R8" s="728">
        <v>0</v>
      </c>
      <c r="S8" s="728"/>
      <c r="T8" s="728">
        <v>-2936828</v>
      </c>
    </row>
    <row r="9" spans="1:20" hidden="1">
      <c r="B9" s="729"/>
      <c r="C9" s="729"/>
      <c r="D9" s="729"/>
      <c r="E9" s="729"/>
      <c r="F9" s="729"/>
      <c r="G9" s="729"/>
      <c r="H9" s="729"/>
      <c r="I9" s="729"/>
      <c r="J9" s="729"/>
      <c r="K9" s="729"/>
      <c r="L9" s="729"/>
      <c r="M9" s="729"/>
      <c r="N9" s="729"/>
      <c r="O9" s="729"/>
      <c r="P9" s="729"/>
      <c r="Q9" s="729"/>
      <c r="R9" s="729"/>
      <c r="S9" s="729"/>
      <c r="T9" s="729"/>
    </row>
    <row r="10" spans="1:20" hidden="1">
      <c r="B10" s="729"/>
      <c r="C10" s="729"/>
      <c r="D10" s="729"/>
      <c r="E10" s="729"/>
      <c r="F10" s="729"/>
      <c r="G10" s="729"/>
      <c r="H10" s="729"/>
      <c r="I10" s="729"/>
      <c r="J10" s="729"/>
      <c r="K10" s="729"/>
      <c r="L10" s="729"/>
      <c r="M10" s="729"/>
      <c r="N10" s="729"/>
      <c r="O10" s="729"/>
      <c r="P10" s="729"/>
      <c r="Q10" s="729"/>
      <c r="R10" s="729"/>
      <c r="S10" s="729"/>
      <c r="T10" s="729"/>
    </row>
    <row r="11" spans="1:20" ht="24.75" hidden="1">
      <c r="A11" s="727" t="s">
        <v>707</v>
      </c>
      <c r="B11" s="728">
        <v>23879352</v>
      </c>
      <c r="C11" s="728"/>
      <c r="D11" s="728">
        <v>705936</v>
      </c>
      <c r="E11" s="728"/>
      <c r="F11" s="728">
        <v>2640253</v>
      </c>
      <c r="G11" s="728"/>
      <c r="H11" s="728">
        <v>34797</v>
      </c>
      <c r="I11" s="728"/>
      <c r="J11" s="728">
        <v>0</v>
      </c>
      <c r="K11" s="728"/>
      <c r="L11" s="728">
        <v>227072</v>
      </c>
      <c r="M11" s="728"/>
      <c r="N11" s="728">
        <v>-3202431</v>
      </c>
      <c r="O11" s="728"/>
      <c r="P11" s="728">
        <v>32003314</v>
      </c>
      <c r="Q11" s="728"/>
      <c r="R11" s="728">
        <v>9357519</v>
      </c>
      <c r="S11" s="728"/>
      <c r="T11" s="728">
        <v>65645812</v>
      </c>
    </row>
    <row r="12" spans="1:20" hidden="1">
      <c r="B12" s="729"/>
      <c r="C12" s="729"/>
      <c r="D12" s="729"/>
      <c r="E12" s="729"/>
      <c r="F12" s="729"/>
      <c r="G12" s="729"/>
      <c r="H12" s="729"/>
      <c r="I12" s="729"/>
      <c r="J12" s="729"/>
      <c r="K12" s="729"/>
      <c r="L12" s="729"/>
      <c r="M12" s="729"/>
      <c r="N12" s="729"/>
      <c r="O12" s="729"/>
      <c r="P12" s="729"/>
      <c r="Q12" s="729"/>
      <c r="R12" s="729"/>
      <c r="S12" s="729"/>
      <c r="T12" s="729"/>
    </row>
    <row r="13" spans="1:20" hidden="1">
      <c r="A13" s="727" t="s">
        <v>708</v>
      </c>
      <c r="B13" s="729"/>
      <c r="C13" s="729"/>
      <c r="D13" s="729"/>
      <c r="E13" s="729"/>
      <c r="F13" s="729"/>
      <c r="G13" s="729"/>
      <c r="H13" s="729"/>
      <c r="I13" s="729"/>
      <c r="J13" s="729"/>
      <c r="K13" s="729"/>
      <c r="L13" s="729"/>
      <c r="M13" s="729"/>
      <c r="N13" s="729"/>
      <c r="O13" s="729"/>
      <c r="P13" s="729"/>
      <c r="Q13" s="729"/>
      <c r="R13" s="728">
        <v>1412099</v>
      </c>
      <c r="S13" s="728"/>
      <c r="T13" s="728">
        <v>1412099</v>
      </c>
    </row>
    <row r="14" spans="1:20" hidden="1">
      <c r="B14" s="729"/>
      <c r="C14" s="729"/>
      <c r="D14" s="729"/>
      <c r="E14" s="729"/>
      <c r="F14" s="729"/>
      <c r="G14" s="729"/>
      <c r="H14" s="729"/>
      <c r="I14" s="729"/>
      <c r="J14" s="729"/>
      <c r="K14" s="729"/>
      <c r="L14" s="729"/>
      <c r="M14" s="729"/>
      <c r="N14" s="729"/>
      <c r="O14" s="729"/>
      <c r="P14" s="729"/>
      <c r="Q14" s="729"/>
      <c r="R14" s="729"/>
      <c r="S14" s="729"/>
      <c r="T14" s="729"/>
    </row>
    <row r="15" spans="1:20" ht="36.75" hidden="1">
      <c r="A15" s="727" t="s">
        <v>709</v>
      </c>
      <c r="B15" s="728"/>
      <c r="C15" s="728"/>
      <c r="D15" s="728"/>
      <c r="E15" s="728"/>
      <c r="F15" s="728">
        <v>1341885</v>
      </c>
      <c r="G15" s="728"/>
      <c r="H15" s="728"/>
      <c r="I15" s="728"/>
      <c r="J15" s="728"/>
      <c r="K15" s="728"/>
      <c r="L15" s="728"/>
      <c r="M15" s="728"/>
      <c r="N15" s="728"/>
      <c r="O15" s="728"/>
      <c r="P15" s="728">
        <v>-1341885</v>
      </c>
      <c r="Q15" s="728"/>
      <c r="R15" s="728"/>
      <c r="S15" s="728"/>
      <c r="T15" s="728">
        <v>0</v>
      </c>
    </row>
    <row r="16" spans="1:20" hidden="1">
      <c r="B16" s="729"/>
      <c r="C16" s="729"/>
      <c r="D16" s="729"/>
      <c r="E16" s="729"/>
      <c r="F16" s="729"/>
      <c r="G16" s="729"/>
      <c r="H16" s="729"/>
      <c r="I16" s="729"/>
      <c r="J16" s="729"/>
      <c r="K16" s="729"/>
      <c r="L16" s="729"/>
      <c r="M16" s="729"/>
      <c r="N16" s="729"/>
      <c r="O16" s="729"/>
      <c r="P16" s="729"/>
      <c r="Q16" s="729"/>
      <c r="R16" s="729"/>
      <c r="S16" s="729"/>
      <c r="T16" s="729"/>
    </row>
    <row r="17" spans="1:21" ht="24.75" hidden="1">
      <c r="A17" s="727" t="s">
        <v>710</v>
      </c>
      <c r="B17" s="730"/>
      <c r="C17" s="730"/>
      <c r="D17" s="728"/>
      <c r="E17" s="728"/>
      <c r="F17" s="728"/>
      <c r="G17" s="728"/>
      <c r="H17" s="728"/>
      <c r="I17" s="728"/>
      <c r="J17" s="728">
        <v>-495802</v>
      </c>
      <c r="K17" s="728"/>
      <c r="L17" s="728"/>
      <c r="M17" s="728"/>
      <c r="N17" s="728"/>
      <c r="O17" s="728"/>
      <c r="P17" s="728">
        <v>7742390</v>
      </c>
      <c r="Q17" s="728"/>
      <c r="R17" s="728">
        <v>391648</v>
      </c>
      <c r="S17" s="728"/>
      <c r="T17" s="728">
        <v>7638236</v>
      </c>
    </row>
    <row r="18" spans="1:21" hidden="1">
      <c r="B18" s="729"/>
      <c r="C18" s="729"/>
      <c r="D18" s="729"/>
      <c r="E18" s="729"/>
      <c r="F18" s="729"/>
      <c r="G18" s="729"/>
      <c r="H18" s="729"/>
      <c r="I18" s="729"/>
      <c r="J18" s="729"/>
      <c r="K18" s="729"/>
      <c r="L18" s="729"/>
      <c r="M18" s="729"/>
      <c r="N18" s="729"/>
      <c r="O18" s="729"/>
      <c r="P18" s="729"/>
      <c r="Q18" s="729"/>
      <c r="R18" s="729"/>
      <c r="S18" s="729"/>
      <c r="T18" s="729"/>
    </row>
    <row r="19" spans="1:21" hidden="1">
      <c r="A19" s="727" t="s">
        <v>197</v>
      </c>
      <c r="B19" s="726">
        <v>23879352</v>
      </c>
      <c r="C19" s="726"/>
      <c r="D19" s="726">
        <v>705936</v>
      </c>
      <c r="E19" s="726"/>
      <c r="F19" s="726">
        <v>3982138</v>
      </c>
      <c r="G19" s="726"/>
      <c r="H19" s="726">
        <v>34797</v>
      </c>
      <c r="I19" s="726"/>
      <c r="J19" s="728">
        <v>-495802</v>
      </c>
      <c r="K19" s="728"/>
      <c r="L19" s="726">
        <v>227072</v>
      </c>
      <c r="M19" s="726"/>
      <c r="N19" s="728">
        <v>-3202431</v>
      </c>
      <c r="O19" s="728"/>
      <c r="P19" s="726">
        <v>38403819</v>
      </c>
      <c r="Q19" s="726"/>
      <c r="R19" s="726">
        <v>11161266</v>
      </c>
      <c r="S19" s="726"/>
      <c r="T19" s="726">
        <v>74696147</v>
      </c>
      <c r="U19" s="731"/>
    </row>
    <row r="20" spans="1:21" hidden="1">
      <c r="A20" s="732"/>
      <c r="B20" s="732"/>
      <c r="C20" s="732"/>
      <c r="D20" s="732"/>
      <c r="E20" s="732"/>
      <c r="F20" s="732"/>
      <c r="G20" s="732"/>
      <c r="H20" s="732"/>
      <c r="I20" s="732"/>
      <c r="J20" s="732"/>
      <c r="K20" s="732"/>
      <c r="L20" s="732"/>
      <c r="M20" s="732"/>
      <c r="N20" s="732"/>
      <c r="O20" s="732"/>
      <c r="P20" s="732"/>
      <c r="Q20" s="732"/>
      <c r="R20" s="732"/>
      <c r="S20" s="732"/>
      <c r="T20" s="732"/>
    </row>
    <row r="21" spans="1:21" ht="36" hidden="1">
      <c r="A21" s="733" t="s">
        <v>711</v>
      </c>
      <c r="B21" s="728">
        <v>6127345</v>
      </c>
      <c r="C21" s="728"/>
      <c r="D21" s="734"/>
      <c r="E21" s="734"/>
      <c r="F21" s="734"/>
      <c r="G21" s="734"/>
      <c r="H21" s="734"/>
      <c r="I21" s="734"/>
      <c r="J21" s="734"/>
      <c r="K21" s="734"/>
      <c r="L21" s="734"/>
      <c r="M21" s="734"/>
      <c r="N21" s="734"/>
      <c r="O21" s="734"/>
      <c r="P21" s="734">
        <v>-6127345</v>
      </c>
      <c r="Q21" s="734"/>
      <c r="R21" s="734">
        <v>0</v>
      </c>
      <c r="S21" s="734"/>
      <c r="T21" s="734">
        <v>0</v>
      </c>
    </row>
    <row r="22" spans="1:21" hidden="1">
      <c r="A22" s="732"/>
      <c r="B22" s="732"/>
      <c r="C22" s="732"/>
      <c r="D22" s="732"/>
      <c r="E22" s="732"/>
      <c r="F22" s="732"/>
      <c r="G22" s="732"/>
      <c r="H22" s="732"/>
      <c r="I22" s="732"/>
      <c r="J22" s="732"/>
      <c r="K22" s="732"/>
      <c r="L22" s="732"/>
      <c r="M22" s="732"/>
      <c r="N22" s="732"/>
      <c r="O22" s="732"/>
      <c r="P22" s="732"/>
      <c r="Q22" s="732"/>
      <c r="R22" s="732"/>
      <c r="S22" s="732"/>
      <c r="T22" s="732"/>
    </row>
    <row r="23" spans="1:21" hidden="1">
      <c r="A23" s="727" t="s">
        <v>712</v>
      </c>
      <c r="B23" s="730"/>
      <c r="C23" s="730"/>
      <c r="D23" s="728"/>
      <c r="E23" s="728"/>
      <c r="F23" s="728">
        <v>680816</v>
      </c>
      <c r="G23" s="728"/>
      <c r="H23" s="728"/>
      <c r="I23" s="728"/>
      <c r="J23" s="728"/>
      <c r="K23" s="728"/>
      <c r="L23" s="728"/>
      <c r="M23" s="728"/>
      <c r="N23" s="728"/>
      <c r="O23" s="728"/>
      <c r="P23" s="728">
        <v>-680816</v>
      </c>
      <c r="Q23" s="728"/>
      <c r="R23" s="728">
        <v>0</v>
      </c>
      <c r="S23" s="728"/>
      <c r="T23" s="734">
        <v>0</v>
      </c>
    </row>
    <row r="24" spans="1:21" hidden="1">
      <c r="B24" s="728"/>
      <c r="C24" s="728"/>
      <c r="D24" s="728"/>
      <c r="E24" s="728"/>
      <c r="F24" s="730"/>
      <c r="G24" s="730"/>
      <c r="H24" s="730"/>
      <c r="I24" s="730"/>
      <c r="J24" s="730"/>
      <c r="K24" s="730"/>
      <c r="L24" s="730"/>
      <c r="M24" s="730"/>
      <c r="N24" s="730"/>
      <c r="O24" s="730"/>
      <c r="P24" s="730"/>
      <c r="Q24" s="730"/>
      <c r="R24" s="726"/>
      <c r="S24" s="726"/>
      <c r="T24" s="726"/>
    </row>
    <row r="25" spans="1:21" hidden="1">
      <c r="A25" s="727" t="s">
        <v>663</v>
      </c>
      <c r="B25" s="730"/>
      <c r="C25" s="730"/>
      <c r="D25" s="728"/>
      <c r="E25" s="728"/>
      <c r="F25" s="728"/>
      <c r="G25" s="728"/>
      <c r="H25" s="728"/>
      <c r="I25" s="728"/>
      <c r="J25" s="728"/>
      <c r="K25" s="728"/>
      <c r="L25" s="728"/>
      <c r="M25" s="728"/>
      <c r="N25" s="728"/>
      <c r="O25" s="728"/>
      <c r="P25" s="728">
        <v>446968</v>
      </c>
      <c r="Q25" s="728"/>
      <c r="R25" s="728">
        <v>0</v>
      </c>
      <c r="S25" s="728"/>
      <c r="T25" s="734">
        <v>446968</v>
      </c>
    </row>
    <row r="26" spans="1:21" hidden="1">
      <c r="B26" s="728"/>
      <c r="C26" s="728"/>
      <c r="D26" s="728"/>
      <c r="E26" s="728"/>
      <c r="F26" s="730"/>
      <c r="G26" s="730"/>
      <c r="H26" s="730"/>
      <c r="I26" s="730"/>
      <c r="J26" s="730"/>
      <c r="K26" s="730"/>
      <c r="L26" s="730"/>
      <c r="M26" s="730"/>
      <c r="N26" s="730"/>
      <c r="O26" s="730"/>
      <c r="P26" s="730"/>
      <c r="Q26" s="730"/>
      <c r="R26" s="726"/>
      <c r="S26" s="726"/>
      <c r="T26" s="726"/>
    </row>
    <row r="27" spans="1:21" ht="48" hidden="1">
      <c r="A27" s="733" t="s">
        <v>713</v>
      </c>
      <c r="B27" s="730"/>
      <c r="C27" s="730"/>
      <c r="D27" s="728">
        <v>-705015</v>
      </c>
      <c r="E27" s="728"/>
      <c r="F27" s="728"/>
      <c r="G27" s="728"/>
      <c r="H27" s="728"/>
      <c r="I27" s="728"/>
      <c r="J27" s="728"/>
      <c r="K27" s="728"/>
      <c r="L27" s="728"/>
      <c r="M27" s="728"/>
      <c r="N27" s="728"/>
      <c r="O27" s="728"/>
      <c r="P27" s="728"/>
      <c r="Q27" s="728"/>
      <c r="R27" s="728">
        <v>0</v>
      </c>
      <c r="S27" s="728"/>
      <c r="T27" s="734">
        <v>-705015</v>
      </c>
    </row>
    <row r="28" spans="1:21" hidden="1">
      <c r="A28" s="733"/>
      <c r="B28" s="728"/>
      <c r="C28" s="728"/>
      <c r="D28" s="728"/>
      <c r="E28" s="728"/>
      <c r="F28" s="730"/>
      <c r="G28" s="730"/>
      <c r="H28" s="730"/>
      <c r="I28" s="730"/>
      <c r="J28" s="730"/>
      <c r="K28" s="730"/>
      <c r="L28" s="730"/>
      <c r="M28" s="730"/>
      <c r="N28" s="730"/>
      <c r="O28" s="730"/>
      <c r="P28" s="730"/>
      <c r="Q28" s="730"/>
      <c r="R28" s="726"/>
      <c r="S28" s="726"/>
      <c r="T28" s="726"/>
    </row>
    <row r="29" spans="1:21" ht="24" hidden="1">
      <c r="A29" s="733" t="s">
        <v>710</v>
      </c>
      <c r="B29" s="728"/>
      <c r="C29" s="728"/>
      <c r="D29" s="728"/>
      <c r="E29" s="728"/>
      <c r="F29" s="728"/>
      <c r="G29" s="728"/>
      <c r="H29" s="728"/>
      <c r="I29" s="728"/>
      <c r="J29" s="728">
        <v>1849659</v>
      </c>
      <c r="K29" s="728"/>
      <c r="L29" s="728"/>
      <c r="M29" s="728"/>
      <c r="N29" s="728"/>
      <c r="O29" s="728"/>
      <c r="P29" s="728">
        <v>4597812.9952226197</v>
      </c>
      <c r="Q29" s="728"/>
      <c r="R29" s="728">
        <v>-560218.94522262504</v>
      </c>
      <c r="S29" s="728"/>
      <c r="T29" s="734">
        <v>5887253.0499999998</v>
      </c>
    </row>
    <row r="30" spans="1:21" hidden="1">
      <c r="A30" s="733"/>
      <c r="B30" s="729"/>
      <c r="C30" s="729"/>
      <c r="D30" s="729"/>
      <c r="E30" s="729"/>
      <c r="F30" s="729"/>
      <c r="G30" s="729"/>
      <c r="H30" s="729"/>
      <c r="I30" s="729"/>
      <c r="J30" s="729"/>
      <c r="K30" s="729"/>
      <c r="L30" s="729"/>
      <c r="M30" s="729"/>
      <c r="N30" s="729"/>
      <c r="O30" s="729"/>
      <c r="P30" s="729"/>
      <c r="Q30" s="729"/>
      <c r="R30" s="729"/>
      <c r="S30" s="729"/>
      <c r="T30" s="729"/>
    </row>
    <row r="31" spans="1:21" hidden="1">
      <c r="A31" s="733" t="s">
        <v>714</v>
      </c>
      <c r="B31" s="728">
        <v>30006697</v>
      </c>
      <c r="C31" s="728"/>
      <c r="D31" s="728">
        <v>921</v>
      </c>
      <c r="E31" s="728"/>
      <c r="F31" s="728">
        <v>4662954</v>
      </c>
      <c r="G31" s="728"/>
      <c r="H31" s="728">
        <v>34797</v>
      </c>
      <c r="I31" s="728"/>
      <c r="J31" s="728">
        <v>1353857</v>
      </c>
      <c r="K31" s="728"/>
      <c r="L31" s="728">
        <v>227072</v>
      </c>
      <c r="M31" s="728"/>
      <c r="N31" s="728">
        <v>-3202431</v>
      </c>
      <c r="O31" s="728"/>
      <c r="P31" s="726">
        <v>36640438.995222598</v>
      </c>
      <c r="Q31" s="726"/>
      <c r="R31" s="726">
        <v>10601047.054777401</v>
      </c>
      <c r="S31" s="726"/>
      <c r="T31" s="726">
        <v>80325353.049999997</v>
      </c>
    </row>
    <row r="32" spans="1:21" hidden="1">
      <c r="A32" s="733"/>
      <c r="B32" s="728"/>
      <c r="C32" s="728"/>
      <c r="D32" s="728"/>
      <c r="E32" s="728"/>
      <c r="F32" s="728"/>
      <c r="G32" s="728"/>
      <c r="H32" s="728"/>
      <c r="I32" s="728"/>
      <c r="J32" s="728"/>
      <c r="K32" s="728"/>
      <c r="L32" s="728"/>
      <c r="M32" s="728"/>
      <c r="N32" s="728"/>
      <c r="O32" s="728"/>
      <c r="P32" s="726"/>
      <c r="Q32" s="726"/>
      <c r="R32" s="726"/>
      <c r="S32" s="726"/>
      <c r="T32" s="726"/>
    </row>
    <row r="33" spans="1:23" hidden="1">
      <c r="A33" s="733" t="s">
        <v>715</v>
      </c>
      <c r="B33" s="735"/>
      <c r="C33" s="735"/>
      <c r="D33" s="735"/>
      <c r="E33" s="735"/>
      <c r="F33" s="735"/>
      <c r="G33" s="735"/>
      <c r="H33" s="735"/>
      <c r="I33" s="735"/>
      <c r="J33" s="735"/>
      <c r="K33" s="735"/>
      <c r="L33" s="735"/>
      <c r="M33" s="735"/>
      <c r="N33" s="735"/>
      <c r="O33" s="735"/>
      <c r="P33" s="735">
        <v>854455</v>
      </c>
      <c r="Q33" s="735"/>
      <c r="R33" s="735"/>
      <c r="S33" s="735"/>
      <c r="T33" s="735">
        <v>854455</v>
      </c>
    </row>
    <row r="34" spans="1:23" ht="3" hidden="1" customHeight="1">
      <c r="A34" s="733"/>
      <c r="B34" s="735"/>
      <c r="C34" s="735"/>
      <c r="D34" s="735"/>
      <c r="E34" s="735"/>
      <c r="F34" s="735"/>
      <c r="G34" s="735"/>
      <c r="H34" s="735"/>
      <c r="I34" s="735"/>
      <c r="J34" s="735"/>
      <c r="K34" s="735"/>
      <c r="L34" s="735"/>
      <c r="M34" s="735"/>
      <c r="N34" s="735"/>
      <c r="O34" s="735"/>
      <c r="P34" s="735"/>
      <c r="Q34" s="735"/>
      <c r="R34" s="735"/>
      <c r="S34" s="735"/>
      <c r="T34" s="735"/>
    </row>
    <row r="35" spans="1:23" ht="36" hidden="1">
      <c r="A35" s="733" t="s">
        <v>716</v>
      </c>
      <c r="B35" s="735">
        <v>5035990</v>
      </c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5"/>
      <c r="P35" s="735">
        <v>-5035990</v>
      </c>
      <c r="Q35" s="735"/>
      <c r="R35" s="735"/>
      <c r="S35" s="735"/>
      <c r="T35" s="735">
        <v>0</v>
      </c>
    </row>
    <row r="36" spans="1:23" ht="3" hidden="1" customHeight="1">
      <c r="A36" s="733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5"/>
      <c r="P36" s="735"/>
      <c r="Q36" s="735"/>
      <c r="R36" s="735"/>
      <c r="S36" s="735"/>
      <c r="T36" s="735"/>
    </row>
    <row r="37" spans="1:23" ht="24" hidden="1">
      <c r="A37" s="733" t="s">
        <v>717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>
        <v>-1560840</v>
      </c>
      <c r="S37" s="735"/>
      <c r="T37" s="735">
        <v>-1560840</v>
      </c>
    </row>
    <row r="38" spans="1:23" ht="3" hidden="1" customHeight="1">
      <c r="A38" s="733"/>
      <c r="B38" s="735"/>
      <c r="C38" s="735"/>
      <c r="D38" s="735"/>
      <c r="E38" s="735"/>
      <c r="F38" s="735"/>
      <c r="G38" s="735"/>
      <c r="H38" s="735"/>
      <c r="I38" s="735"/>
      <c r="J38" s="735"/>
      <c r="K38" s="735"/>
      <c r="L38" s="735"/>
      <c r="M38" s="735"/>
      <c r="N38" s="735"/>
      <c r="O38" s="735"/>
      <c r="P38" s="735"/>
      <c r="Q38" s="735"/>
      <c r="R38" s="735"/>
      <c r="S38" s="735"/>
      <c r="T38" s="735"/>
    </row>
    <row r="39" spans="1:23" hidden="1">
      <c r="A39" s="733" t="s">
        <v>712</v>
      </c>
      <c r="B39" s="735"/>
      <c r="C39" s="735"/>
      <c r="D39" s="735"/>
      <c r="E39" s="735"/>
      <c r="F39" s="735">
        <v>559554.56000000006</v>
      </c>
      <c r="G39" s="735"/>
      <c r="H39" s="735"/>
      <c r="I39" s="735"/>
      <c r="J39" s="735"/>
      <c r="K39" s="735"/>
      <c r="L39" s="735"/>
      <c r="M39" s="735"/>
      <c r="N39" s="735"/>
      <c r="O39" s="735"/>
      <c r="P39" s="735">
        <v>-559554.56000000006</v>
      </c>
      <c r="Q39" s="735"/>
      <c r="R39" s="735"/>
      <c r="S39" s="735"/>
      <c r="T39" s="735">
        <v>0</v>
      </c>
    </row>
    <row r="40" spans="1:23" ht="3" hidden="1" customHeight="1">
      <c r="A40" s="733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5"/>
      <c r="P40" s="735"/>
      <c r="Q40" s="735"/>
      <c r="R40" s="735"/>
      <c r="S40" s="735"/>
      <c r="T40" s="735"/>
    </row>
    <row r="41" spans="1:23" ht="36" hidden="1">
      <c r="A41" s="733" t="s">
        <v>718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>
        <v>-1644668.365</v>
      </c>
      <c r="Q41" s="735"/>
      <c r="R41" s="735">
        <v>-341647.63500000001</v>
      </c>
      <c r="S41" s="735"/>
      <c r="T41" s="735">
        <v>-1986316</v>
      </c>
    </row>
    <row r="42" spans="1:23" ht="3" hidden="1" customHeight="1">
      <c r="A42" s="733"/>
      <c r="B42" s="735"/>
      <c r="C42" s="735"/>
      <c r="D42" s="735"/>
      <c r="E42" s="735"/>
      <c r="F42" s="735"/>
      <c r="G42" s="735"/>
      <c r="H42" s="735"/>
      <c r="I42" s="735"/>
      <c r="J42" s="735"/>
      <c r="K42" s="735"/>
      <c r="L42" s="735"/>
      <c r="M42" s="735"/>
      <c r="N42" s="735"/>
      <c r="O42" s="735"/>
      <c r="P42" s="735"/>
      <c r="Q42" s="735"/>
      <c r="R42" s="735"/>
      <c r="S42" s="735"/>
      <c r="T42" s="735"/>
    </row>
    <row r="43" spans="1:23" hidden="1">
      <c r="A43" s="733" t="s">
        <v>719</v>
      </c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5"/>
      <c r="P43" s="735">
        <v>368434</v>
      </c>
      <c r="Q43" s="735"/>
      <c r="R43" s="735"/>
      <c r="S43" s="735"/>
      <c r="T43" s="735">
        <v>368434</v>
      </c>
    </row>
    <row r="44" spans="1:23" ht="3" hidden="1" customHeight="1">
      <c r="A44" s="733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5"/>
      <c r="P44" s="735"/>
      <c r="Q44" s="735"/>
      <c r="R44" s="735"/>
      <c r="S44" s="735"/>
      <c r="T44" s="735"/>
    </row>
    <row r="45" spans="1:23" ht="24" hidden="1">
      <c r="A45" s="733" t="s">
        <v>710</v>
      </c>
      <c r="B45" s="735"/>
      <c r="C45" s="735"/>
      <c r="D45" s="735"/>
      <c r="E45" s="735"/>
      <c r="F45" s="735"/>
      <c r="G45" s="735"/>
      <c r="H45" s="735"/>
      <c r="I45" s="735"/>
      <c r="J45" s="735">
        <v>70086</v>
      </c>
      <c r="K45" s="735"/>
      <c r="L45" s="735"/>
      <c r="M45" s="735"/>
      <c r="N45" s="735"/>
      <c r="O45" s="735"/>
      <c r="P45" s="735">
        <v>5932145</v>
      </c>
      <c r="Q45" s="735"/>
      <c r="R45" s="735">
        <v>-1025167</v>
      </c>
      <c r="S45" s="735"/>
      <c r="T45" s="735">
        <v>4977064</v>
      </c>
    </row>
    <row r="46" spans="1:23" hidden="1">
      <c r="A46" s="733"/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</row>
    <row r="47" spans="1:23">
      <c r="A47" s="733" t="s">
        <v>720</v>
      </c>
      <c r="B47" s="736">
        <v>35042687</v>
      </c>
      <c r="C47" s="737"/>
      <c r="D47" s="736">
        <v>921</v>
      </c>
      <c r="E47" s="737"/>
      <c r="F47" s="736">
        <v>5222508.5599999996</v>
      </c>
      <c r="G47" s="737"/>
      <c r="H47" s="736">
        <v>34797</v>
      </c>
      <c r="I47" s="737"/>
      <c r="J47" s="736">
        <v>1423943</v>
      </c>
      <c r="K47" s="737"/>
      <c r="L47" s="736">
        <v>227072</v>
      </c>
      <c r="M47" s="737"/>
      <c r="N47" s="736">
        <v>-3202431</v>
      </c>
      <c r="O47" s="737"/>
      <c r="P47" s="736">
        <v>36555260.070222601</v>
      </c>
      <c r="Q47" s="737"/>
      <c r="R47" s="736">
        <v>7673392.4197773803</v>
      </c>
      <c r="S47" s="737"/>
      <c r="T47" s="736">
        <v>82978150.049999997</v>
      </c>
      <c r="U47" s="727"/>
      <c r="V47" s="727"/>
      <c r="W47" s="727"/>
    </row>
    <row r="48" spans="1:23">
      <c r="B48" s="729"/>
      <c r="C48" s="729"/>
      <c r="D48" s="729"/>
      <c r="E48" s="729"/>
      <c r="F48" s="729"/>
      <c r="G48" s="729"/>
      <c r="H48" s="729"/>
      <c r="I48" s="729"/>
      <c r="J48" s="738"/>
      <c r="K48" s="738"/>
      <c r="L48" s="738"/>
      <c r="M48" s="738"/>
      <c r="N48" s="738"/>
      <c r="O48" s="738"/>
      <c r="P48" s="738"/>
      <c r="Q48" s="738"/>
      <c r="R48" s="738"/>
      <c r="S48" s="738"/>
      <c r="T48" s="738"/>
    </row>
    <row r="49" spans="1:21">
      <c r="A49" s="717" t="s">
        <v>721</v>
      </c>
      <c r="B49" s="729"/>
      <c r="C49" s="729"/>
      <c r="D49" s="729"/>
      <c r="E49" s="729"/>
      <c r="F49" s="729"/>
      <c r="G49" s="729"/>
      <c r="H49" s="729"/>
      <c r="I49" s="729"/>
      <c r="J49" s="738"/>
      <c r="K49" s="738"/>
      <c r="L49" s="738"/>
      <c r="M49" s="738"/>
      <c r="N49" s="738"/>
      <c r="O49" s="738"/>
      <c r="P49" s="739">
        <v>-1770198</v>
      </c>
      <c r="Q49" s="739"/>
      <c r="R49" s="738"/>
      <c r="S49" s="738"/>
      <c r="T49" s="740">
        <v>-1770198</v>
      </c>
    </row>
    <row r="50" spans="1:21" ht="3" customHeight="1">
      <c r="B50" s="729"/>
      <c r="C50" s="729"/>
      <c r="D50" s="729"/>
      <c r="E50" s="729"/>
      <c r="F50" s="729"/>
      <c r="G50" s="729"/>
      <c r="H50" s="729"/>
      <c r="I50" s="729"/>
      <c r="J50" s="738"/>
      <c r="K50" s="738"/>
      <c r="L50" s="738"/>
      <c r="M50" s="738"/>
      <c r="N50" s="738"/>
      <c r="O50" s="738"/>
      <c r="P50" s="739"/>
      <c r="Q50" s="739"/>
      <c r="R50" s="738"/>
      <c r="S50" s="738"/>
      <c r="T50" s="740"/>
    </row>
    <row r="51" spans="1:21" ht="36">
      <c r="A51" s="733" t="s">
        <v>722</v>
      </c>
      <c r="B51" s="735">
        <v>8215675</v>
      </c>
      <c r="C51" s="735"/>
      <c r="D51" s="735"/>
      <c r="E51" s="735"/>
      <c r="F51" s="735"/>
      <c r="G51" s="735"/>
      <c r="H51" s="735"/>
      <c r="I51" s="735"/>
      <c r="J51" s="740"/>
      <c r="K51" s="740"/>
      <c r="L51" s="740"/>
      <c r="M51" s="740"/>
      <c r="N51" s="740"/>
      <c r="O51" s="740"/>
      <c r="P51" s="740">
        <v>-8215675</v>
      </c>
      <c r="Q51" s="740"/>
      <c r="R51" s="740"/>
      <c r="S51" s="740"/>
      <c r="T51" s="740">
        <v>0</v>
      </c>
    </row>
    <row r="52" spans="1:21" ht="3" customHeight="1">
      <c r="A52" s="733"/>
      <c r="B52" s="735"/>
      <c r="C52" s="735"/>
      <c r="D52" s="735"/>
      <c r="E52" s="735"/>
      <c r="F52" s="735"/>
      <c r="G52" s="735"/>
      <c r="H52" s="735"/>
      <c r="I52" s="735"/>
      <c r="J52" s="740"/>
      <c r="K52" s="740"/>
      <c r="L52" s="740"/>
      <c r="M52" s="740"/>
      <c r="N52" s="740"/>
      <c r="O52" s="740"/>
      <c r="P52" s="740"/>
      <c r="Q52" s="740"/>
      <c r="R52" s="740"/>
      <c r="S52" s="740"/>
      <c r="T52" s="740"/>
    </row>
    <row r="53" spans="1:21">
      <c r="A53" s="733" t="s">
        <v>723</v>
      </c>
      <c r="B53" s="735"/>
      <c r="C53" s="735"/>
      <c r="D53" s="729"/>
      <c r="E53" s="729"/>
      <c r="F53" s="735"/>
      <c r="G53" s="735"/>
      <c r="H53" s="735"/>
      <c r="I53" s="735"/>
      <c r="J53" s="740"/>
      <c r="K53" s="740"/>
      <c r="L53" s="740"/>
      <c r="M53" s="740"/>
      <c r="N53" s="740"/>
      <c r="O53" s="740"/>
      <c r="P53" s="740"/>
      <c r="Q53" s="740"/>
      <c r="R53" s="740">
        <v>1188714</v>
      </c>
      <c r="S53" s="740"/>
      <c r="T53" s="740">
        <v>1188714</v>
      </c>
      <c r="U53" s="741"/>
    </row>
    <row r="54" spans="1:21" ht="3" customHeight="1">
      <c r="A54" s="733"/>
      <c r="B54" s="735"/>
      <c r="C54" s="735"/>
      <c r="D54" s="729"/>
      <c r="E54" s="729"/>
      <c r="F54" s="735"/>
      <c r="G54" s="735"/>
      <c r="H54" s="735"/>
      <c r="I54" s="735"/>
      <c r="J54" s="740"/>
      <c r="K54" s="740"/>
      <c r="L54" s="740"/>
      <c r="M54" s="740"/>
      <c r="N54" s="740"/>
      <c r="O54" s="740"/>
      <c r="P54" s="740"/>
      <c r="Q54" s="740"/>
      <c r="R54" s="740"/>
      <c r="S54" s="740"/>
      <c r="T54" s="740"/>
      <c r="U54" s="741"/>
    </row>
    <row r="55" spans="1:21" ht="24">
      <c r="A55" s="733" t="s">
        <v>724</v>
      </c>
      <c r="B55" s="735">
        <v>-6115000</v>
      </c>
      <c r="C55" s="735"/>
      <c r="D55" s="735">
        <v>6115000</v>
      </c>
      <c r="E55" s="735"/>
      <c r="F55" s="735"/>
      <c r="G55" s="735"/>
      <c r="H55" s="735"/>
      <c r="I55" s="735"/>
      <c r="J55" s="740"/>
      <c r="K55" s="740"/>
      <c r="L55" s="740"/>
      <c r="M55" s="740"/>
      <c r="N55" s="740"/>
      <c r="O55" s="740"/>
      <c r="P55" s="740"/>
      <c r="Q55" s="740"/>
      <c r="S55" s="740"/>
      <c r="T55" s="740">
        <v>0</v>
      </c>
    </row>
    <row r="56" spans="1:21" ht="3" customHeight="1">
      <c r="A56" s="733"/>
      <c r="B56" s="735"/>
      <c r="C56" s="735"/>
      <c r="D56" s="735"/>
      <c r="E56" s="735"/>
      <c r="F56" s="735"/>
      <c r="G56" s="735"/>
      <c r="H56" s="735"/>
      <c r="I56" s="735"/>
      <c r="J56" s="740"/>
      <c r="K56" s="740"/>
      <c r="L56" s="740"/>
      <c r="M56" s="740"/>
      <c r="N56" s="740"/>
      <c r="O56" s="740"/>
      <c r="P56" s="740"/>
      <c r="Q56" s="740"/>
      <c r="R56" s="740"/>
      <c r="S56" s="740"/>
      <c r="T56" s="740"/>
    </row>
    <row r="57" spans="1:21" ht="24">
      <c r="A57" s="733" t="s">
        <v>725</v>
      </c>
      <c r="B57" s="729"/>
      <c r="C57" s="729"/>
      <c r="D57" s="735"/>
      <c r="E57" s="735"/>
      <c r="F57" s="735"/>
      <c r="G57" s="735"/>
      <c r="H57" s="735"/>
      <c r="I57" s="735"/>
      <c r="J57" s="740"/>
      <c r="K57" s="740"/>
      <c r="L57" s="740"/>
      <c r="M57" s="740"/>
      <c r="N57" s="740"/>
      <c r="O57" s="740"/>
      <c r="P57" s="740"/>
      <c r="Q57" s="740"/>
      <c r="R57" s="740"/>
      <c r="S57" s="740"/>
      <c r="T57" s="740"/>
    </row>
    <row r="58" spans="1:21" ht="3" customHeight="1">
      <c r="A58" s="733"/>
      <c r="B58" s="729"/>
      <c r="C58" s="729"/>
      <c r="D58" s="735"/>
      <c r="E58" s="735"/>
      <c r="F58" s="735"/>
      <c r="G58" s="735"/>
      <c r="H58" s="735"/>
      <c r="I58" s="735"/>
      <c r="J58" s="740"/>
      <c r="K58" s="740"/>
      <c r="L58" s="740"/>
      <c r="M58" s="740"/>
      <c r="N58" s="740"/>
      <c r="O58" s="740"/>
      <c r="P58" s="740"/>
      <c r="Q58" s="740"/>
      <c r="R58" s="740"/>
      <c r="S58" s="740"/>
      <c r="T58" s="740"/>
    </row>
    <row r="59" spans="1:21">
      <c r="A59" s="733" t="s">
        <v>726</v>
      </c>
      <c r="B59" s="729"/>
      <c r="C59" s="729"/>
      <c r="D59" s="735"/>
      <c r="E59" s="735"/>
      <c r="F59" s="735"/>
      <c r="G59" s="735"/>
      <c r="H59" s="735"/>
      <c r="I59" s="735"/>
      <c r="J59" s="740"/>
      <c r="K59" s="740"/>
      <c r="L59" s="740"/>
      <c r="M59" s="740"/>
      <c r="N59" s="740"/>
      <c r="O59" s="740"/>
      <c r="P59" s="740">
        <v>-5488035</v>
      </c>
      <c r="Q59" s="740"/>
      <c r="R59" s="740"/>
      <c r="S59" s="740"/>
      <c r="T59" s="740">
        <v>-5488035</v>
      </c>
    </row>
    <row r="60" spans="1:21" ht="3" customHeight="1">
      <c r="A60" s="733"/>
      <c r="B60" s="729"/>
      <c r="C60" s="729"/>
      <c r="D60" s="735"/>
      <c r="E60" s="735"/>
      <c r="F60" s="735"/>
      <c r="G60" s="735"/>
      <c r="H60" s="735"/>
      <c r="I60" s="735"/>
      <c r="J60" s="740"/>
      <c r="K60" s="740"/>
      <c r="L60" s="740"/>
      <c r="M60" s="740"/>
      <c r="N60" s="740"/>
      <c r="O60" s="740"/>
      <c r="P60" s="740"/>
      <c r="Q60" s="740"/>
      <c r="R60" s="740"/>
      <c r="S60" s="740"/>
      <c r="T60" s="740"/>
    </row>
    <row r="61" spans="1:21">
      <c r="A61" s="733" t="s">
        <v>727</v>
      </c>
      <c r="B61" s="735"/>
      <c r="C61" s="735"/>
      <c r="D61" s="735"/>
      <c r="E61" s="735"/>
      <c r="F61" s="735">
        <v>912853</v>
      </c>
      <c r="G61" s="735"/>
      <c r="H61" s="735"/>
      <c r="I61" s="735"/>
      <c r="J61" s="740"/>
      <c r="K61" s="740"/>
      <c r="L61" s="740"/>
      <c r="M61" s="740"/>
      <c r="N61" s="740"/>
      <c r="O61" s="740"/>
      <c r="P61" s="740">
        <v>-912853</v>
      </c>
      <c r="Q61" s="740"/>
      <c r="R61" s="740"/>
      <c r="S61" s="740"/>
      <c r="T61" s="740">
        <v>0</v>
      </c>
    </row>
    <row r="62" spans="1:21" ht="3" customHeight="1">
      <c r="A62" s="733"/>
      <c r="B62" s="735"/>
      <c r="C62" s="735"/>
      <c r="D62" s="735"/>
      <c r="E62" s="735"/>
      <c r="F62" s="735"/>
      <c r="G62" s="735"/>
      <c r="H62" s="735"/>
      <c r="I62" s="735"/>
      <c r="J62" s="740"/>
      <c r="K62" s="740"/>
      <c r="L62" s="740"/>
      <c r="M62" s="740"/>
      <c r="N62" s="740"/>
      <c r="O62" s="740"/>
      <c r="P62" s="740"/>
      <c r="Q62" s="740"/>
      <c r="R62" s="740"/>
      <c r="S62" s="740"/>
      <c r="T62" s="740"/>
    </row>
    <row r="63" spans="1:21" ht="24">
      <c r="A63" s="733" t="s">
        <v>728</v>
      </c>
      <c r="B63" s="735">
        <v>0</v>
      </c>
      <c r="C63" s="735"/>
      <c r="D63" s="735"/>
      <c r="E63" s="735"/>
      <c r="F63" s="740">
        <v>0</v>
      </c>
      <c r="G63" s="740"/>
      <c r="H63" s="740"/>
      <c r="I63" s="740"/>
      <c r="J63" s="740"/>
      <c r="K63" s="740"/>
      <c r="L63" s="740">
        <v>0</v>
      </c>
      <c r="M63" s="740"/>
      <c r="N63" s="740"/>
      <c r="O63" s="740"/>
      <c r="P63" s="740">
        <v>221095</v>
      </c>
      <c r="Q63" s="740"/>
      <c r="R63" s="740">
        <v>0</v>
      </c>
      <c r="S63" s="740"/>
      <c r="T63" s="740">
        <v>221095</v>
      </c>
    </row>
    <row r="64" spans="1:21" ht="3" customHeight="1">
      <c r="A64" s="733"/>
      <c r="B64" s="735"/>
      <c r="C64" s="735"/>
      <c r="D64" s="735"/>
      <c r="E64" s="735"/>
      <c r="F64" s="740"/>
      <c r="G64" s="740"/>
      <c r="H64" s="740"/>
      <c r="I64" s="740"/>
      <c r="J64" s="740"/>
      <c r="K64" s="740"/>
      <c r="L64" s="740"/>
      <c r="M64" s="740"/>
      <c r="N64" s="740"/>
      <c r="O64" s="740"/>
      <c r="P64" s="740"/>
      <c r="Q64" s="740"/>
      <c r="R64" s="740"/>
      <c r="S64" s="740"/>
      <c r="T64" s="740"/>
    </row>
    <row r="65" spans="1:23" ht="24">
      <c r="A65" s="733" t="s">
        <v>710</v>
      </c>
      <c r="B65" s="735"/>
      <c r="C65" s="735"/>
      <c r="D65" s="735"/>
      <c r="E65" s="735"/>
      <c r="F65" s="740"/>
      <c r="G65" s="740"/>
      <c r="H65" s="740"/>
      <c r="I65" s="740"/>
      <c r="J65" s="740">
        <v>-1099700</v>
      </c>
      <c r="K65" s="740"/>
      <c r="L65" s="740"/>
      <c r="M65" s="740"/>
      <c r="N65" s="740"/>
      <c r="O65" s="740"/>
      <c r="P65" s="740">
        <v>13730917.763660001</v>
      </c>
      <c r="Q65" s="740"/>
      <c r="R65" s="740">
        <v>-1260047.29366</v>
      </c>
      <c r="S65" s="740"/>
      <c r="T65" s="740">
        <v>11371170.470000001</v>
      </c>
    </row>
    <row r="66" spans="1:23">
      <c r="B66" s="729"/>
      <c r="C66" s="729"/>
      <c r="D66" s="729"/>
      <c r="E66" s="729"/>
      <c r="F66" s="729"/>
      <c r="G66" s="729"/>
      <c r="H66" s="729"/>
      <c r="I66" s="729"/>
      <c r="J66" s="729"/>
      <c r="K66" s="729"/>
      <c r="L66" s="729"/>
      <c r="M66" s="729"/>
      <c r="N66" s="729"/>
      <c r="O66" s="729"/>
      <c r="P66" s="729"/>
      <c r="Q66" s="729"/>
      <c r="R66" s="729"/>
      <c r="S66" s="729"/>
      <c r="T66" s="729"/>
    </row>
    <row r="67" spans="1:23" ht="15.75" thickBot="1">
      <c r="A67" s="733" t="s">
        <v>729</v>
      </c>
      <c r="B67" s="742">
        <v>37143362</v>
      </c>
      <c r="C67" s="737"/>
      <c r="D67" s="742">
        <v>6115921</v>
      </c>
      <c r="E67" s="737"/>
      <c r="F67" s="742">
        <v>6135361.5599999996</v>
      </c>
      <c r="G67" s="737"/>
      <c r="H67" s="742">
        <v>34797</v>
      </c>
      <c r="I67" s="737"/>
      <c r="J67" s="742">
        <v>324243</v>
      </c>
      <c r="K67" s="737"/>
      <c r="L67" s="742">
        <v>227072</v>
      </c>
      <c r="M67" s="737"/>
      <c r="N67" s="742">
        <v>-3202431</v>
      </c>
      <c r="O67" s="737"/>
      <c r="P67" s="742">
        <v>34120511.8338826</v>
      </c>
      <c r="Q67" s="737"/>
      <c r="R67" s="742">
        <v>7602059.1261173803</v>
      </c>
      <c r="S67" s="737"/>
      <c r="T67" s="742">
        <v>88500896.519999996</v>
      </c>
      <c r="U67" s="727"/>
      <c r="V67" s="1074"/>
      <c r="W67" s="727"/>
    </row>
    <row r="68" spans="1:23" ht="15.75" thickTop="1">
      <c r="A68" s="733"/>
      <c r="B68" s="737"/>
      <c r="C68" s="737"/>
      <c r="D68" s="737"/>
      <c r="E68" s="737"/>
      <c r="F68" s="737"/>
      <c r="G68" s="737"/>
      <c r="H68" s="737"/>
      <c r="I68" s="737"/>
      <c r="J68" s="737"/>
      <c r="K68" s="737"/>
      <c r="L68" s="737"/>
      <c r="M68" s="737"/>
      <c r="N68" s="737"/>
      <c r="O68" s="737"/>
      <c r="P68" s="737"/>
      <c r="Q68" s="737"/>
      <c r="R68" s="737"/>
      <c r="S68" s="737"/>
      <c r="T68" s="737"/>
      <c r="U68" s="727"/>
      <c r="V68" s="727"/>
      <c r="W68" s="727"/>
    </row>
    <row r="69" spans="1:23">
      <c r="A69" s="717" t="s">
        <v>721</v>
      </c>
      <c r="B69" s="729"/>
      <c r="C69" s="729"/>
      <c r="D69" s="729"/>
      <c r="E69" s="729"/>
      <c r="F69" s="729"/>
      <c r="G69" s="729"/>
      <c r="H69" s="729"/>
      <c r="I69" s="729"/>
      <c r="J69" s="738"/>
      <c r="K69" s="738"/>
      <c r="L69" s="738"/>
      <c r="M69" s="738"/>
      <c r="N69" s="738"/>
      <c r="O69" s="738"/>
      <c r="P69" s="739"/>
      <c r="Q69" s="739"/>
      <c r="R69" s="738"/>
      <c r="S69" s="738"/>
      <c r="T69" s="740">
        <f>SUM(B69:R70)</f>
        <v>0</v>
      </c>
    </row>
    <row r="70" spans="1:23" ht="3" customHeight="1">
      <c r="B70" s="729"/>
      <c r="C70" s="729"/>
      <c r="D70" s="729"/>
      <c r="E70" s="729"/>
      <c r="F70" s="729"/>
      <c r="G70" s="729"/>
      <c r="H70" s="729"/>
      <c r="I70" s="729"/>
      <c r="J70" s="738"/>
      <c r="K70" s="738"/>
      <c r="L70" s="738"/>
      <c r="M70" s="738"/>
      <c r="N70" s="738"/>
      <c r="O70" s="738"/>
      <c r="P70" s="739"/>
      <c r="Q70" s="739"/>
      <c r="R70" s="738"/>
      <c r="S70" s="738"/>
      <c r="T70" s="740"/>
    </row>
    <row r="71" spans="1:23">
      <c r="A71" s="733" t="s">
        <v>853</v>
      </c>
      <c r="B71" s="735">
        <v>6115000</v>
      </c>
      <c r="C71" s="735"/>
      <c r="D71" s="735">
        <v>-6115000</v>
      </c>
      <c r="E71" s="735"/>
      <c r="F71" s="735"/>
      <c r="G71" s="735"/>
      <c r="H71" s="735"/>
      <c r="I71" s="735"/>
      <c r="J71" s="740"/>
      <c r="K71" s="740"/>
      <c r="L71" s="740"/>
      <c r="M71" s="740"/>
      <c r="N71" s="740"/>
      <c r="O71" s="740"/>
      <c r="P71" s="740">
        <v>1859768</v>
      </c>
      <c r="Q71" s="740"/>
      <c r="R71" s="740"/>
      <c r="S71" s="740"/>
      <c r="T71" s="740">
        <f>SUM(B71:R72)</f>
        <v>1859768</v>
      </c>
    </row>
    <row r="72" spans="1:23" ht="10.5" hidden="1" customHeight="1">
      <c r="A72" s="733"/>
      <c r="B72" s="735"/>
      <c r="C72" s="735"/>
      <c r="D72" s="735"/>
      <c r="E72" s="735"/>
      <c r="F72" s="735"/>
      <c r="G72" s="735"/>
      <c r="H72" s="735"/>
      <c r="I72" s="735"/>
      <c r="J72" s="740"/>
      <c r="K72" s="740"/>
      <c r="L72" s="740"/>
      <c r="M72" s="740"/>
      <c r="N72" s="740"/>
      <c r="O72" s="740"/>
      <c r="P72" s="740"/>
      <c r="Q72" s="740"/>
      <c r="R72" s="740"/>
      <c r="S72" s="740"/>
      <c r="T72" s="740">
        <f>SUM(B72:R72)</f>
        <v>0</v>
      </c>
    </row>
    <row r="73" spans="1:23" ht="6.75" customHeight="1">
      <c r="A73" s="733"/>
      <c r="B73" s="735"/>
      <c r="C73" s="735"/>
      <c r="D73" s="729"/>
      <c r="E73" s="729"/>
      <c r="F73" s="735"/>
      <c r="G73" s="735"/>
      <c r="H73" s="735"/>
      <c r="I73" s="735"/>
      <c r="J73" s="740"/>
      <c r="K73" s="740"/>
      <c r="L73" s="740"/>
      <c r="M73" s="740"/>
      <c r="N73" s="740"/>
      <c r="O73" s="740"/>
      <c r="P73" s="740"/>
      <c r="Q73" s="740"/>
      <c r="R73" s="740"/>
      <c r="S73" s="740"/>
      <c r="T73" s="740"/>
      <c r="U73" s="741"/>
    </row>
    <row r="74" spans="1:23">
      <c r="A74" s="733" t="s">
        <v>856</v>
      </c>
      <c r="B74" s="735"/>
      <c r="C74" s="735"/>
      <c r="D74" s="735"/>
      <c r="E74" s="735"/>
      <c r="F74" s="735"/>
      <c r="G74" s="735"/>
      <c r="H74" s="735"/>
      <c r="I74" s="735"/>
      <c r="J74" s="740"/>
      <c r="K74" s="740"/>
      <c r="L74" s="740"/>
      <c r="M74" s="740"/>
      <c r="N74" s="740"/>
      <c r="O74" s="740"/>
      <c r="P74" s="740">
        <v>660505</v>
      </c>
      <c r="Q74" s="740"/>
      <c r="R74" s="740"/>
      <c r="S74" s="740"/>
      <c r="T74" s="740">
        <f>SUM(B74:R75)</f>
        <v>660505</v>
      </c>
    </row>
    <row r="75" spans="1:23" ht="5.25" customHeight="1">
      <c r="A75" s="733"/>
      <c r="B75" s="735"/>
      <c r="C75" s="735"/>
      <c r="D75" s="735"/>
      <c r="E75" s="735"/>
      <c r="F75" s="735"/>
      <c r="G75" s="735"/>
      <c r="H75" s="735"/>
      <c r="I75" s="735"/>
      <c r="J75" s="740"/>
      <c r="K75" s="740"/>
      <c r="L75" s="740"/>
      <c r="M75" s="740"/>
      <c r="N75" s="740"/>
      <c r="O75" s="740"/>
      <c r="P75" s="740"/>
      <c r="Q75" s="740"/>
      <c r="R75" s="740"/>
      <c r="S75" s="740"/>
      <c r="T75" s="740"/>
    </row>
    <row r="76" spans="1:23">
      <c r="A76" s="733" t="s">
        <v>843</v>
      </c>
      <c r="B76" s="735">
        <v>-21629181</v>
      </c>
      <c r="C76" s="735"/>
      <c r="D76" s="735"/>
      <c r="E76" s="735"/>
      <c r="F76" s="735"/>
      <c r="G76" s="735"/>
      <c r="H76" s="735"/>
      <c r="I76" s="735"/>
      <c r="J76" s="740"/>
      <c r="K76" s="740"/>
      <c r="L76" s="740"/>
      <c r="M76" s="740"/>
      <c r="N76" s="740"/>
      <c r="O76" s="740"/>
      <c r="P76" s="740"/>
      <c r="Q76" s="740"/>
      <c r="S76" s="740"/>
      <c r="T76" s="740">
        <f>SUM(B76:R77)</f>
        <v>-21629181</v>
      </c>
    </row>
    <row r="77" spans="1:23" ht="5.25" customHeight="1">
      <c r="A77" s="733"/>
      <c r="B77" s="735"/>
      <c r="C77" s="735"/>
      <c r="D77" s="735"/>
      <c r="E77" s="735"/>
      <c r="F77" s="735"/>
      <c r="G77" s="735"/>
      <c r="H77" s="735"/>
      <c r="I77" s="735"/>
      <c r="J77" s="740"/>
      <c r="K77" s="740"/>
      <c r="L77" s="740"/>
      <c r="M77" s="740"/>
      <c r="N77" s="740"/>
      <c r="O77" s="740"/>
      <c r="P77" s="740"/>
      <c r="Q77" s="740"/>
      <c r="R77" s="740"/>
      <c r="S77" s="740"/>
      <c r="T77" s="740">
        <f>SUM(B77:R77)</f>
        <v>0</v>
      </c>
    </row>
    <row r="78" spans="1:23" ht="24">
      <c r="A78" s="733" t="s">
        <v>857</v>
      </c>
      <c r="B78" s="735"/>
      <c r="C78" s="735"/>
      <c r="D78" s="735"/>
      <c r="E78" s="735"/>
      <c r="F78" s="740"/>
      <c r="G78" s="740"/>
      <c r="H78" s="740"/>
      <c r="I78" s="740"/>
      <c r="J78" s="740"/>
      <c r="K78" s="740"/>
      <c r="L78" s="740"/>
      <c r="M78" s="740"/>
      <c r="N78" s="740"/>
      <c r="O78" s="740"/>
      <c r="P78" s="740">
        <f>+Patrimonio!Q88</f>
        <v>-373201</v>
      </c>
      <c r="Q78" s="740"/>
      <c r="R78" s="740"/>
      <c r="S78" s="740"/>
      <c r="T78" s="740">
        <f>SUM(B78:R79)</f>
        <v>-373201</v>
      </c>
    </row>
    <row r="79" spans="1:23" ht="3.75" customHeight="1">
      <c r="A79" s="733"/>
      <c r="B79" s="735"/>
      <c r="C79" s="735"/>
      <c r="D79" s="735"/>
      <c r="E79" s="735"/>
      <c r="F79" s="740"/>
      <c r="G79" s="740"/>
      <c r="H79" s="740"/>
      <c r="I79" s="740"/>
      <c r="J79" s="740"/>
      <c r="K79" s="740"/>
      <c r="L79" s="740"/>
      <c r="M79" s="740"/>
      <c r="N79" s="740"/>
      <c r="O79" s="740"/>
      <c r="P79" s="740"/>
      <c r="Q79" s="740"/>
      <c r="R79" s="740"/>
      <c r="S79" s="740"/>
      <c r="T79" s="740"/>
    </row>
    <row r="80" spans="1:23" ht="24">
      <c r="A80" s="733" t="s">
        <v>858</v>
      </c>
      <c r="B80" s="735"/>
      <c r="C80" s="735"/>
      <c r="D80" s="735"/>
      <c r="E80" s="735"/>
      <c r="F80" s="740"/>
      <c r="G80" s="740"/>
      <c r="H80" s="740"/>
      <c r="I80" s="740"/>
      <c r="J80" s="740"/>
      <c r="K80" s="740"/>
      <c r="L80" s="740"/>
      <c r="M80" s="740"/>
      <c r="N80" s="740"/>
      <c r="O80" s="740"/>
      <c r="P80" s="1030">
        <f>953966-50758-116791-673128</f>
        <v>113289</v>
      </c>
      <c r="Q80" s="740"/>
      <c r="R80" s="740"/>
      <c r="S80" s="740"/>
      <c r="T80" s="740">
        <f>SUM(B80:R81)</f>
        <v>113289</v>
      </c>
    </row>
    <row r="81" spans="1:23" ht="5.25" customHeight="1">
      <c r="A81" s="733"/>
      <c r="B81" s="735"/>
      <c r="C81" s="735"/>
      <c r="D81" s="735"/>
      <c r="E81" s="735"/>
      <c r="F81" s="740"/>
      <c r="G81" s="740"/>
      <c r="H81" s="740"/>
      <c r="I81" s="740"/>
      <c r="J81" s="740"/>
      <c r="K81" s="740"/>
      <c r="L81" s="740"/>
      <c r="M81" s="740"/>
      <c r="N81" s="740"/>
      <c r="O81" s="740"/>
      <c r="P81" s="740"/>
      <c r="Q81" s="740"/>
      <c r="R81" s="740"/>
      <c r="S81" s="740"/>
      <c r="T81" s="740"/>
    </row>
    <row r="82" spans="1:23" ht="24">
      <c r="A82" s="733" t="s">
        <v>710</v>
      </c>
      <c r="B82" s="735"/>
      <c r="C82" s="735"/>
      <c r="D82" s="735"/>
      <c r="E82" s="735"/>
      <c r="F82" s="740"/>
      <c r="G82" s="740"/>
      <c r="H82" s="740"/>
      <c r="I82" s="740"/>
      <c r="J82" s="740">
        <v>0</v>
      </c>
      <c r="K82" s="740"/>
      <c r="L82" s="740"/>
      <c r="M82" s="740"/>
      <c r="N82" s="740"/>
      <c r="O82" s="740"/>
      <c r="P82" s="740">
        <f>+'Planilla final'!Q80</f>
        <v>18034773.178671967</v>
      </c>
      <c r="Q82" s="740"/>
      <c r="R82" s="740">
        <f>+Patrimonio!Q73</f>
        <v>-698311</v>
      </c>
      <c r="S82" s="740"/>
      <c r="T82" s="740">
        <f>SUM(B82:R83)</f>
        <v>17336462.178671967</v>
      </c>
    </row>
    <row r="83" spans="1:23" ht="4.5" customHeight="1">
      <c r="B83" s="729"/>
      <c r="C83" s="729"/>
      <c r="D83" s="729"/>
      <c r="E83" s="729"/>
      <c r="F83" s="729"/>
      <c r="G83" s="729"/>
      <c r="H83" s="729"/>
      <c r="I83" s="729"/>
      <c r="J83" s="729"/>
      <c r="K83" s="729"/>
      <c r="L83" s="729"/>
      <c r="M83" s="729"/>
      <c r="N83" s="729"/>
      <c r="O83" s="729"/>
      <c r="P83" s="729"/>
      <c r="Q83" s="729"/>
      <c r="R83" s="729"/>
      <c r="S83" s="729"/>
      <c r="T83" s="729"/>
    </row>
    <row r="84" spans="1:23" ht="15.75" thickBot="1">
      <c r="A84" s="733" t="s">
        <v>844</v>
      </c>
      <c r="B84" s="742">
        <f>SUM(B67:B83)</f>
        <v>21629181</v>
      </c>
      <c r="C84" s="737"/>
      <c r="D84" s="742">
        <f>SUM(D67:D83)</f>
        <v>921</v>
      </c>
      <c r="E84" s="737"/>
      <c r="F84" s="742">
        <f>SUM(F67:F83)</f>
        <v>6135361.5599999996</v>
      </c>
      <c r="G84" s="737"/>
      <c r="H84" s="742">
        <f>SUM(H67:H83)</f>
        <v>34797</v>
      </c>
      <c r="I84" s="737"/>
      <c r="J84" s="742">
        <f>SUM(J67:J83)</f>
        <v>324243</v>
      </c>
      <c r="K84" s="737"/>
      <c r="L84" s="742">
        <f>SUM(L67:L83)</f>
        <v>227072</v>
      </c>
      <c r="M84" s="737"/>
      <c r="N84" s="742">
        <f>SUM(N67:N83)</f>
        <v>-3202431</v>
      </c>
      <c r="O84" s="737"/>
      <c r="P84" s="742">
        <f>SUM(P67:P83)</f>
        <v>54415646.012554571</v>
      </c>
      <c r="Q84" s="737"/>
      <c r="R84" s="742">
        <f>SUM(R67:R83)</f>
        <v>6903748.1261173803</v>
      </c>
      <c r="S84" s="737"/>
      <c r="T84" s="742">
        <f>+T67+T69+T71+T76+T78+T82+T74+T80</f>
        <v>86468538.698671967</v>
      </c>
      <c r="U84" s="727"/>
      <c r="V84" s="727"/>
      <c r="W84" s="727"/>
    </row>
    <row r="85" spans="1:23" ht="15.75" thickTop="1">
      <c r="B85" s="729"/>
      <c r="C85" s="729"/>
      <c r="D85" s="729"/>
      <c r="E85" s="729"/>
      <c r="F85" s="729"/>
      <c r="G85" s="729"/>
      <c r="H85" s="729"/>
      <c r="I85" s="729"/>
      <c r="J85" s="729"/>
      <c r="K85" s="729"/>
      <c r="L85" s="729"/>
      <c r="M85" s="729"/>
      <c r="N85" s="729"/>
      <c r="O85" s="729"/>
      <c r="P85" s="729"/>
      <c r="Q85" s="729"/>
      <c r="R85" s="729"/>
      <c r="S85" s="729"/>
      <c r="T85" s="917">
        <f>+B84+D84+F84+H84+J84+L84+N84+P84+R84-T84</f>
        <v>0</v>
      </c>
    </row>
    <row r="86" spans="1:23" ht="12" customHeight="1">
      <c r="B86" s="743" t="s">
        <v>654</v>
      </c>
      <c r="C86" s="722"/>
      <c r="D86" s="722"/>
      <c r="E86" s="722"/>
      <c r="F86" s="722"/>
      <c r="G86" s="722"/>
      <c r="H86" s="722"/>
      <c r="I86" s="722"/>
      <c r="J86" s="722"/>
      <c r="K86" s="722"/>
      <c r="L86" s="722"/>
      <c r="M86" s="722"/>
      <c r="N86" s="722"/>
      <c r="O86" s="722"/>
      <c r="P86" s="722"/>
      <c r="Q86" s="722"/>
      <c r="R86" s="722"/>
      <c r="S86" s="729"/>
      <c r="T86" s="729"/>
    </row>
  </sheetData>
  <pageMargins left="0.7" right="0.7" top="0.75" bottom="0.75" header="0.51180555555555496" footer="0.51180555555555496"/>
  <pageSetup paperSize="9" scale="83" firstPageNumber="0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95"/>
  <sheetViews>
    <sheetView tabSelected="1" topLeftCell="A4" zoomScaleNormal="100" workbookViewId="0">
      <pane xSplit="1" ySplit="44" topLeftCell="H74" activePane="bottomRight" state="frozen"/>
      <selection activeCell="A4" sqref="A4"/>
      <selection pane="topRight" activeCell="B4" sqref="B4"/>
      <selection pane="bottomLeft" activeCell="A48" sqref="A48"/>
      <selection pane="bottomRight" activeCell="U85" sqref="U85"/>
    </sheetView>
  </sheetViews>
  <sheetFormatPr defaultColWidth="9.140625" defaultRowHeight="15" outlineLevelCol="1"/>
  <cols>
    <col min="1" max="1" width="37.7109375" style="403" customWidth="1"/>
    <col min="2" max="2" width="12.5703125" style="403" hidden="1" customWidth="1" outlineLevel="1"/>
    <col min="3" max="3" width="12.28515625" style="403" hidden="1" customWidth="1" outlineLevel="1"/>
    <col min="4" max="4" width="11.140625" style="403" hidden="1" customWidth="1" outlineLevel="1"/>
    <col min="5" max="5" width="10.28515625" style="403" hidden="1" customWidth="1" outlineLevel="1"/>
    <col min="6" max="6" width="11.28515625" style="403" hidden="1" customWidth="1" outlineLevel="1"/>
    <col min="7" max="7" width="10" style="403" hidden="1" customWidth="1" outlineLevel="1"/>
    <col min="8" max="8" width="11.140625" style="403" hidden="1" customWidth="1" outlineLevel="1"/>
    <col min="9" max="9" width="10.28515625" style="403" hidden="1" customWidth="1" outlineLevel="1"/>
    <col min="10" max="10" width="11" style="403" hidden="1" customWidth="1" outlineLevel="1"/>
    <col min="11" max="13" width="11.28515625" style="403" hidden="1" customWidth="1" outlineLevel="1"/>
    <col min="14" max="14" width="12.5703125" style="403" customWidth="1" collapsed="1"/>
    <col min="15" max="15" width="12.28515625" style="403" customWidth="1"/>
    <col min="16" max="16" width="11.5703125" style="403" customWidth="1"/>
    <col min="17" max="17" width="12.5703125" style="403" customWidth="1"/>
    <col min="18" max="18" width="10.42578125" style="744" hidden="1" customWidth="1"/>
    <col min="19" max="19" width="12.28515625" style="403" hidden="1" customWidth="1"/>
    <col min="20" max="1024" width="9.140625" style="403"/>
  </cols>
  <sheetData>
    <row r="1" spans="1:18">
      <c r="A1" s="402" t="s">
        <v>390</v>
      </c>
    </row>
    <row r="2" spans="1:18">
      <c r="A2" s="404" t="s">
        <v>730</v>
      </c>
    </row>
    <row r="3" spans="1:18">
      <c r="A3" s="404" t="s">
        <v>456</v>
      </c>
    </row>
    <row r="4" spans="1:18" ht="24.75" thickBot="1">
      <c r="B4" s="745" t="s">
        <v>293</v>
      </c>
      <c r="C4" s="745" t="s">
        <v>243</v>
      </c>
      <c r="D4" s="745" t="s">
        <v>832</v>
      </c>
      <c r="E4" s="745" t="s">
        <v>280</v>
      </c>
      <c r="F4" s="745" t="s">
        <v>281</v>
      </c>
      <c r="G4" s="745" t="s">
        <v>432</v>
      </c>
      <c r="H4" s="745" t="s">
        <v>282</v>
      </c>
      <c r="I4" s="745" t="s">
        <v>433</v>
      </c>
      <c r="J4" s="745" t="s">
        <v>831</v>
      </c>
      <c r="K4" s="745" t="s">
        <v>245</v>
      </c>
      <c r="L4" s="745" t="s">
        <v>247</v>
      </c>
      <c r="M4" s="745" t="s">
        <v>32</v>
      </c>
      <c r="N4" s="745" t="s">
        <v>497</v>
      </c>
      <c r="O4" s="746" t="s">
        <v>200</v>
      </c>
      <c r="P4" s="746" t="s">
        <v>201</v>
      </c>
      <c r="Q4" s="746" t="s">
        <v>453</v>
      </c>
    </row>
    <row r="5" spans="1:18" hidden="1">
      <c r="A5" s="747" t="s">
        <v>731</v>
      </c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39"/>
    </row>
    <row r="6" spans="1:18" hidden="1">
      <c r="A6" s="564" t="s">
        <v>732</v>
      </c>
      <c r="B6" s="748">
        <v>35042687</v>
      </c>
      <c r="C6" s="748">
        <v>5000</v>
      </c>
      <c r="D6" s="748">
        <v>1105000</v>
      </c>
      <c r="E6" s="748">
        <v>10000</v>
      </c>
      <c r="F6" s="748">
        <v>1000</v>
      </c>
      <c r="G6" s="748">
        <v>1000</v>
      </c>
      <c r="H6" s="748">
        <v>5000</v>
      </c>
      <c r="I6" s="748">
        <v>10000</v>
      </c>
      <c r="J6" s="748">
        <v>800</v>
      </c>
      <c r="K6" s="748">
        <v>800</v>
      </c>
      <c r="L6" s="748">
        <v>3661400</v>
      </c>
      <c r="M6" s="748">
        <v>10000</v>
      </c>
      <c r="N6" s="748">
        <f>SUM(B6:M6)</f>
        <v>39852687</v>
      </c>
      <c r="O6" s="748">
        <f>+'AD ESF'!D137+'AD ESF'!D161+'AD ESF'!D198</f>
        <v>4810000</v>
      </c>
      <c r="P6" s="748"/>
      <c r="Q6" s="442">
        <f>+N6+P6-O6</f>
        <v>35042687</v>
      </c>
      <c r="R6" s="749">
        <f>+Q6-'ECP20'!B47</f>
        <v>0</v>
      </c>
    </row>
    <row r="7" spans="1:18" hidden="1">
      <c r="A7" s="564" t="s">
        <v>733</v>
      </c>
      <c r="B7" s="748">
        <v>-6115000</v>
      </c>
      <c r="C7" s="748"/>
      <c r="D7" s="748"/>
      <c r="E7" s="748">
        <v>-3200</v>
      </c>
      <c r="F7" s="748"/>
      <c r="G7" s="748"/>
      <c r="H7" s="748"/>
      <c r="I7" s="748"/>
      <c r="J7" s="748"/>
      <c r="K7" s="748"/>
      <c r="L7" s="748"/>
      <c r="M7" s="748"/>
      <c r="N7" s="748">
        <f>SUM(B7:M7)</f>
        <v>-6118200</v>
      </c>
      <c r="O7" s="748"/>
      <c r="P7" s="748">
        <f>+'AD ESF'!E189</f>
        <v>3200</v>
      </c>
      <c r="Q7" s="442">
        <f>+N7+P7-O7</f>
        <v>-6115000</v>
      </c>
      <c r="R7" s="749"/>
    </row>
    <row r="8" spans="1:18" hidden="1">
      <c r="A8" s="564" t="s">
        <v>734</v>
      </c>
      <c r="B8" s="748"/>
      <c r="C8" s="748"/>
      <c r="D8" s="748"/>
      <c r="E8" s="748">
        <v>-6800</v>
      </c>
      <c r="F8" s="748"/>
      <c r="G8" s="748"/>
      <c r="H8" s="748"/>
      <c r="I8" s="748"/>
      <c r="J8" s="748"/>
      <c r="K8" s="748"/>
      <c r="L8" s="748"/>
      <c r="M8" s="748"/>
      <c r="N8" s="748">
        <f>SUM(B8:M8)</f>
        <v>-6800</v>
      </c>
      <c r="O8" s="748"/>
      <c r="P8" s="748">
        <f>+'AD ESF'!E223</f>
        <v>6800</v>
      </c>
      <c r="Q8" s="442">
        <f>+N8+P8-O8</f>
        <v>0</v>
      </c>
      <c r="R8" s="749"/>
    </row>
    <row r="9" spans="1:18" ht="30" hidden="1">
      <c r="A9" s="750" t="s">
        <v>735</v>
      </c>
      <c r="B9" s="748">
        <v>8215675</v>
      </c>
      <c r="C9" s="748"/>
      <c r="D9" s="748"/>
      <c r="E9" s="748"/>
      <c r="F9" s="748"/>
      <c r="G9" s="748"/>
      <c r="H9" s="748"/>
      <c r="I9" s="748"/>
      <c r="J9" s="748"/>
      <c r="K9" s="748"/>
      <c r="L9" s="748"/>
      <c r="M9" s="748"/>
      <c r="N9" s="748">
        <f>SUM(B9:M9)</f>
        <v>8215675</v>
      </c>
      <c r="O9" s="748"/>
      <c r="P9" s="748"/>
      <c r="Q9" s="442">
        <f>+N9+P9-O9</f>
        <v>8215675</v>
      </c>
    </row>
    <row r="10" spans="1:18" hidden="1">
      <c r="A10" s="751" t="s">
        <v>736</v>
      </c>
      <c r="B10" s="752">
        <f t="shared" ref="B10:Q10" si="0">SUM(B6:B9)</f>
        <v>37143362</v>
      </c>
      <c r="C10" s="752">
        <f t="shared" si="0"/>
        <v>5000</v>
      </c>
      <c r="D10" s="752">
        <f t="shared" si="0"/>
        <v>1105000</v>
      </c>
      <c r="E10" s="752">
        <f t="shared" si="0"/>
        <v>0</v>
      </c>
      <c r="F10" s="752">
        <f t="shared" si="0"/>
        <v>1000</v>
      </c>
      <c r="G10" s="752">
        <f t="shared" si="0"/>
        <v>1000</v>
      </c>
      <c r="H10" s="752">
        <f t="shared" si="0"/>
        <v>5000</v>
      </c>
      <c r="I10" s="752">
        <f t="shared" si="0"/>
        <v>10000</v>
      </c>
      <c r="J10" s="752">
        <f t="shared" si="0"/>
        <v>800</v>
      </c>
      <c r="K10" s="752">
        <f t="shared" si="0"/>
        <v>800</v>
      </c>
      <c r="L10" s="752">
        <f t="shared" si="0"/>
        <v>3661400</v>
      </c>
      <c r="M10" s="752">
        <f t="shared" si="0"/>
        <v>10000</v>
      </c>
      <c r="N10" s="752">
        <f t="shared" si="0"/>
        <v>41943362</v>
      </c>
      <c r="O10" s="752">
        <f t="shared" si="0"/>
        <v>4810000</v>
      </c>
      <c r="P10" s="752">
        <f t="shared" si="0"/>
        <v>10000</v>
      </c>
      <c r="Q10" s="752">
        <f t="shared" si="0"/>
        <v>37143362</v>
      </c>
      <c r="R10" s="749">
        <f>+Q10-'ECP20'!B67</f>
        <v>0</v>
      </c>
    </row>
    <row r="11" spans="1:18" hidden="1">
      <c r="B11" s="753">
        <f>+B10-'Planilla final'!B48</f>
        <v>15514181</v>
      </c>
      <c r="C11" s="753">
        <f>+C10-'Planilla final'!C48</f>
        <v>0</v>
      </c>
      <c r="D11" s="753">
        <f>+D10-'Planilla final'!D48</f>
        <v>0</v>
      </c>
      <c r="E11" s="753">
        <f>+E10-'Planilla final'!E48</f>
        <v>0</v>
      </c>
      <c r="F11" s="753">
        <f>+F10-'Planilla final'!F48</f>
        <v>0</v>
      </c>
      <c r="G11" s="753">
        <f>+G10-'Planilla final'!G48</f>
        <v>0</v>
      </c>
      <c r="H11" s="753">
        <f>+H10-'Planilla final'!H48</f>
        <v>0</v>
      </c>
      <c r="I11" s="753">
        <f>+I10-'Planilla final'!I48</f>
        <v>0</v>
      </c>
      <c r="J11" s="753">
        <f>+J10-'Planilla final'!J48</f>
        <v>0</v>
      </c>
      <c r="K11" s="753">
        <f>+K10-'Planilla final'!K48</f>
        <v>0</v>
      </c>
      <c r="L11" s="753">
        <f>+L10-'Planilla final'!L48</f>
        <v>0</v>
      </c>
      <c r="M11" s="753">
        <f>+M10-'Planilla final'!M48</f>
        <v>0</v>
      </c>
      <c r="N11" s="753">
        <f>+N10-'Planilla final'!N48</f>
        <v>15514181</v>
      </c>
      <c r="O11" s="753">
        <f>+O10-'Planilla final'!O48</f>
        <v>10000</v>
      </c>
      <c r="P11" s="753">
        <f>+P10-'Planilla final'!P48</f>
        <v>10000</v>
      </c>
      <c r="Q11" s="753">
        <f>+Q10-'Planilla final'!Q48</f>
        <v>15514181</v>
      </c>
    </row>
    <row r="12" spans="1:18" hidden="1">
      <c r="A12" s="747" t="s">
        <v>737</v>
      </c>
      <c r="B12" s="754"/>
      <c r="C12" s="754"/>
      <c r="D12" s="754"/>
      <c r="E12" s="754"/>
      <c r="F12" s="754"/>
      <c r="G12" s="754"/>
      <c r="H12" s="754"/>
      <c r="I12" s="754"/>
      <c r="J12" s="754"/>
      <c r="K12" s="754"/>
      <c r="L12" s="754"/>
      <c r="M12" s="754"/>
      <c r="N12" s="754"/>
      <c r="O12" s="754"/>
      <c r="P12" s="754"/>
      <c r="Q12" s="439"/>
    </row>
    <row r="13" spans="1:18" hidden="1">
      <c r="A13" s="564" t="s">
        <v>732</v>
      </c>
      <c r="B13" s="748">
        <v>920</v>
      </c>
      <c r="C13" s="748">
        <v>37142894.460000001</v>
      </c>
      <c r="D13" s="748">
        <v>877313.05</v>
      </c>
      <c r="E13" s="748">
        <v>0</v>
      </c>
      <c r="F13" s="748">
        <v>49015</v>
      </c>
      <c r="G13" s="748">
        <v>330450</v>
      </c>
      <c r="H13" s="748">
        <v>0</v>
      </c>
      <c r="I13" s="748">
        <v>0</v>
      </c>
      <c r="J13" s="748">
        <v>0</v>
      </c>
      <c r="K13" s="748">
        <v>1833417.66</v>
      </c>
      <c r="L13" s="748">
        <v>406799.86</v>
      </c>
      <c r="M13" s="748">
        <v>0</v>
      </c>
      <c r="N13" s="748">
        <f>SUM(B13:M13)</f>
        <v>40640810.029999994</v>
      </c>
      <c r="O13" s="748">
        <f>+'AD ESF'!D140+'AD ESF'!D162</f>
        <v>40639889</v>
      </c>
      <c r="P13" s="748"/>
      <c r="Q13" s="442">
        <f>+N13+P13-O13</f>
        <v>921.02999999374151</v>
      </c>
    </row>
    <row r="14" spans="1:18" ht="30" hidden="1">
      <c r="A14" s="750" t="s">
        <v>738</v>
      </c>
      <c r="B14" s="748">
        <v>6115000</v>
      </c>
      <c r="C14" s="748">
        <v>4797300</v>
      </c>
      <c r="D14" s="748"/>
      <c r="E14" s="748"/>
      <c r="F14" s="748"/>
      <c r="G14" s="748"/>
      <c r="H14" s="748"/>
      <c r="I14" s="748"/>
      <c r="J14" s="748"/>
      <c r="K14" s="748"/>
      <c r="L14" s="748"/>
      <c r="M14" s="748"/>
      <c r="N14" s="748">
        <f>SUM(B14:M14)</f>
        <v>10912300</v>
      </c>
      <c r="O14" s="748">
        <f>+'AD ESF'!D169+'AD ESF'!D196</f>
        <v>4797299</v>
      </c>
      <c r="P14" s="748"/>
      <c r="Q14" s="442">
        <f>+N14+P14-O14</f>
        <v>6115001</v>
      </c>
    </row>
    <row r="15" spans="1:18" hidden="1">
      <c r="A15" s="751" t="s">
        <v>736</v>
      </c>
      <c r="B15" s="752">
        <f>+B13+B14</f>
        <v>6115920</v>
      </c>
      <c r="C15" s="752">
        <f>+C13+C14</f>
        <v>41940194.460000001</v>
      </c>
      <c r="D15" s="752">
        <f>+'Planilla final'!D49</f>
        <v>877313.05</v>
      </c>
      <c r="E15" s="752">
        <f>+'Planilla final'!E49</f>
        <v>0</v>
      </c>
      <c r="F15" s="752">
        <f>+'Planilla final'!F49</f>
        <v>49015</v>
      </c>
      <c r="G15" s="752">
        <f>+'Planilla final'!G49</f>
        <v>330450</v>
      </c>
      <c r="H15" s="752">
        <f>+'Planilla final'!H49</f>
        <v>0</v>
      </c>
      <c r="I15" s="752">
        <f>+'Planilla final'!I49</f>
        <v>0</v>
      </c>
      <c r="J15" s="752">
        <f>+'Planilla final'!J49</f>
        <v>0</v>
      </c>
      <c r="K15" s="752">
        <f>+'Planilla final'!K49</f>
        <v>1833418</v>
      </c>
      <c r="L15" s="752">
        <f>+'Planilla final'!L49</f>
        <v>406800</v>
      </c>
      <c r="M15" s="752">
        <f>+'Planilla final'!M49</f>
        <v>0</v>
      </c>
      <c r="N15" s="752">
        <f>SUM(B15:M15)</f>
        <v>51553110.509999998</v>
      </c>
      <c r="O15" s="752">
        <f>SUM(O13:O14)</f>
        <v>45437188</v>
      </c>
      <c r="P15" s="752">
        <f>SUM(P13:P14)</f>
        <v>0</v>
      </c>
      <c r="Q15" s="752">
        <f>+N15+P15-O15</f>
        <v>6115922.5099999979</v>
      </c>
      <c r="R15" s="749">
        <f>+Q15-'ECP20'!D67</f>
        <v>1.5099999979138374</v>
      </c>
    </row>
    <row r="16" spans="1:18" hidden="1">
      <c r="B16" s="755"/>
      <c r="C16" s="753"/>
      <c r="D16" s="755"/>
      <c r="E16" s="755"/>
      <c r="F16" s="755"/>
      <c r="G16" s="755"/>
      <c r="H16" s="755"/>
      <c r="I16" s="755"/>
      <c r="J16" s="755"/>
      <c r="K16" s="755"/>
      <c r="L16" s="755"/>
      <c r="M16" s="755"/>
      <c r="N16" s="755"/>
      <c r="O16" s="6">
        <f>+'Planilla final'!O49-O15</f>
        <v>0</v>
      </c>
      <c r="P16" s="755">
        <f>+'Planilla final'!P49-P15</f>
        <v>0</v>
      </c>
    </row>
    <row r="17" spans="1:18" hidden="1">
      <c r="A17" s="756" t="s">
        <v>739</v>
      </c>
      <c r="B17" s="754"/>
      <c r="C17" s="754"/>
      <c r="D17" s="754"/>
      <c r="E17" s="754"/>
      <c r="F17" s="754"/>
      <c r="G17" s="754"/>
      <c r="H17" s="754"/>
      <c r="I17" s="754"/>
      <c r="J17" s="754"/>
      <c r="K17" s="754"/>
      <c r="L17" s="754"/>
      <c r="M17" s="754"/>
      <c r="N17" s="754"/>
      <c r="O17" s="754"/>
      <c r="P17" s="754"/>
      <c r="Q17" s="439"/>
    </row>
    <row r="18" spans="1:18" hidden="1">
      <c r="A18" s="443" t="s">
        <v>732</v>
      </c>
      <c r="B18" s="748">
        <v>5222508.5599999996</v>
      </c>
      <c r="C18" s="748">
        <v>0</v>
      </c>
      <c r="D18" s="748">
        <v>0</v>
      </c>
      <c r="E18" s="748">
        <v>74427</v>
      </c>
      <c r="F18" s="748">
        <v>500</v>
      </c>
      <c r="G18" s="748">
        <v>0</v>
      </c>
      <c r="H18" s="748"/>
      <c r="I18" s="748">
        <v>0</v>
      </c>
      <c r="J18" s="748">
        <v>0</v>
      </c>
      <c r="K18" s="748">
        <v>0</v>
      </c>
      <c r="L18" s="748">
        <v>0</v>
      </c>
      <c r="M18" s="748">
        <v>0</v>
      </c>
      <c r="N18" s="748">
        <f>SUM(B18:M18)</f>
        <v>5297435.5599999996</v>
      </c>
      <c r="O18" s="748">
        <f>+'AD ESF'!D138</f>
        <v>74927</v>
      </c>
      <c r="P18" s="748"/>
      <c r="Q18" s="442">
        <f>+N18+P18-O18</f>
        <v>5222508.5599999996</v>
      </c>
    </row>
    <row r="19" spans="1:18" hidden="1">
      <c r="A19" s="443" t="s">
        <v>740</v>
      </c>
      <c r="B19" s="748">
        <v>912853</v>
      </c>
      <c r="C19" s="748"/>
      <c r="D19" s="748"/>
      <c r="E19" s="748"/>
      <c r="F19" s="748"/>
      <c r="G19" s="748"/>
      <c r="H19" s="748"/>
      <c r="I19" s="748"/>
      <c r="J19" s="748"/>
      <c r="K19" s="748"/>
      <c r="L19" s="748"/>
      <c r="M19" s="748"/>
      <c r="N19" s="748">
        <f>SUM(B19:M19)</f>
        <v>912853</v>
      </c>
      <c r="O19" s="748"/>
      <c r="P19" s="748"/>
      <c r="Q19" s="442">
        <f>+N19+P19-O19</f>
        <v>912853</v>
      </c>
    </row>
    <row r="20" spans="1:18" hidden="1">
      <c r="A20" s="403" t="s">
        <v>719</v>
      </c>
      <c r="B20" s="577"/>
      <c r="C20" s="577"/>
      <c r="D20" s="577"/>
      <c r="E20" s="757">
        <v>-74427</v>
      </c>
      <c r="F20" s="577"/>
      <c r="G20" s="577"/>
      <c r="H20" s="757"/>
      <c r="I20" s="577"/>
      <c r="J20" s="577"/>
      <c r="K20" s="577"/>
      <c r="L20" s="577"/>
      <c r="M20" s="577"/>
      <c r="N20" s="748">
        <f>SUM(B20:M20)</f>
        <v>-74427</v>
      </c>
      <c r="O20" s="577"/>
      <c r="P20" s="757">
        <f>+'AD ESF'!E224</f>
        <v>74427</v>
      </c>
      <c r="Q20" s="442">
        <f>+N20+P20-O20</f>
        <v>0</v>
      </c>
    </row>
    <row r="21" spans="1:18" hidden="1">
      <c r="A21" s="758" t="s">
        <v>736</v>
      </c>
      <c r="B21" s="752">
        <f t="shared" ref="B21:Q21" si="1">SUM(B18:B20)</f>
        <v>6135361.5599999996</v>
      </c>
      <c r="C21" s="752">
        <f t="shared" si="1"/>
        <v>0</v>
      </c>
      <c r="D21" s="752">
        <f t="shared" si="1"/>
        <v>0</v>
      </c>
      <c r="E21" s="752">
        <f t="shared" si="1"/>
        <v>0</v>
      </c>
      <c r="F21" s="752">
        <f t="shared" si="1"/>
        <v>500</v>
      </c>
      <c r="G21" s="752">
        <f t="shared" si="1"/>
        <v>0</v>
      </c>
      <c r="H21" s="752">
        <f t="shared" si="1"/>
        <v>0</v>
      </c>
      <c r="I21" s="752">
        <f t="shared" si="1"/>
        <v>0</v>
      </c>
      <c r="J21" s="752">
        <f t="shared" si="1"/>
        <v>0</v>
      </c>
      <c r="K21" s="752">
        <f t="shared" si="1"/>
        <v>0</v>
      </c>
      <c r="L21" s="752">
        <f t="shared" si="1"/>
        <v>0</v>
      </c>
      <c r="M21" s="752">
        <f t="shared" si="1"/>
        <v>0</v>
      </c>
      <c r="N21" s="752">
        <f t="shared" si="1"/>
        <v>6135861.5599999996</v>
      </c>
      <c r="O21" s="752">
        <f t="shared" si="1"/>
        <v>74927</v>
      </c>
      <c r="P21" s="752">
        <f t="shared" si="1"/>
        <v>74427</v>
      </c>
      <c r="Q21" s="752">
        <f t="shared" si="1"/>
        <v>6135361.5599999996</v>
      </c>
      <c r="R21" s="749">
        <f>+Q21-'ECP20'!F67</f>
        <v>0</v>
      </c>
    </row>
    <row r="22" spans="1:18" hidden="1">
      <c r="B22" s="755"/>
      <c r="C22" s="755"/>
      <c r="D22" s="755"/>
      <c r="E22" s="755"/>
      <c r="F22" s="755"/>
      <c r="G22" s="755"/>
      <c r="H22" s="755"/>
      <c r="I22" s="755"/>
      <c r="J22" s="755"/>
      <c r="K22" s="755"/>
      <c r="L22" s="755"/>
      <c r="M22" s="755"/>
      <c r="N22" s="755"/>
      <c r="O22" s="755">
        <f>+O21-'Planilla final'!O50</f>
        <v>-29616</v>
      </c>
      <c r="P22" s="755">
        <f>+P21-'Planilla final'!P50</f>
        <v>74427</v>
      </c>
    </row>
    <row r="23" spans="1:18" hidden="1">
      <c r="A23" s="756" t="s">
        <v>741</v>
      </c>
      <c r="B23" s="754"/>
      <c r="C23" s="754"/>
      <c r="D23" s="754"/>
      <c r="E23" s="754"/>
      <c r="F23" s="754"/>
      <c r="G23" s="754"/>
      <c r="H23" s="754"/>
      <c r="I23" s="754"/>
      <c r="J23" s="754"/>
      <c r="K23" s="754"/>
      <c r="L23" s="754"/>
      <c r="M23" s="754"/>
      <c r="N23" s="754"/>
      <c r="O23" s="754"/>
      <c r="P23" s="754"/>
      <c r="Q23" s="439"/>
    </row>
    <row r="24" spans="1:18" hidden="1">
      <c r="A24" s="443" t="s">
        <v>732</v>
      </c>
      <c r="B24" s="748">
        <v>34797</v>
      </c>
      <c r="C24" s="748">
        <v>0</v>
      </c>
      <c r="D24" s="748">
        <v>0</v>
      </c>
      <c r="E24" s="748">
        <v>0</v>
      </c>
      <c r="F24" s="748">
        <v>0</v>
      </c>
      <c r="G24" s="748">
        <v>0</v>
      </c>
      <c r="H24" s="748">
        <v>0</v>
      </c>
      <c r="I24" s="748">
        <v>0</v>
      </c>
      <c r="J24" s="748">
        <v>0</v>
      </c>
      <c r="K24" s="748">
        <v>0</v>
      </c>
      <c r="L24" s="748">
        <v>0</v>
      </c>
      <c r="M24" s="748">
        <v>0</v>
      </c>
      <c r="N24" s="748">
        <f>SUM(B24:M24)</f>
        <v>34797</v>
      </c>
      <c r="O24" s="748"/>
      <c r="P24" s="748"/>
      <c r="Q24" s="442">
        <f>+N24+P24-O24</f>
        <v>34797</v>
      </c>
    </row>
    <row r="25" spans="1:18" hidden="1">
      <c r="A25" s="443"/>
      <c r="B25" s="748"/>
      <c r="C25" s="748"/>
      <c r="D25" s="748"/>
      <c r="E25" s="748"/>
      <c r="F25" s="748"/>
      <c r="G25" s="748"/>
      <c r="H25" s="748"/>
      <c r="I25" s="748"/>
      <c r="J25" s="748"/>
      <c r="K25" s="748"/>
      <c r="L25" s="748"/>
      <c r="M25" s="748"/>
      <c r="N25" s="748">
        <f>SUM(B25:M25)</f>
        <v>0</v>
      </c>
      <c r="O25" s="748"/>
      <c r="P25" s="748"/>
      <c r="Q25" s="442">
        <f>+N25+P25-O25</f>
        <v>0</v>
      </c>
    </row>
    <row r="26" spans="1:18" hidden="1">
      <c r="A26" s="758" t="s">
        <v>736</v>
      </c>
      <c r="B26" s="752">
        <f>+'Planilla final'!B51</f>
        <v>34797</v>
      </c>
      <c r="C26" s="752">
        <f>+'Planilla final'!C51</f>
        <v>0</v>
      </c>
      <c r="D26" s="752">
        <f>+'Planilla final'!D51</f>
        <v>0</v>
      </c>
      <c r="E26" s="752">
        <f>+'Planilla final'!E51</f>
        <v>0</v>
      </c>
      <c r="F26" s="752">
        <f>+'Planilla final'!F51</f>
        <v>0</v>
      </c>
      <c r="G26" s="752">
        <f>+'Planilla final'!G51</f>
        <v>0</v>
      </c>
      <c r="H26" s="752">
        <f>+'Planilla final'!H51</f>
        <v>0</v>
      </c>
      <c r="I26" s="752">
        <f>+'Planilla final'!I51</f>
        <v>0</v>
      </c>
      <c r="J26" s="752">
        <f>+'Planilla final'!J51</f>
        <v>0</v>
      </c>
      <c r="K26" s="752">
        <f>+'Planilla final'!K51</f>
        <v>0</v>
      </c>
      <c r="L26" s="752">
        <f>+'Planilla final'!L51</f>
        <v>0</v>
      </c>
      <c r="M26" s="752">
        <f>+'Planilla final'!M51</f>
        <v>0</v>
      </c>
      <c r="N26" s="752">
        <f>SUM(B26:M26)</f>
        <v>34797</v>
      </c>
      <c r="O26" s="752">
        <f>SUM(O24:O25)</f>
        <v>0</v>
      </c>
      <c r="P26" s="752">
        <f>SUM(P24:P25)</f>
        <v>0</v>
      </c>
      <c r="Q26" s="752">
        <f>+N26+P26-O26</f>
        <v>34797</v>
      </c>
      <c r="R26" s="749">
        <f>+Q26-'ECP20'!H67</f>
        <v>0</v>
      </c>
    </row>
    <row r="27" spans="1:18" hidden="1">
      <c r="B27" s="755"/>
      <c r="C27" s="755"/>
      <c r="D27" s="755"/>
      <c r="E27" s="755"/>
      <c r="F27" s="755"/>
      <c r="G27" s="755"/>
      <c r="H27" s="755"/>
      <c r="I27" s="755"/>
      <c r="J27" s="755"/>
      <c r="K27" s="755"/>
      <c r="L27" s="755"/>
      <c r="M27" s="755"/>
      <c r="N27" s="755"/>
      <c r="O27" s="755">
        <f>+O26-'Planilla final'!O51</f>
        <v>0</v>
      </c>
      <c r="P27" s="755">
        <f>+P26-'Planilla final'!P51</f>
        <v>0</v>
      </c>
    </row>
    <row r="28" spans="1:18" hidden="1">
      <c r="A28" s="756" t="s">
        <v>742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439"/>
    </row>
    <row r="29" spans="1:18" hidden="1">
      <c r="A29" s="443" t="s">
        <v>732</v>
      </c>
      <c r="B29" s="748">
        <v>227072</v>
      </c>
      <c r="C29" s="748">
        <v>0</v>
      </c>
      <c r="D29" s="748">
        <v>0</v>
      </c>
      <c r="E29" s="748">
        <v>0</v>
      </c>
      <c r="F29" s="748">
        <v>0</v>
      </c>
      <c r="G29" s="748">
        <v>109633</v>
      </c>
      <c r="H29" s="748">
        <v>1226</v>
      </c>
      <c r="I29" s="748">
        <v>0</v>
      </c>
      <c r="J29" s="748">
        <v>340</v>
      </c>
      <c r="K29" s="748">
        <v>0</v>
      </c>
      <c r="L29" s="748">
        <v>0</v>
      </c>
      <c r="M29" s="748">
        <v>0</v>
      </c>
      <c r="N29" s="748">
        <f>SUM(B29:M29)</f>
        <v>338271</v>
      </c>
      <c r="O29" s="748">
        <f>+'AD ESF'!D139</f>
        <v>111199</v>
      </c>
      <c r="P29" s="748"/>
      <c r="Q29" s="442">
        <f>+N29+P29-O29</f>
        <v>227072</v>
      </c>
    </row>
    <row r="30" spans="1:18" hidden="1">
      <c r="A30" s="443" t="s">
        <v>719</v>
      </c>
      <c r="B30" s="748"/>
      <c r="C30" s="748"/>
      <c r="D30" s="748"/>
      <c r="E30" s="748"/>
      <c r="F30" s="748"/>
      <c r="G30" s="748"/>
      <c r="H30" s="759">
        <v>-1226</v>
      </c>
      <c r="I30" s="748"/>
      <c r="J30" s="748"/>
      <c r="K30" s="748"/>
      <c r="L30" s="748"/>
      <c r="M30" s="748"/>
      <c r="N30" s="748">
        <f>SUM(B30:M30)</f>
        <v>-1226</v>
      </c>
      <c r="O30" s="748"/>
      <c r="P30" s="748">
        <f>+'AD ESF'!E225</f>
        <v>1226</v>
      </c>
      <c r="Q30" s="442">
        <f>+N30+P30-O30</f>
        <v>0</v>
      </c>
    </row>
    <row r="31" spans="1:18" hidden="1">
      <c r="A31" s="758" t="s">
        <v>736</v>
      </c>
      <c r="B31" s="752">
        <f>+'Planilla final'!B52</f>
        <v>227072</v>
      </c>
      <c r="C31" s="752">
        <f>+'Planilla final'!C52</f>
        <v>0</v>
      </c>
      <c r="D31" s="752">
        <f>+'Planilla final'!D52</f>
        <v>0</v>
      </c>
      <c r="E31" s="752">
        <f>+'Planilla final'!E52</f>
        <v>0</v>
      </c>
      <c r="F31" s="752">
        <f>+'Planilla final'!F52</f>
        <v>0</v>
      </c>
      <c r="G31" s="752">
        <f>+'Planilla final'!G52</f>
        <v>109633</v>
      </c>
      <c r="H31" s="752">
        <f>+'Planilla final'!H52</f>
        <v>0</v>
      </c>
      <c r="I31" s="752">
        <f>+'Planilla final'!I52</f>
        <v>0</v>
      </c>
      <c r="J31" s="752">
        <f>+J29+J30</f>
        <v>340</v>
      </c>
      <c r="K31" s="752">
        <f>+'Planilla final'!K52</f>
        <v>0</v>
      </c>
      <c r="L31" s="752">
        <f>+'Planilla final'!L52</f>
        <v>0</v>
      </c>
      <c r="M31" s="752">
        <f>+'Planilla final'!M52</f>
        <v>0</v>
      </c>
      <c r="N31" s="752">
        <f>SUM(B31:M31)</f>
        <v>337045</v>
      </c>
      <c r="O31" s="752">
        <f>SUM(O29:O30)</f>
        <v>111199</v>
      </c>
      <c r="P31" s="752">
        <f>SUM(P29:P30)</f>
        <v>1226</v>
      </c>
      <c r="Q31" s="752">
        <f>+N31+P31-O31</f>
        <v>227072</v>
      </c>
      <c r="R31" s="749">
        <f>+Q31-'ECP20'!L67</f>
        <v>0</v>
      </c>
    </row>
    <row r="32" spans="1:18" hidden="1">
      <c r="B32" s="755"/>
      <c r="C32" s="755"/>
      <c r="D32" s="755"/>
      <c r="E32" s="755"/>
      <c r="F32" s="755"/>
      <c r="G32" s="755"/>
      <c r="H32" s="755"/>
      <c r="I32" s="755"/>
      <c r="J32" s="755"/>
      <c r="K32" s="755"/>
      <c r="L32" s="755"/>
      <c r="M32" s="755"/>
      <c r="N32" s="755"/>
      <c r="O32" s="755">
        <f>+O31-'Planilla final'!O52</f>
        <v>1226</v>
      </c>
      <c r="P32" s="755">
        <f>+P31-'Planilla final'!P52</f>
        <v>1226</v>
      </c>
    </row>
    <row r="33" spans="1:18" hidden="1">
      <c r="A33" s="756" t="s">
        <v>743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439"/>
    </row>
    <row r="34" spans="1:18" hidden="1">
      <c r="A34" s="443" t="s">
        <v>732</v>
      </c>
      <c r="B34" s="748">
        <v>1423943</v>
      </c>
      <c r="C34" s="748">
        <v>0</v>
      </c>
      <c r="D34" s="748">
        <v>0</v>
      </c>
      <c r="E34" s="748">
        <v>0</v>
      </c>
      <c r="F34" s="748">
        <v>0</v>
      </c>
      <c r="G34" s="748">
        <v>0</v>
      </c>
      <c r="H34" s="748">
        <v>0</v>
      </c>
      <c r="I34" s="748">
        <v>0</v>
      </c>
      <c r="J34" s="748">
        <v>0</v>
      </c>
      <c r="K34" s="748">
        <v>0</v>
      </c>
      <c r="L34" s="748">
        <v>0</v>
      </c>
      <c r="M34" s="748">
        <v>0</v>
      </c>
      <c r="N34" s="748">
        <f>SUM(B34:M34)</f>
        <v>1423943</v>
      </c>
      <c r="O34" s="748"/>
      <c r="P34" s="748"/>
      <c r="Q34" s="442">
        <f>+N34+P34-O34</f>
        <v>1423943</v>
      </c>
    </row>
    <row r="35" spans="1:18" hidden="1">
      <c r="A35" s="443" t="s">
        <v>744</v>
      </c>
      <c r="B35" s="748">
        <v>-1099700</v>
      </c>
      <c r="C35" s="748"/>
      <c r="D35" s="748"/>
      <c r="E35" s="748"/>
      <c r="F35" s="748"/>
      <c r="G35" s="748"/>
      <c r="H35" s="748"/>
      <c r="I35" s="748"/>
      <c r="J35" s="748"/>
      <c r="K35" s="748"/>
      <c r="L35" s="748"/>
      <c r="M35" s="748"/>
      <c r="N35" s="748">
        <f>SUM(B35:M35)</f>
        <v>-1099700</v>
      </c>
      <c r="O35" s="748"/>
      <c r="P35" s="748"/>
      <c r="Q35" s="442">
        <f>+N35+P35-O35</f>
        <v>-1099700</v>
      </c>
    </row>
    <row r="36" spans="1:18" hidden="1">
      <c r="A36" s="758" t="s">
        <v>736</v>
      </c>
      <c r="B36" s="752">
        <f>+B34+B35</f>
        <v>324243</v>
      </c>
      <c r="C36" s="752">
        <f>+'Planilla final'!C53</f>
        <v>0</v>
      </c>
      <c r="D36" s="752">
        <f>+'Planilla final'!D53</f>
        <v>0</v>
      </c>
      <c r="E36" s="752">
        <f>+'Planilla final'!E53</f>
        <v>0</v>
      </c>
      <c r="F36" s="752">
        <f>+'Planilla final'!F53</f>
        <v>0</v>
      </c>
      <c r="G36" s="752">
        <f>+'Planilla final'!G53</f>
        <v>0</v>
      </c>
      <c r="H36" s="752">
        <f>+'Planilla final'!H53</f>
        <v>0</v>
      </c>
      <c r="I36" s="752">
        <f>+'Planilla final'!I53</f>
        <v>0</v>
      </c>
      <c r="J36" s="752">
        <f>+'Planilla final'!J53</f>
        <v>0</v>
      </c>
      <c r="K36" s="752">
        <f>+'Planilla final'!K53</f>
        <v>0</v>
      </c>
      <c r="L36" s="752">
        <f>+'Planilla final'!L54</f>
        <v>202047</v>
      </c>
      <c r="M36" s="752">
        <f>+'Planilla final'!M53</f>
        <v>0</v>
      </c>
      <c r="N36" s="752">
        <f>SUM(B36:M36)</f>
        <v>526290</v>
      </c>
      <c r="O36" s="752">
        <f>SUM(O34:O35)</f>
        <v>0</v>
      </c>
      <c r="P36" s="752">
        <f>SUM(P34:P35)</f>
        <v>0</v>
      </c>
      <c r="Q36" s="752">
        <f>+N36+P36-O36</f>
        <v>526290</v>
      </c>
      <c r="R36" s="749">
        <f>+Q36-'ECP20'!J67</f>
        <v>202047</v>
      </c>
    </row>
    <row r="37" spans="1:18" hidden="1">
      <c r="B37" s="755"/>
      <c r="C37" s="755"/>
      <c r="D37" s="755"/>
      <c r="E37" s="755"/>
      <c r="F37" s="755"/>
      <c r="G37" s="755"/>
      <c r="H37" s="755"/>
      <c r="I37" s="755"/>
      <c r="J37" s="755"/>
      <c r="K37" s="755"/>
      <c r="L37" s="755"/>
      <c r="M37" s="755"/>
      <c r="N37" s="755"/>
      <c r="O37" s="755">
        <f>+O36-'Planilla final'!O53</f>
        <v>0</v>
      </c>
      <c r="P37" s="755">
        <f>+P36-'Planilla final'!P53</f>
        <v>0</v>
      </c>
    </row>
    <row r="38" spans="1:18" hidden="1">
      <c r="A38" s="756" t="s">
        <v>745</v>
      </c>
      <c r="B38" s="754"/>
      <c r="C38" s="754"/>
      <c r="D38" s="754"/>
      <c r="E38" s="754"/>
      <c r="F38" s="754"/>
      <c r="G38" s="754"/>
      <c r="H38" s="754"/>
      <c r="I38" s="754"/>
      <c r="J38" s="754"/>
      <c r="K38" s="754"/>
      <c r="L38" s="754"/>
      <c r="M38" s="754"/>
      <c r="N38" s="754"/>
      <c r="O38" s="754"/>
      <c r="P38" s="754"/>
      <c r="Q38" s="439"/>
    </row>
    <row r="39" spans="1:18" hidden="1">
      <c r="A39" s="443" t="s">
        <v>732</v>
      </c>
      <c r="B39" s="748">
        <v>0</v>
      </c>
      <c r="C39" s="748">
        <v>0</v>
      </c>
      <c r="D39" s="748">
        <v>0</v>
      </c>
      <c r="E39" s="748">
        <v>0</v>
      </c>
      <c r="F39" s="748">
        <v>0</v>
      </c>
      <c r="G39" s="748">
        <v>0</v>
      </c>
      <c r="H39" s="748">
        <v>0</v>
      </c>
      <c r="I39" s="748">
        <v>0</v>
      </c>
      <c r="J39" s="748">
        <v>1378712</v>
      </c>
      <c r="K39" s="748">
        <v>0</v>
      </c>
      <c r="L39" s="748">
        <v>274690.03999999998</v>
      </c>
      <c r="M39" s="748">
        <v>0</v>
      </c>
      <c r="N39" s="748">
        <f>SUM(B39:M39)</f>
        <v>1653402.04</v>
      </c>
      <c r="O39" s="748">
        <f>+'AD ESF'!D141+'AD ESF'!D152</f>
        <v>1653402</v>
      </c>
      <c r="P39" s="748"/>
      <c r="Q39" s="442">
        <f>+N39+P39-O39</f>
        <v>4.0000000037252903E-2</v>
      </c>
    </row>
    <row r="40" spans="1:18" hidden="1">
      <c r="A40" s="443" t="s">
        <v>746</v>
      </c>
      <c r="B40" s="748"/>
      <c r="C40" s="748"/>
      <c r="D40" s="748"/>
      <c r="E40" s="748"/>
      <c r="F40" s="748"/>
      <c r="G40" s="748"/>
      <c r="H40" s="748"/>
      <c r="I40" s="748"/>
      <c r="J40" s="748"/>
      <c r="K40" s="748"/>
      <c r="L40" s="748">
        <v>-151290</v>
      </c>
      <c r="M40" s="748"/>
      <c r="N40" s="748">
        <f>SUM(B40:M40)</f>
        <v>-151290</v>
      </c>
      <c r="O40" s="748"/>
      <c r="P40" s="748">
        <f>+'AD ESF'!E177</f>
        <v>151290</v>
      </c>
      <c r="Q40" s="442">
        <f>+N40+P40-O40</f>
        <v>0</v>
      </c>
    </row>
    <row r="41" spans="1:18" hidden="1">
      <c r="A41" s="758" t="s">
        <v>736</v>
      </c>
      <c r="B41" s="752">
        <f t="shared" ref="B41:M41" si="2">SUM(B39:B40)</f>
        <v>0</v>
      </c>
      <c r="C41" s="752">
        <f t="shared" si="2"/>
        <v>0</v>
      </c>
      <c r="D41" s="752">
        <f t="shared" si="2"/>
        <v>0</v>
      </c>
      <c r="E41" s="752">
        <f t="shared" si="2"/>
        <v>0</v>
      </c>
      <c r="F41" s="752">
        <f t="shared" si="2"/>
        <v>0</v>
      </c>
      <c r="G41" s="752">
        <f t="shared" si="2"/>
        <v>0</v>
      </c>
      <c r="H41" s="752">
        <f t="shared" si="2"/>
        <v>0</v>
      </c>
      <c r="I41" s="752">
        <f t="shared" si="2"/>
        <v>0</v>
      </c>
      <c r="J41" s="752">
        <f t="shared" si="2"/>
        <v>1378712</v>
      </c>
      <c r="K41" s="752">
        <f t="shared" si="2"/>
        <v>0</v>
      </c>
      <c r="L41" s="752">
        <f t="shared" si="2"/>
        <v>123400.03999999998</v>
      </c>
      <c r="M41" s="752">
        <f t="shared" si="2"/>
        <v>0</v>
      </c>
      <c r="N41" s="752">
        <f>SUM(B41:M41)</f>
        <v>1502112.04</v>
      </c>
      <c r="O41" s="752">
        <f>SUM(O39:O40)</f>
        <v>1653402</v>
      </c>
      <c r="P41" s="752">
        <f>SUM(P39:P40)</f>
        <v>151290</v>
      </c>
      <c r="Q41" s="752">
        <f>SUM(Q39:Q40)</f>
        <v>4.0000000037252903E-2</v>
      </c>
    </row>
    <row r="42" spans="1:18" hidden="1">
      <c r="B42" s="755"/>
      <c r="C42" s="755"/>
      <c r="D42" s="755"/>
      <c r="E42" s="755"/>
      <c r="F42" s="755"/>
      <c r="G42" s="755"/>
      <c r="H42" s="755"/>
      <c r="I42" s="755"/>
      <c r="J42" s="755"/>
      <c r="K42" s="755"/>
      <c r="L42" s="755"/>
      <c r="M42" s="755"/>
      <c r="N42" s="755"/>
      <c r="O42" s="755">
        <f>+O41-'Planilla final'!O54</f>
        <v>72643</v>
      </c>
      <c r="P42" s="755">
        <f>+P41-'Planilla final'!P54</f>
        <v>151290</v>
      </c>
    </row>
    <row r="43" spans="1:18" hidden="1">
      <c r="A43" s="756" t="s">
        <v>747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439"/>
    </row>
    <row r="44" spans="1:18" hidden="1">
      <c r="A44" s="443" t="s">
        <v>732</v>
      </c>
      <c r="B44" s="748">
        <v>-3202431</v>
      </c>
      <c r="C44" s="748">
        <v>0</v>
      </c>
      <c r="D44" s="748">
        <v>0</v>
      </c>
      <c r="E44" s="748">
        <v>0</v>
      </c>
      <c r="F44" s="748">
        <v>82150</v>
      </c>
      <c r="G44" s="748">
        <v>0</v>
      </c>
      <c r="H44" s="748">
        <v>0</v>
      </c>
      <c r="I44" s="748">
        <v>0</v>
      </c>
      <c r="J44" s="748">
        <v>0</v>
      </c>
      <c r="K44" s="748">
        <v>0</v>
      </c>
      <c r="L44" s="748">
        <v>-56932</v>
      </c>
      <c r="M44" s="748">
        <v>0</v>
      </c>
      <c r="N44" s="748">
        <f>SUM(B44:M44)</f>
        <v>-3177213</v>
      </c>
      <c r="O44" s="748"/>
      <c r="P44" s="748">
        <f>+'AD ESF'!E144</f>
        <v>-25218</v>
      </c>
      <c r="Q44" s="442">
        <f>+N44+P44-O44</f>
        <v>-3202431</v>
      </c>
      <c r="R44" s="749">
        <f>+Q44-'ECP20'!N47</f>
        <v>0</v>
      </c>
    </row>
    <row r="45" spans="1:18" hidden="1">
      <c r="A45" s="443"/>
      <c r="B45" s="748"/>
      <c r="C45" s="748"/>
      <c r="D45" s="748"/>
      <c r="E45" s="748"/>
      <c r="F45" s="748"/>
      <c r="G45" s="748"/>
      <c r="H45" s="748"/>
      <c r="I45" s="748"/>
      <c r="J45" s="748"/>
      <c r="K45" s="748"/>
      <c r="L45" s="748"/>
      <c r="M45" s="748"/>
      <c r="N45" s="748">
        <f>SUM(B45:M45)</f>
        <v>0</v>
      </c>
      <c r="O45" s="748"/>
      <c r="P45" s="748"/>
      <c r="Q45" s="442">
        <f>+N45+P45-O45</f>
        <v>0</v>
      </c>
    </row>
    <row r="46" spans="1:18" hidden="1">
      <c r="A46" s="758" t="s">
        <v>736</v>
      </c>
      <c r="B46" s="752">
        <f t="shared" ref="B46:Q46" si="3">SUM(B44:B45)</f>
        <v>-3202431</v>
      </c>
      <c r="C46" s="752">
        <f t="shared" si="3"/>
        <v>0</v>
      </c>
      <c r="D46" s="752">
        <f t="shared" si="3"/>
        <v>0</v>
      </c>
      <c r="E46" s="752">
        <f t="shared" si="3"/>
        <v>0</v>
      </c>
      <c r="F46" s="752">
        <f t="shared" si="3"/>
        <v>82150</v>
      </c>
      <c r="G46" s="752">
        <f t="shared" si="3"/>
        <v>0</v>
      </c>
      <c r="H46" s="752">
        <f t="shared" si="3"/>
        <v>0</v>
      </c>
      <c r="I46" s="752">
        <f t="shared" si="3"/>
        <v>0</v>
      </c>
      <c r="J46" s="752">
        <f t="shared" si="3"/>
        <v>0</v>
      </c>
      <c r="K46" s="752">
        <f t="shared" si="3"/>
        <v>0</v>
      </c>
      <c r="L46" s="752">
        <f t="shared" si="3"/>
        <v>-56932</v>
      </c>
      <c r="M46" s="752">
        <f t="shared" si="3"/>
        <v>0</v>
      </c>
      <c r="N46" s="752">
        <f t="shared" si="3"/>
        <v>-3177213</v>
      </c>
      <c r="O46" s="752">
        <f t="shared" si="3"/>
        <v>0</v>
      </c>
      <c r="P46" s="752">
        <f t="shared" si="3"/>
        <v>-25218</v>
      </c>
      <c r="Q46" s="752">
        <f t="shared" si="3"/>
        <v>-3202431</v>
      </c>
      <c r="R46" s="749">
        <f>+Q46-'ECP20'!N67</f>
        <v>0</v>
      </c>
    </row>
    <row r="47" spans="1:18" ht="15.75" hidden="1" thickBot="1">
      <c r="B47" s="755"/>
      <c r="C47" s="755"/>
      <c r="D47" s="755"/>
      <c r="E47" s="755"/>
      <c r="F47" s="755"/>
      <c r="G47" s="755"/>
      <c r="H47" s="755"/>
      <c r="I47" s="755"/>
      <c r="J47" s="755"/>
      <c r="K47" s="755"/>
      <c r="L47" s="755"/>
      <c r="M47" s="755"/>
      <c r="N47" s="755"/>
      <c r="O47" s="755">
        <f>+O46-'Planilla final'!O55</f>
        <v>-25218</v>
      </c>
      <c r="P47" s="755">
        <f>+P46-'Planilla final'!P55</f>
        <v>-25218</v>
      </c>
    </row>
    <row r="48" spans="1:18">
      <c r="A48" s="864" t="s">
        <v>748</v>
      </c>
      <c r="B48" s="865"/>
      <c r="C48" s="865"/>
      <c r="D48" s="865"/>
      <c r="E48" s="865"/>
      <c r="F48" s="865"/>
      <c r="G48" s="865"/>
      <c r="H48" s="865"/>
      <c r="I48" s="865"/>
      <c r="J48" s="865"/>
      <c r="K48" s="865"/>
      <c r="L48" s="932"/>
      <c r="M48" s="865"/>
      <c r="N48" s="865"/>
      <c r="O48" s="865"/>
      <c r="P48" s="932"/>
      <c r="Q48" s="901"/>
      <c r="R48" s="749"/>
    </row>
    <row r="49" spans="1:19" hidden="1">
      <c r="A49" s="867" t="s">
        <v>732</v>
      </c>
      <c r="B49" s="748">
        <v>42657482</v>
      </c>
      <c r="C49" s="748">
        <v>-4291030</v>
      </c>
      <c r="D49" s="748">
        <v>50053.89</v>
      </c>
      <c r="E49" s="748">
        <v>34764</v>
      </c>
      <c r="F49" s="760">
        <v>-1223180</v>
      </c>
      <c r="G49" s="748">
        <v>-80845</v>
      </c>
      <c r="H49" s="748">
        <v>1762.47</v>
      </c>
      <c r="I49" s="748">
        <v>0</v>
      </c>
      <c r="J49" s="760">
        <v>-201038</v>
      </c>
      <c r="K49" s="748">
        <v>-1012827</v>
      </c>
      <c r="L49" s="933">
        <v>-4780262</v>
      </c>
      <c r="M49" s="748">
        <v>-584524</v>
      </c>
      <c r="N49" s="748">
        <f t="shared" ref="N49:N55" si="4">SUM(B49:M49)</f>
        <v>30570356.359999999</v>
      </c>
      <c r="O49" s="748"/>
      <c r="P49" s="933"/>
      <c r="Q49" s="868">
        <f t="shared" ref="Q49:Q55" si="5">+N49+P49-O49</f>
        <v>30570356.359999999</v>
      </c>
      <c r="R49" s="749">
        <f>+Q49-'ECP20'!P47</f>
        <v>-5984903.7102226019</v>
      </c>
      <c r="S49" s="434"/>
    </row>
    <row r="50" spans="1:19" hidden="1">
      <c r="A50" s="867" t="s">
        <v>749</v>
      </c>
      <c r="B50" s="748">
        <v>-1770198</v>
      </c>
      <c r="C50" s="748"/>
      <c r="D50" s="748"/>
      <c r="E50" s="748"/>
      <c r="F50" s="760"/>
      <c r="G50" s="748"/>
      <c r="H50" s="748"/>
      <c r="I50" s="748"/>
      <c r="J50" s="760"/>
      <c r="K50" s="748"/>
      <c r="L50" s="933"/>
      <c r="M50" s="748"/>
      <c r="N50" s="748">
        <f t="shared" si="4"/>
        <v>-1770198</v>
      </c>
      <c r="O50" s="748"/>
      <c r="P50" s="933"/>
      <c r="Q50" s="868">
        <f t="shared" si="5"/>
        <v>-1770198</v>
      </c>
      <c r="R50" s="749"/>
      <c r="S50" s="434"/>
    </row>
    <row r="51" spans="1:19" ht="30" hidden="1">
      <c r="A51" s="869" t="s">
        <v>735</v>
      </c>
      <c r="B51" s="748">
        <v>-8215675</v>
      </c>
      <c r="C51" s="748"/>
      <c r="D51" s="748"/>
      <c r="E51" s="748"/>
      <c r="F51" s="748"/>
      <c r="G51" s="748"/>
      <c r="H51" s="748"/>
      <c r="I51" s="748"/>
      <c r="J51" s="748"/>
      <c r="K51" s="748"/>
      <c r="L51" s="933"/>
      <c r="M51" s="748"/>
      <c r="N51" s="748">
        <f t="shared" si="4"/>
        <v>-8215675</v>
      </c>
      <c r="O51" s="748"/>
      <c r="P51" s="933"/>
      <c r="Q51" s="868">
        <f t="shared" si="5"/>
        <v>-8215675</v>
      </c>
      <c r="R51" s="749"/>
    </row>
    <row r="52" spans="1:19" hidden="1">
      <c r="A52" s="867" t="s">
        <v>750</v>
      </c>
      <c r="B52" s="748">
        <v>-912853</v>
      </c>
      <c r="C52" s="748"/>
      <c r="D52" s="748"/>
      <c r="E52" s="748"/>
      <c r="F52" s="748"/>
      <c r="G52" s="748"/>
      <c r="H52" s="748"/>
      <c r="I52" s="748"/>
      <c r="J52" s="748"/>
      <c r="K52" s="748"/>
      <c r="L52" s="933"/>
      <c r="M52" s="748"/>
      <c r="N52" s="748">
        <f t="shared" si="4"/>
        <v>-912853</v>
      </c>
      <c r="O52" s="748"/>
      <c r="P52" s="933"/>
      <c r="Q52" s="868">
        <f t="shared" si="5"/>
        <v>-912853</v>
      </c>
    </row>
    <row r="53" spans="1:19" hidden="1">
      <c r="A53" s="867" t="s">
        <v>658</v>
      </c>
      <c r="B53" s="748">
        <v>-5488035</v>
      </c>
      <c r="C53" s="748"/>
      <c r="D53" s="748"/>
      <c r="E53" s="748"/>
      <c r="F53" s="748"/>
      <c r="G53" s="748"/>
      <c r="H53" s="748"/>
      <c r="I53" s="748"/>
      <c r="J53" s="748"/>
      <c r="K53" s="748"/>
      <c r="L53" s="933"/>
      <c r="M53" s="748"/>
      <c r="N53" s="748">
        <f t="shared" si="4"/>
        <v>-5488035</v>
      </c>
      <c r="O53" s="748"/>
      <c r="P53" s="933"/>
      <c r="Q53" s="868">
        <f t="shared" si="5"/>
        <v>-5488035</v>
      </c>
    </row>
    <row r="54" spans="1:19" hidden="1">
      <c r="A54" s="867" t="s">
        <v>719</v>
      </c>
      <c r="B54" s="748"/>
      <c r="C54" s="748">
        <v>37386</v>
      </c>
      <c r="D54" s="748"/>
      <c r="E54" s="748">
        <f>-34764</f>
        <v>-34764</v>
      </c>
      <c r="F54" s="748">
        <v>1173951</v>
      </c>
      <c r="G54" s="748"/>
      <c r="H54" s="748">
        <v>-1762</v>
      </c>
      <c r="I54" s="748"/>
      <c r="J54" s="748"/>
      <c r="K54" s="748">
        <v>-1728</v>
      </c>
      <c r="L54" s="933">
        <v>-78647</v>
      </c>
      <c r="M54" s="748">
        <v>-38152</v>
      </c>
      <c r="N54" s="748">
        <f t="shared" si="4"/>
        <v>1056284</v>
      </c>
      <c r="O54" s="748"/>
      <c r="P54" s="933"/>
      <c r="Q54" s="868">
        <f t="shared" si="5"/>
        <v>1056284</v>
      </c>
    </row>
    <row r="55" spans="1:19" hidden="1">
      <c r="A55" s="867" t="s">
        <v>751</v>
      </c>
      <c r="B55" s="748">
        <v>15216635</v>
      </c>
      <c r="C55" s="748">
        <v>-5325487</v>
      </c>
      <c r="D55" s="748">
        <v>181072</v>
      </c>
      <c r="E55" s="748"/>
      <c r="F55" s="748">
        <v>-44933</v>
      </c>
      <c r="G55" s="748">
        <v>-13474</v>
      </c>
      <c r="H55" s="748"/>
      <c r="I55" s="748"/>
      <c r="J55" s="748">
        <v>-40586</v>
      </c>
      <c r="K55" s="748">
        <v>1063188</v>
      </c>
      <c r="L55" s="933">
        <v>1040435</v>
      </c>
      <c r="M55" s="748">
        <v>-436196</v>
      </c>
      <c r="N55" s="748">
        <f t="shared" si="4"/>
        <v>11640654</v>
      </c>
      <c r="O55" s="748"/>
      <c r="P55" s="933"/>
      <c r="Q55" s="868">
        <f t="shared" si="5"/>
        <v>11640654</v>
      </c>
    </row>
    <row r="56" spans="1:19">
      <c r="A56" s="879" t="s">
        <v>736</v>
      </c>
      <c r="B56" s="754">
        <f t="shared" ref="B56:N56" si="6">SUM(B49:B55)</f>
        <v>41487356</v>
      </c>
      <c r="C56" s="754">
        <f t="shared" si="6"/>
        <v>-9579131</v>
      </c>
      <c r="D56" s="754">
        <f t="shared" si="6"/>
        <v>231125.89</v>
      </c>
      <c r="E56" s="754">
        <f t="shared" si="6"/>
        <v>0</v>
      </c>
      <c r="F56" s="754">
        <f t="shared" si="6"/>
        <v>-94162</v>
      </c>
      <c r="G56" s="754">
        <f t="shared" si="6"/>
        <v>-94319</v>
      </c>
      <c r="H56" s="754">
        <f t="shared" si="6"/>
        <v>0.47000000000002728</v>
      </c>
      <c r="I56" s="754">
        <f t="shared" si="6"/>
        <v>0</v>
      </c>
      <c r="J56" s="754">
        <f t="shared" si="6"/>
        <v>-241624</v>
      </c>
      <c r="K56" s="754">
        <f t="shared" si="6"/>
        <v>48633</v>
      </c>
      <c r="L56" s="934">
        <f>SUM(L49:L55)-673126</f>
        <v>-4491600</v>
      </c>
      <c r="M56" s="754">
        <f t="shared" si="6"/>
        <v>-1058872</v>
      </c>
      <c r="N56" s="754">
        <f t="shared" si="6"/>
        <v>26880533.359999999</v>
      </c>
      <c r="O56" s="754">
        <f>+'AD ESF'!D307</f>
        <v>950362</v>
      </c>
      <c r="P56" s="934">
        <f>+'AD ESF'!E254+'AD ESF'!E263+'AD ESF'!E291</f>
        <v>7517216</v>
      </c>
      <c r="Q56" s="881">
        <f>+N56+P56-O56</f>
        <v>33447387.359999999</v>
      </c>
      <c r="R56" s="749"/>
      <c r="S56" s="955"/>
    </row>
    <row r="57" spans="1:19">
      <c r="A57" s="867" t="s">
        <v>853</v>
      </c>
      <c r="B57" s="748">
        <v>1859768</v>
      </c>
      <c r="C57" s="748"/>
      <c r="D57" s="748"/>
      <c r="E57" s="748"/>
      <c r="F57" s="760"/>
      <c r="G57" s="748"/>
      <c r="H57" s="748"/>
      <c r="I57" s="748"/>
      <c r="J57" s="760"/>
      <c r="K57" s="748"/>
      <c r="L57" s="748"/>
      <c r="M57" s="748"/>
      <c r="N57" s="748">
        <f t="shared" ref="N57:N63" si="7">SUM(B57:M57)</f>
        <v>1859768</v>
      </c>
      <c r="O57" s="748"/>
      <c r="P57" s="748"/>
      <c r="Q57" s="1075">
        <f t="shared" ref="Q57:Q63" si="8">+N57+P57-O57</f>
        <v>1859768</v>
      </c>
      <c r="R57" s="749"/>
      <c r="S57" s="434"/>
    </row>
    <row r="58" spans="1:19">
      <c r="A58" s="867" t="s">
        <v>854</v>
      </c>
      <c r="B58" s="748">
        <v>660505</v>
      </c>
      <c r="C58" s="933"/>
      <c r="E58" s="748"/>
      <c r="F58" s="748"/>
      <c r="G58" s="748"/>
      <c r="H58" s="748"/>
      <c r="I58" s="748"/>
      <c r="J58" s="748"/>
      <c r="K58" s="748"/>
      <c r="M58" s="748"/>
      <c r="N58" s="748">
        <f t="shared" si="7"/>
        <v>660505</v>
      </c>
      <c r="O58" s="748">
        <f>+'AD ESF'!D203</f>
        <v>0</v>
      </c>
      <c r="P58" s="748"/>
      <c r="Q58" s="1075">
        <f t="shared" si="8"/>
        <v>660505</v>
      </c>
    </row>
    <row r="59" spans="1:19" ht="15" customHeight="1">
      <c r="A59" s="869" t="s">
        <v>855</v>
      </c>
      <c r="B59" s="748"/>
      <c r="D59" s="748"/>
      <c r="E59" s="748"/>
      <c r="F59" s="748"/>
      <c r="G59" s="748"/>
      <c r="H59" s="748"/>
      <c r="I59" s="748"/>
      <c r="J59" s="748"/>
      <c r="K59" s="748">
        <v>-373201</v>
      </c>
      <c r="L59" s="748"/>
      <c r="M59" s="748"/>
      <c r="N59" s="748">
        <f t="shared" si="7"/>
        <v>-373201</v>
      </c>
      <c r="O59" s="748"/>
      <c r="P59" s="748"/>
      <c r="Q59" s="1075">
        <f t="shared" si="8"/>
        <v>-373201</v>
      </c>
      <c r="R59" s="749"/>
    </row>
    <row r="60" spans="1:19" ht="15" customHeight="1">
      <c r="A60" s="869" t="s">
        <v>719</v>
      </c>
      <c r="B60" s="748"/>
      <c r="C60" s="748">
        <v>953966</v>
      </c>
      <c r="D60" s="748">
        <v>-116791</v>
      </c>
      <c r="E60" s="748"/>
      <c r="F60" s="748"/>
      <c r="G60" s="748"/>
      <c r="H60" s="748"/>
      <c r="I60" s="748"/>
      <c r="J60" s="748"/>
      <c r="K60" s="748"/>
      <c r="L60" s="748">
        <f>-50758</f>
        <v>-50758</v>
      </c>
      <c r="M60" s="748"/>
      <c r="N60" s="748">
        <f t="shared" si="7"/>
        <v>786417</v>
      </c>
      <c r="O60" s="748"/>
      <c r="P60" s="748"/>
      <c r="Q60" s="1075">
        <f t="shared" si="8"/>
        <v>786417</v>
      </c>
      <c r="R60" s="749"/>
    </row>
    <row r="61" spans="1:19">
      <c r="A61" s="867" t="s">
        <v>750</v>
      </c>
      <c r="B61" s="748"/>
      <c r="C61" s="748"/>
      <c r="D61" s="748"/>
      <c r="E61" s="748"/>
      <c r="F61" s="748"/>
      <c r="G61" s="748"/>
      <c r="H61" s="748"/>
      <c r="I61" s="748"/>
      <c r="J61" s="748"/>
      <c r="K61" s="748"/>
      <c r="L61" s="933">
        <v>-104043</v>
      </c>
      <c r="M61" s="748"/>
      <c r="N61" s="748">
        <f t="shared" si="7"/>
        <v>-104043</v>
      </c>
      <c r="O61" s="748"/>
      <c r="P61" s="748">
        <f>+'AD ESF'!E285</f>
        <v>104043</v>
      </c>
      <c r="Q61" s="1075">
        <f t="shared" si="8"/>
        <v>0</v>
      </c>
    </row>
    <row r="62" spans="1:19">
      <c r="A62" s="867" t="s">
        <v>833</v>
      </c>
      <c r="B62" s="748"/>
      <c r="C62" s="748"/>
      <c r="D62" s="748">
        <v>2534340</v>
      </c>
      <c r="E62" s="748"/>
      <c r="F62" s="748"/>
      <c r="G62" s="748"/>
      <c r="H62" s="748"/>
      <c r="I62" s="748"/>
      <c r="J62" s="748"/>
      <c r="K62" s="748"/>
      <c r="L62" s="748"/>
      <c r="M62" s="748"/>
      <c r="N62" s="748">
        <f t="shared" si="7"/>
        <v>2534340</v>
      </c>
      <c r="O62" s="748">
        <f>+'AD ESF'!D275</f>
        <v>2534340</v>
      </c>
      <c r="P62" s="748"/>
      <c r="Q62" s="1075">
        <f t="shared" si="8"/>
        <v>0</v>
      </c>
    </row>
    <row r="63" spans="1:19">
      <c r="A63" s="867" t="s">
        <v>751</v>
      </c>
      <c r="B63" s="748">
        <f>+'Planilla final'!B76</f>
        <v>19151165</v>
      </c>
      <c r="C63" s="748">
        <f>+'Planilla final'!C76</f>
        <v>-3188003</v>
      </c>
      <c r="D63" s="748">
        <f>+'Planilla final'!D76</f>
        <v>399181.97999999992</v>
      </c>
      <c r="E63" s="748">
        <f>+'Planilla final'!E76</f>
        <v>0</v>
      </c>
      <c r="F63" s="748">
        <f>+'Planilla final'!F76</f>
        <v>0</v>
      </c>
      <c r="G63" s="748">
        <f>+'Planilla final'!G76</f>
        <v>331439.17</v>
      </c>
      <c r="H63" s="748">
        <f>+'Planilla final'!H76</f>
        <v>0</v>
      </c>
      <c r="I63" s="748">
        <f>+'Planilla final'!I76</f>
        <v>0</v>
      </c>
      <c r="J63" s="748">
        <f>+'Planilla final'!J76</f>
        <v>-40586.1</v>
      </c>
      <c r="K63" s="748">
        <f>+'Planilla final'!K76</f>
        <v>150815</v>
      </c>
      <c r="L63" s="748">
        <f>+'Planilla final'!L76</f>
        <v>155307</v>
      </c>
      <c r="M63" s="748">
        <f>+'Planilla final'!M76</f>
        <v>-93297</v>
      </c>
      <c r="N63" s="748">
        <f t="shared" si="7"/>
        <v>16866022.050000001</v>
      </c>
      <c r="O63" s="748">
        <f>+'Planilla final'!O76</f>
        <v>902562</v>
      </c>
      <c r="P63" s="748">
        <f>+'Planilla final'!P76+'AD ESF'!E270</f>
        <v>2069001</v>
      </c>
      <c r="Q63" s="1076">
        <f t="shared" si="8"/>
        <v>18032461.050000001</v>
      </c>
      <c r="R63" s="1021"/>
    </row>
    <row r="64" spans="1:19" ht="15.75" thickBot="1">
      <c r="A64" s="870" t="s">
        <v>830</v>
      </c>
      <c r="B64" s="871">
        <f t="shared" ref="B64:Q64" si="9">SUM(B56:B63)</f>
        <v>63158794</v>
      </c>
      <c r="C64" s="871">
        <f t="shared" si="9"/>
        <v>-11813168</v>
      </c>
      <c r="D64" s="871">
        <f t="shared" si="9"/>
        <v>3047856.87</v>
      </c>
      <c r="E64" s="871">
        <f t="shared" si="9"/>
        <v>0</v>
      </c>
      <c r="F64" s="871">
        <f t="shared" si="9"/>
        <v>-94162</v>
      </c>
      <c r="G64" s="871">
        <f t="shared" si="9"/>
        <v>237120.16999999998</v>
      </c>
      <c r="H64" s="871">
        <f t="shared" si="9"/>
        <v>0.47000000000002728</v>
      </c>
      <c r="I64" s="871">
        <f t="shared" si="9"/>
        <v>0</v>
      </c>
      <c r="J64" s="871">
        <f t="shared" si="9"/>
        <v>-282210.09999999998</v>
      </c>
      <c r="K64" s="871">
        <f t="shared" si="9"/>
        <v>-173753</v>
      </c>
      <c r="L64" s="871">
        <f t="shared" si="9"/>
        <v>-4491094</v>
      </c>
      <c r="M64" s="871">
        <f t="shared" si="9"/>
        <v>-1152169</v>
      </c>
      <c r="N64" s="871">
        <f t="shared" si="9"/>
        <v>49110341.409999996</v>
      </c>
      <c r="O64" s="871">
        <f t="shared" si="9"/>
        <v>4387264</v>
      </c>
      <c r="P64" s="871">
        <f t="shared" si="9"/>
        <v>9690260</v>
      </c>
      <c r="Q64" s="872">
        <f t="shared" si="9"/>
        <v>54413337.409999996</v>
      </c>
      <c r="R64" s="1021">
        <f>+Q64-'ECP20'!P84</f>
        <v>-2308.6025545746088</v>
      </c>
      <c r="S64" s="1028"/>
    </row>
    <row r="65" spans="1:1024" ht="15.75" thickBot="1">
      <c r="B65" s="761">
        <f>+'Planilla final'!B56+'Planilla final'!B57-B64</f>
        <v>0</v>
      </c>
      <c r="C65" s="761">
        <f>+'Planilla final'!C56+'Planilla final'!C57-C64</f>
        <v>0</v>
      </c>
      <c r="D65" s="761">
        <f>+'Planilla final'!D56+'Planilla final'!D57-D64</f>
        <v>-9.0000000316649675E-2</v>
      </c>
      <c r="E65" s="761">
        <f>+'Planilla final'!E56+'Planilla final'!E57-E64</f>
        <v>0</v>
      </c>
      <c r="F65" s="761">
        <f>+'Planilla final'!F56+'Planilla final'!F57-F64</f>
        <v>-0.88999999989755452</v>
      </c>
      <c r="G65" s="761">
        <f>+'Planilla final'!G56+'Planilla final'!G57-G64</f>
        <v>-0.16999999998370185</v>
      </c>
      <c r="H65" s="761">
        <f>+'Planilla final'!H56+'Planilla final'!H57-H64</f>
        <v>-0.47000000000002728</v>
      </c>
      <c r="I65" s="761">
        <f>+'Planilla final'!I56+'Planilla final'!I57-I64</f>
        <v>0</v>
      </c>
      <c r="J65" s="761">
        <f>+'Planilla final'!J56+'Planilla final'!J57-J64</f>
        <v>-0.27000000001862645</v>
      </c>
      <c r="K65" s="761">
        <f>+'Planilla final'!K56+'Planilla final'!K57-K64</f>
        <v>-1</v>
      </c>
      <c r="L65" s="761">
        <f>+'Planilla final'!L56+'Planilla final'!L57-L64</f>
        <v>673127</v>
      </c>
      <c r="M65" s="761">
        <f>+'Planilla final'!M56+'Planilla final'!M57-M64</f>
        <v>-2</v>
      </c>
      <c r="N65" s="761">
        <f>+'Planilla final'!N56+'Planilla final'!N57-N64</f>
        <v>-3.8900000005960464</v>
      </c>
      <c r="O65" s="761">
        <f>+'Planilla final'!O56-O64</f>
        <v>-902562</v>
      </c>
      <c r="P65" s="761">
        <f>+'Planilla final'!P56-P64</f>
        <v>-2069001</v>
      </c>
      <c r="Q65" s="1077">
        <f>+'Planilla final'!Q56+'Planilla final'!Q57-Q64</f>
        <v>-3.8900000005960464</v>
      </c>
      <c r="S65" s="434"/>
    </row>
    <row r="66" spans="1:1024">
      <c r="A66" s="864" t="s">
        <v>752</v>
      </c>
      <c r="B66" s="873"/>
      <c r="C66" s="873"/>
      <c r="D66" s="873"/>
      <c r="E66" s="873"/>
      <c r="F66" s="873"/>
      <c r="G66" s="873"/>
      <c r="H66" s="873"/>
      <c r="I66" s="873"/>
      <c r="J66" s="873"/>
      <c r="K66" s="873"/>
      <c r="L66" s="873"/>
      <c r="M66" s="873"/>
      <c r="N66" s="873"/>
      <c r="O66" s="865"/>
      <c r="P66" s="865"/>
      <c r="Q66" s="866"/>
      <c r="R66" s="749"/>
    </row>
    <row r="67" spans="1:1024" hidden="1">
      <c r="A67" s="867" t="s">
        <v>732</v>
      </c>
      <c r="B67" s="443"/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3"/>
      <c r="N67" s="443">
        <f>SUM(B67:M67)</f>
        <v>0</v>
      </c>
      <c r="O67" s="449"/>
      <c r="P67" s="748"/>
      <c r="Q67" s="868">
        <f t="shared" ref="Q67:Q74" si="10">+N67+P67-O67</f>
        <v>0</v>
      </c>
      <c r="R67" s="749"/>
    </row>
    <row r="68" spans="1:1024" hidden="1">
      <c r="A68" s="867" t="s">
        <v>753</v>
      </c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755"/>
      <c r="P68" s="748"/>
      <c r="Q68" s="868">
        <f t="shared" si="10"/>
        <v>0</v>
      </c>
      <c r="R68" s="749"/>
    </row>
    <row r="69" spans="1:1024" ht="30" hidden="1">
      <c r="A69" s="869" t="s">
        <v>754</v>
      </c>
      <c r="B69" s="443"/>
      <c r="C69" s="443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/>
      <c r="O69" s="748"/>
      <c r="P69" s="748"/>
      <c r="Q69" s="868">
        <f t="shared" si="10"/>
        <v>0</v>
      </c>
    </row>
    <row r="70" spans="1:1024" hidden="1">
      <c r="A70" s="867" t="s">
        <v>723</v>
      </c>
      <c r="B70" s="443"/>
      <c r="C70" s="443"/>
      <c r="D70" s="443"/>
      <c r="E70" s="443"/>
      <c r="F70" s="443"/>
      <c r="G70" s="443"/>
      <c r="H70" s="443"/>
      <c r="I70" s="443"/>
      <c r="J70" s="443"/>
      <c r="K70" s="443"/>
      <c r="L70" s="443"/>
      <c r="M70" s="443"/>
      <c r="N70" s="443">
        <f>SUM(B70:M70)</f>
        <v>0</v>
      </c>
      <c r="O70" s="748"/>
      <c r="P70" s="748"/>
      <c r="Q70" s="868">
        <f t="shared" si="10"/>
        <v>0</v>
      </c>
    </row>
    <row r="71" spans="1:1024">
      <c r="A71" s="879" t="s">
        <v>736</v>
      </c>
      <c r="B71" s="880"/>
      <c r="C71" s="880"/>
      <c r="D71" s="880"/>
      <c r="E71" s="880">
        <f t="shared" ref="E71:N71" si="11">SUM(E67:E70)</f>
        <v>0</v>
      </c>
      <c r="F71" s="880">
        <f t="shared" si="11"/>
        <v>0</v>
      </c>
      <c r="G71" s="880">
        <f t="shared" si="11"/>
        <v>0</v>
      </c>
      <c r="H71" s="880">
        <f t="shared" si="11"/>
        <v>0</v>
      </c>
      <c r="I71" s="880">
        <f t="shared" si="11"/>
        <v>0</v>
      </c>
      <c r="J71" s="880">
        <f t="shared" si="11"/>
        <v>0</v>
      </c>
      <c r="K71" s="880">
        <f t="shared" si="11"/>
        <v>0</v>
      </c>
      <c r="L71" s="880">
        <f t="shared" si="11"/>
        <v>0</v>
      </c>
      <c r="M71" s="880">
        <f t="shared" si="11"/>
        <v>0</v>
      </c>
      <c r="N71" s="880">
        <f t="shared" si="11"/>
        <v>0</v>
      </c>
      <c r="O71" s="754">
        <f>+'AD ESF'!D264</f>
        <v>0</v>
      </c>
      <c r="P71" s="754">
        <f>+'AD ESF'!E264</f>
        <v>7602059</v>
      </c>
      <c r="Q71" s="881">
        <f t="shared" si="10"/>
        <v>7602059</v>
      </c>
    </row>
    <row r="72" spans="1:1024">
      <c r="A72" s="867"/>
      <c r="B72" s="443"/>
      <c r="C72" s="443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755">
        <f>+'AD ESF'!D192</f>
        <v>0</v>
      </c>
      <c r="P72" s="748"/>
      <c r="Q72" s="868">
        <f t="shared" si="10"/>
        <v>0</v>
      </c>
      <c r="R72" s="749"/>
    </row>
    <row r="73" spans="1:1024" ht="30">
      <c r="A73" s="869" t="s">
        <v>754</v>
      </c>
      <c r="B73" s="443"/>
      <c r="C73" s="443"/>
      <c r="D73" s="443"/>
      <c r="E73" s="443"/>
      <c r="F73" s="443"/>
      <c r="G73" s="443"/>
      <c r="H73" s="443"/>
      <c r="I73" s="443"/>
      <c r="J73" s="443"/>
      <c r="K73" s="443"/>
      <c r="L73" s="443"/>
      <c r="M73" s="443"/>
      <c r="N73" s="443"/>
      <c r="O73" s="748">
        <f>+'AD ESF'!D269</f>
        <v>698311</v>
      </c>
      <c r="P73" s="748"/>
      <c r="Q73" s="868">
        <f t="shared" si="10"/>
        <v>-698311</v>
      </c>
      <c r="R73" s="749"/>
    </row>
    <row r="74" spans="1:1024">
      <c r="A74" s="867"/>
      <c r="B74" s="443"/>
      <c r="C74" s="443"/>
      <c r="D74" s="443"/>
      <c r="E74" s="443"/>
      <c r="F74" s="443"/>
      <c r="G74" s="443"/>
      <c r="H74" s="443"/>
      <c r="I74" s="443"/>
      <c r="J74" s="443"/>
      <c r="K74" s="443"/>
      <c r="L74" s="443"/>
      <c r="M74" s="443"/>
      <c r="N74" s="443">
        <f>SUM(B74:M74)</f>
        <v>0</v>
      </c>
      <c r="O74" s="748"/>
      <c r="P74" s="748"/>
      <c r="Q74" s="868">
        <f t="shared" si="10"/>
        <v>0</v>
      </c>
    </row>
    <row r="75" spans="1:1024" ht="15.75" thickBot="1">
      <c r="A75" s="870" t="s">
        <v>830</v>
      </c>
      <c r="B75" s="874"/>
      <c r="C75" s="874"/>
      <c r="D75" s="874"/>
      <c r="E75" s="874">
        <f t="shared" ref="E75:N75" si="12">SUM(E71:E74)</f>
        <v>0</v>
      </c>
      <c r="F75" s="874">
        <f t="shared" si="12"/>
        <v>0</v>
      </c>
      <c r="G75" s="874">
        <f t="shared" si="12"/>
        <v>0</v>
      </c>
      <c r="H75" s="874">
        <f t="shared" si="12"/>
        <v>0</v>
      </c>
      <c r="I75" s="874">
        <f t="shared" si="12"/>
        <v>0</v>
      </c>
      <c r="J75" s="874">
        <f t="shared" si="12"/>
        <v>0</v>
      </c>
      <c r="K75" s="874">
        <f t="shared" si="12"/>
        <v>0</v>
      </c>
      <c r="L75" s="874">
        <f t="shared" si="12"/>
        <v>0</v>
      </c>
      <c r="M75" s="874">
        <f t="shared" si="12"/>
        <v>0</v>
      </c>
      <c r="N75" s="874">
        <f t="shared" si="12"/>
        <v>0</v>
      </c>
      <c r="O75" s="871">
        <f>SUM(O71:O74)</f>
        <v>698311</v>
      </c>
      <c r="P75" s="871">
        <f>SUM(P71:P74)</f>
        <v>7602059</v>
      </c>
      <c r="Q75" s="872">
        <f>SUM(Q71:Q74)</f>
        <v>6903748</v>
      </c>
    </row>
    <row r="76" spans="1:1024" ht="15.75" thickBot="1">
      <c r="A76" s="449"/>
      <c r="B76" s="449"/>
      <c r="C76" s="449"/>
      <c r="D76" s="449"/>
      <c r="E76" s="449"/>
      <c r="F76" s="449"/>
      <c r="G76" s="449"/>
      <c r="H76" s="449"/>
      <c r="I76" s="449"/>
      <c r="J76" s="449"/>
      <c r="K76" s="449"/>
      <c r="L76" s="449"/>
      <c r="M76" s="449"/>
      <c r="N76" s="449"/>
      <c r="O76" s="755"/>
      <c r="P76" s="755">
        <f>+P71-'Planilla final'!P58</f>
        <v>0</v>
      </c>
      <c r="Q76" s="447">
        <f>+Q75-'ECP20'!R84</f>
        <v>-0.12611738033592701</v>
      </c>
    </row>
    <row r="77" spans="1:1024">
      <c r="A77" s="875" t="s">
        <v>755</v>
      </c>
      <c r="B77" s="865"/>
      <c r="C77" s="865"/>
      <c r="D77" s="865"/>
      <c r="E77" s="865"/>
      <c r="F77" s="865"/>
      <c r="G77" s="865"/>
      <c r="H77" s="865"/>
      <c r="I77" s="865"/>
      <c r="J77" s="865"/>
      <c r="K77" s="865"/>
      <c r="L77" s="865"/>
      <c r="M77" s="865"/>
      <c r="N77" s="865"/>
      <c r="O77" s="865"/>
      <c r="P77" s="865"/>
      <c r="Q77" s="866"/>
    </row>
    <row r="78" spans="1:1024" hidden="1">
      <c r="A78" s="876" t="s">
        <v>732</v>
      </c>
      <c r="B78" s="748">
        <f t="shared" ref="B78:M78" si="13">+B6+B13+B18+B24+B29+B34+B44+B49+B39+B67</f>
        <v>81406978.560000002</v>
      </c>
      <c r="C78" s="748">
        <f t="shared" si="13"/>
        <v>32856864.460000001</v>
      </c>
      <c r="D78" s="748">
        <f t="shared" si="13"/>
        <v>2032366.94</v>
      </c>
      <c r="E78" s="748">
        <f t="shared" si="13"/>
        <v>119191</v>
      </c>
      <c r="F78" s="748">
        <f t="shared" si="13"/>
        <v>-1090515</v>
      </c>
      <c r="G78" s="748">
        <f t="shared" si="13"/>
        <v>360238</v>
      </c>
      <c r="H78" s="748">
        <f t="shared" si="13"/>
        <v>7988.47</v>
      </c>
      <c r="I78" s="748">
        <f t="shared" si="13"/>
        <v>10000</v>
      </c>
      <c r="J78" s="748">
        <f t="shared" si="13"/>
        <v>1178814</v>
      </c>
      <c r="K78" s="748">
        <f t="shared" si="13"/>
        <v>821390.65999999992</v>
      </c>
      <c r="L78" s="748">
        <f t="shared" si="13"/>
        <v>-494304.10000000015</v>
      </c>
      <c r="M78" s="748">
        <f t="shared" si="13"/>
        <v>-574524</v>
      </c>
      <c r="N78" s="748">
        <f>SUM(B78:M78)</f>
        <v>116634488.99000001</v>
      </c>
      <c r="O78" s="748"/>
      <c r="P78" s="748"/>
      <c r="Q78" s="877">
        <f>+P78+N78-O78</f>
        <v>116634488.99000001</v>
      </c>
      <c r="R78" s="749">
        <f>+Q78-'ECP20'!T47</f>
        <v>33656338.940000013</v>
      </c>
    </row>
    <row r="79" spans="1:1024" hidden="1">
      <c r="A79" s="867" t="s">
        <v>749</v>
      </c>
      <c r="B79" s="748">
        <v>-1770198</v>
      </c>
      <c r="C79" s="748"/>
      <c r="D79" s="748"/>
      <c r="E79" s="748"/>
      <c r="F79" s="760"/>
      <c r="G79" s="748"/>
      <c r="H79" s="748"/>
      <c r="I79" s="748"/>
      <c r="J79" s="760"/>
      <c r="K79" s="748"/>
      <c r="L79" s="748"/>
      <c r="M79" s="748"/>
      <c r="N79" s="748">
        <f>SUM(B79:M79)</f>
        <v>-1770198</v>
      </c>
      <c r="O79" s="748"/>
      <c r="P79" s="748"/>
      <c r="Q79" s="868">
        <f>+N79+P79-O79</f>
        <v>-1770198</v>
      </c>
      <c r="R79" s="749"/>
      <c r="S79" s="434"/>
    </row>
    <row r="80" spans="1:1024" s="888" customFormat="1" hidden="1">
      <c r="A80" s="884" t="s">
        <v>756</v>
      </c>
      <c r="B80" s="882"/>
      <c r="C80" s="882">
        <f t="shared" ref="C80:M80" si="14">+C14</f>
        <v>4797300</v>
      </c>
      <c r="D80" s="882">
        <f t="shared" si="14"/>
        <v>0</v>
      </c>
      <c r="E80" s="882">
        <f t="shared" si="14"/>
        <v>0</v>
      </c>
      <c r="F80" s="882">
        <f t="shared" si="14"/>
        <v>0</v>
      </c>
      <c r="G80" s="882">
        <f t="shared" si="14"/>
        <v>0</v>
      </c>
      <c r="H80" s="882">
        <f t="shared" si="14"/>
        <v>0</v>
      </c>
      <c r="I80" s="882">
        <f t="shared" si="14"/>
        <v>0</v>
      </c>
      <c r="J80" s="882">
        <f t="shared" si="14"/>
        <v>0</v>
      </c>
      <c r="K80" s="882">
        <f t="shared" si="14"/>
        <v>0</v>
      </c>
      <c r="L80" s="882">
        <f t="shared" si="14"/>
        <v>0</v>
      </c>
      <c r="M80" s="882">
        <f t="shared" si="14"/>
        <v>0</v>
      </c>
      <c r="N80" s="882">
        <f>SUM(B80:M80)</f>
        <v>4797300</v>
      </c>
      <c r="O80" s="882"/>
      <c r="P80" s="882"/>
      <c r="Q80" s="885">
        <f>+P80+N80-O80</f>
        <v>4797300</v>
      </c>
      <c r="R80" s="886"/>
      <c r="S80" s="887"/>
      <c r="T80" s="887"/>
      <c r="U80" s="887"/>
      <c r="V80" s="887"/>
      <c r="W80" s="887"/>
      <c r="X80" s="887"/>
      <c r="Y80" s="887"/>
      <c r="Z80" s="887"/>
      <c r="AA80" s="887"/>
      <c r="AB80" s="887"/>
      <c r="AC80" s="887"/>
      <c r="AD80" s="887"/>
      <c r="AE80" s="887"/>
      <c r="AF80" s="887"/>
      <c r="AG80" s="887"/>
      <c r="AH80" s="887"/>
      <c r="AI80" s="887"/>
      <c r="AJ80" s="887"/>
      <c r="AK80" s="887"/>
      <c r="AL80" s="887"/>
      <c r="AM80" s="887"/>
      <c r="AN80" s="887"/>
      <c r="AO80" s="887"/>
      <c r="AP80" s="887"/>
      <c r="AQ80" s="887"/>
      <c r="AR80" s="887"/>
      <c r="AS80" s="887"/>
      <c r="AT80" s="887"/>
      <c r="AU80" s="887"/>
      <c r="AV80" s="887"/>
      <c r="AW80" s="887"/>
      <c r="AX80" s="887"/>
      <c r="AY80" s="887"/>
      <c r="AZ80" s="887"/>
      <c r="BA80" s="887"/>
      <c r="BB80" s="887"/>
      <c r="BC80" s="887"/>
      <c r="BD80" s="887"/>
      <c r="BE80" s="887"/>
      <c r="BF80" s="887"/>
      <c r="BG80" s="887"/>
      <c r="BH80" s="887"/>
      <c r="BI80" s="887"/>
      <c r="BJ80" s="887"/>
      <c r="BK80" s="887"/>
      <c r="BL80" s="887"/>
      <c r="BM80" s="887"/>
      <c r="BN80" s="887"/>
      <c r="BO80" s="887"/>
      <c r="BP80" s="887"/>
      <c r="BQ80" s="887"/>
      <c r="BR80" s="887"/>
      <c r="BS80" s="887"/>
      <c r="BT80" s="887"/>
      <c r="BU80" s="887"/>
      <c r="BV80" s="887"/>
      <c r="BW80" s="887"/>
      <c r="BX80" s="887"/>
      <c r="BY80" s="887"/>
      <c r="BZ80" s="887"/>
      <c r="CA80" s="887"/>
      <c r="CB80" s="887"/>
      <c r="CC80" s="887"/>
      <c r="CD80" s="887"/>
      <c r="CE80" s="887"/>
      <c r="CF80" s="887"/>
      <c r="CG80" s="887"/>
      <c r="CH80" s="887"/>
      <c r="CI80" s="887"/>
      <c r="CJ80" s="887"/>
      <c r="CK80" s="887"/>
      <c r="CL80" s="887"/>
      <c r="CM80" s="887"/>
      <c r="CN80" s="887"/>
      <c r="CO80" s="887"/>
      <c r="CP80" s="887"/>
      <c r="CQ80" s="887"/>
      <c r="CR80" s="887"/>
      <c r="CS80" s="887"/>
      <c r="CT80" s="887"/>
      <c r="CU80" s="887"/>
      <c r="CV80" s="887"/>
      <c r="CW80" s="887"/>
      <c r="CX80" s="887"/>
      <c r="CY80" s="887"/>
      <c r="CZ80" s="887"/>
      <c r="DA80" s="887"/>
      <c r="DB80" s="887"/>
      <c r="DC80" s="887"/>
      <c r="DD80" s="887"/>
      <c r="DE80" s="887"/>
      <c r="DF80" s="887"/>
      <c r="DG80" s="887"/>
      <c r="DH80" s="887"/>
      <c r="DI80" s="887"/>
      <c r="DJ80" s="887"/>
      <c r="DK80" s="887"/>
      <c r="DL80" s="887"/>
      <c r="DM80" s="887"/>
      <c r="DN80" s="887"/>
      <c r="DO80" s="887"/>
      <c r="DP80" s="887"/>
      <c r="DQ80" s="887"/>
      <c r="DR80" s="887"/>
      <c r="DS80" s="887"/>
      <c r="DT80" s="887"/>
      <c r="DU80" s="887"/>
      <c r="DV80" s="887"/>
      <c r="DW80" s="887"/>
      <c r="DX80" s="887"/>
      <c r="DY80" s="887"/>
      <c r="DZ80" s="887"/>
      <c r="EA80" s="887"/>
      <c r="EB80" s="887"/>
      <c r="EC80" s="887"/>
      <c r="ED80" s="887"/>
      <c r="EE80" s="887"/>
      <c r="EF80" s="887"/>
      <c r="EG80" s="887"/>
      <c r="EH80" s="887"/>
      <c r="EI80" s="887"/>
      <c r="EJ80" s="887"/>
      <c r="EK80" s="887"/>
      <c r="EL80" s="887"/>
      <c r="EM80" s="887"/>
      <c r="EN80" s="887"/>
      <c r="EO80" s="887"/>
      <c r="EP80" s="887"/>
      <c r="EQ80" s="887"/>
      <c r="ER80" s="887"/>
      <c r="ES80" s="887"/>
      <c r="ET80" s="887"/>
      <c r="EU80" s="887"/>
      <c r="EV80" s="887"/>
      <c r="EW80" s="887"/>
      <c r="EX80" s="887"/>
      <c r="EY80" s="887"/>
      <c r="EZ80" s="887"/>
      <c r="FA80" s="887"/>
      <c r="FB80" s="887"/>
      <c r="FC80" s="887"/>
      <c r="FD80" s="887"/>
      <c r="FE80" s="887"/>
      <c r="FF80" s="887"/>
      <c r="FG80" s="887"/>
      <c r="FH80" s="887"/>
      <c r="FI80" s="887"/>
      <c r="FJ80" s="887"/>
      <c r="FK80" s="887"/>
      <c r="FL80" s="887"/>
      <c r="FM80" s="887"/>
      <c r="FN80" s="887"/>
      <c r="FO80" s="887"/>
      <c r="FP80" s="887"/>
      <c r="FQ80" s="887"/>
      <c r="FR80" s="887"/>
      <c r="FS80" s="887"/>
      <c r="FT80" s="887"/>
      <c r="FU80" s="887"/>
      <c r="FV80" s="887"/>
      <c r="FW80" s="887"/>
      <c r="FX80" s="887"/>
      <c r="FY80" s="887"/>
      <c r="FZ80" s="887"/>
      <c r="GA80" s="887"/>
      <c r="GB80" s="887"/>
      <c r="GC80" s="887"/>
      <c r="GD80" s="887"/>
      <c r="GE80" s="887"/>
      <c r="GF80" s="887"/>
      <c r="GG80" s="887"/>
      <c r="GH80" s="887"/>
      <c r="GI80" s="887"/>
      <c r="GJ80" s="887"/>
      <c r="GK80" s="887"/>
      <c r="GL80" s="887"/>
      <c r="GM80" s="887"/>
      <c r="GN80" s="887"/>
      <c r="GO80" s="887"/>
      <c r="GP80" s="887"/>
      <c r="GQ80" s="887"/>
      <c r="GR80" s="887"/>
      <c r="GS80" s="887"/>
      <c r="GT80" s="887"/>
      <c r="GU80" s="887"/>
      <c r="GV80" s="887"/>
      <c r="GW80" s="887"/>
      <c r="GX80" s="887"/>
      <c r="GY80" s="887"/>
      <c r="GZ80" s="887"/>
      <c r="HA80" s="887"/>
      <c r="HB80" s="887"/>
      <c r="HC80" s="887"/>
      <c r="HD80" s="887"/>
      <c r="HE80" s="887"/>
      <c r="HF80" s="887"/>
      <c r="HG80" s="887"/>
      <c r="HH80" s="887"/>
      <c r="HI80" s="887"/>
      <c r="HJ80" s="887"/>
      <c r="HK80" s="887"/>
      <c r="HL80" s="887"/>
      <c r="HM80" s="887"/>
      <c r="HN80" s="887"/>
      <c r="HO80" s="887"/>
      <c r="HP80" s="887"/>
      <c r="HQ80" s="887"/>
      <c r="HR80" s="887"/>
      <c r="HS80" s="887"/>
      <c r="HT80" s="887"/>
      <c r="HU80" s="887"/>
      <c r="HV80" s="887"/>
      <c r="HW80" s="887"/>
      <c r="HX80" s="887"/>
      <c r="HY80" s="887"/>
      <c r="HZ80" s="887"/>
      <c r="IA80" s="887"/>
      <c r="IB80" s="887"/>
      <c r="IC80" s="887"/>
      <c r="ID80" s="887"/>
      <c r="IE80" s="887"/>
      <c r="IF80" s="887"/>
      <c r="IG80" s="887"/>
      <c r="IH80" s="887"/>
      <c r="II80" s="887"/>
      <c r="IJ80" s="887"/>
      <c r="IK80" s="887"/>
      <c r="IL80" s="887"/>
      <c r="IM80" s="887"/>
      <c r="IN80" s="887"/>
      <c r="IO80" s="887"/>
      <c r="IP80" s="887"/>
      <c r="IQ80" s="887"/>
      <c r="IR80" s="887"/>
      <c r="IS80" s="887"/>
      <c r="IT80" s="887"/>
      <c r="IU80" s="887"/>
      <c r="IV80" s="887"/>
      <c r="IW80" s="887"/>
      <c r="IX80" s="887"/>
      <c r="IY80" s="887"/>
      <c r="IZ80" s="887"/>
      <c r="JA80" s="887"/>
      <c r="JB80" s="887"/>
      <c r="JC80" s="887"/>
      <c r="JD80" s="887"/>
      <c r="JE80" s="887"/>
      <c r="JF80" s="887"/>
      <c r="JG80" s="887"/>
      <c r="JH80" s="887"/>
      <c r="JI80" s="887"/>
      <c r="JJ80" s="887"/>
      <c r="JK80" s="887"/>
      <c r="JL80" s="887"/>
      <c r="JM80" s="887"/>
      <c r="JN80" s="887"/>
      <c r="JO80" s="887"/>
      <c r="JP80" s="887"/>
      <c r="JQ80" s="887"/>
      <c r="JR80" s="887"/>
      <c r="JS80" s="887"/>
      <c r="JT80" s="887"/>
      <c r="JU80" s="887"/>
      <c r="JV80" s="887"/>
      <c r="JW80" s="887"/>
      <c r="JX80" s="887"/>
      <c r="JY80" s="887"/>
      <c r="JZ80" s="887"/>
      <c r="KA80" s="887"/>
      <c r="KB80" s="887"/>
      <c r="KC80" s="887"/>
      <c r="KD80" s="887"/>
      <c r="KE80" s="887"/>
      <c r="KF80" s="887"/>
      <c r="KG80" s="887"/>
      <c r="KH80" s="887"/>
      <c r="KI80" s="887"/>
      <c r="KJ80" s="887"/>
      <c r="KK80" s="887"/>
      <c r="KL80" s="887"/>
      <c r="KM80" s="887"/>
      <c r="KN80" s="887"/>
      <c r="KO80" s="887"/>
      <c r="KP80" s="887"/>
      <c r="KQ80" s="887"/>
      <c r="KR80" s="887"/>
      <c r="KS80" s="887"/>
      <c r="KT80" s="887"/>
      <c r="KU80" s="887"/>
      <c r="KV80" s="887"/>
      <c r="KW80" s="887"/>
      <c r="KX80" s="887"/>
      <c r="KY80" s="887"/>
      <c r="KZ80" s="887"/>
      <c r="LA80" s="887"/>
      <c r="LB80" s="887"/>
      <c r="LC80" s="887"/>
      <c r="LD80" s="887"/>
      <c r="LE80" s="887"/>
      <c r="LF80" s="887"/>
      <c r="LG80" s="887"/>
      <c r="LH80" s="887"/>
      <c r="LI80" s="887"/>
      <c r="LJ80" s="887"/>
      <c r="LK80" s="887"/>
      <c r="LL80" s="887"/>
      <c r="LM80" s="887"/>
      <c r="LN80" s="887"/>
      <c r="LO80" s="887"/>
      <c r="LP80" s="887"/>
      <c r="LQ80" s="887"/>
      <c r="LR80" s="887"/>
      <c r="LS80" s="887"/>
      <c r="LT80" s="887"/>
      <c r="LU80" s="887"/>
      <c r="LV80" s="887"/>
      <c r="LW80" s="887"/>
      <c r="LX80" s="887"/>
      <c r="LY80" s="887"/>
      <c r="LZ80" s="887"/>
      <c r="MA80" s="887"/>
      <c r="MB80" s="887"/>
      <c r="MC80" s="887"/>
      <c r="MD80" s="887"/>
      <c r="ME80" s="887"/>
      <c r="MF80" s="887"/>
      <c r="MG80" s="887"/>
      <c r="MH80" s="887"/>
      <c r="MI80" s="887"/>
      <c r="MJ80" s="887"/>
      <c r="MK80" s="887"/>
      <c r="ML80" s="887"/>
      <c r="MM80" s="887"/>
      <c r="MN80" s="887"/>
      <c r="MO80" s="887"/>
      <c r="MP80" s="887"/>
      <c r="MQ80" s="887"/>
      <c r="MR80" s="887"/>
      <c r="MS80" s="887"/>
      <c r="MT80" s="887"/>
      <c r="MU80" s="887"/>
      <c r="MV80" s="887"/>
      <c r="MW80" s="887"/>
      <c r="MX80" s="887"/>
      <c r="MY80" s="887"/>
      <c r="MZ80" s="887"/>
      <c r="NA80" s="887"/>
      <c r="NB80" s="887"/>
      <c r="NC80" s="887"/>
      <c r="ND80" s="887"/>
      <c r="NE80" s="887"/>
      <c r="NF80" s="887"/>
      <c r="NG80" s="887"/>
      <c r="NH80" s="887"/>
      <c r="NI80" s="887"/>
      <c r="NJ80" s="887"/>
      <c r="NK80" s="887"/>
      <c r="NL80" s="887"/>
      <c r="NM80" s="887"/>
      <c r="NN80" s="887"/>
      <c r="NO80" s="887"/>
      <c r="NP80" s="887"/>
      <c r="NQ80" s="887"/>
      <c r="NR80" s="887"/>
      <c r="NS80" s="887"/>
      <c r="NT80" s="887"/>
      <c r="NU80" s="887"/>
      <c r="NV80" s="887"/>
      <c r="NW80" s="887"/>
      <c r="NX80" s="887"/>
      <c r="NY80" s="887"/>
      <c r="NZ80" s="887"/>
      <c r="OA80" s="887"/>
      <c r="OB80" s="887"/>
      <c r="OC80" s="887"/>
      <c r="OD80" s="887"/>
      <c r="OE80" s="887"/>
      <c r="OF80" s="887"/>
      <c r="OG80" s="887"/>
      <c r="OH80" s="887"/>
      <c r="OI80" s="887"/>
      <c r="OJ80" s="887"/>
      <c r="OK80" s="887"/>
      <c r="OL80" s="887"/>
      <c r="OM80" s="887"/>
      <c r="ON80" s="887"/>
      <c r="OO80" s="887"/>
      <c r="OP80" s="887"/>
      <c r="OQ80" s="887"/>
      <c r="OR80" s="887"/>
      <c r="OS80" s="887"/>
      <c r="OT80" s="887"/>
      <c r="OU80" s="887"/>
      <c r="OV80" s="887"/>
      <c r="OW80" s="887"/>
      <c r="OX80" s="887"/>
      <c r="OY80" s="887"/>
      <c r="OZ80" s="887"/>
      <c r="PA80" s="887"/>
      <c r="PB80" s="887"/>
      <c r="PC80" s="887"/>
      <c r="PD80" s="887"/>
      <c r="PE80" s="887"/>
      <c r="PF80" s="887"/>
      <c r="PG80" s="887"/>
      <c r="PH80" s="887"/>
      <c r="PI80" s="887"/>
      <c r="PJ80" s="887"/>
      <c r="PK80" s="887"/>
      <c r="PL80" s="887"/>
      <c r="PM80" s="887"/>
      <c r="PN80" s="887"/>
      <c r="PO80" s="887"/>
      <c r="PP80" s="887"/>
      <c r="PQ80" s="887"/>
      <c r="PR80" s="887"/>
      <c r="PS80" s="887"/>
      <c r="PT80" s="887"/>
      <c r="PU80" s="887"/>
      <c r="PV80" s="887"/>
      <c r="PW80" s="887"/>
      <c r="PX80" s="887"/>
      <c r="PY80" s="887"/>
      <c r="PZ80" s="887"/>
      <c r="QA80" s="887"/>
      <c r="QB80" s="887"/>
      <c r="QC80" s="887"/>
      <c r="QD80" s="887"/>
      <c r="QE80" s="887"/>
      <c r="QF80" s="887"/>
      <c r="QG80" s="887"/>
      <c r="QH80" s="887"/>
      <c r="QI80" s="887"/>
      <c r="QJ80" s="887"/>
      <c r="QK80" s="887"/>
      <c r="QL80" s="887"/>
      <c r="QM80" s="887"/>
      <c r="QN80" s="887"/>
      <c r="QO80" s="887"/>
      <c r="QP80" s="887"/>
      <c r="QQ80" s="887"/>
      <c r="QR80" s="887"/>
      <c r="QS80" s="887"/>
      <c r="QT80" s="887"/>
      <c r="QU80" s="887"/>
      <c r="QV80" s="887"/>
      <c r="QW80" s="887"/>
      <c r="QX80" s="887"/>
      <c r="QY80" s="887"/>
      <c r="QZ80" s="887"/>
      <c r="RA80" s="887"/>
      <c r="RB80" s="887"/>
      <c r="RC80" s="887"/>
      <c r="RD80" s="887"/>
      <c r="RE80" s="887"/>
      <c r="RF80" s="887"/>
      <c r="RG80" s="887"/>
      <c r="RH80" s="887"/>
      <c r="RI80" s="887"/>
      <c r="RJ80" s="887"/>
      <c r="RK80" s="887"/>
      <c r="RL80" s="887"/>
      <c r="RM80" s="887"/>
      <c r="RN80" s="887"/>
      <c r="RO80" s="887"/>
      <c r="RP80" s="887"/>
      <c r="RQ80" s="887"/>
      <c r="RR80" s="887"/>
      <c r="RS80" s="887"/>
      <c r="RT80" s="887"/>
      <c r="RU80" s="887"/>
      <c r="RV80" s="887"/>
      <c r="RW80" s="887"/>
      <c r="RX80" s="887"/>
      <c r="RY80" s="887"/>
      <c r="RZ80" s="887"/>
      <c r="SA80" s="887"/>
      <c r="SB80" s="887"/>
      <c r="SC80" s="887"/>
      <c r="SD80" s="887"/>
      <c r="SE80" s="887"/>
      <c r="SF80" s="887"/>
      <c r="SG80" s="887"/>
      <c r="SH80" s="887"/>
      <c r="SI80" s="887"/>
      <c r="SJ80" s="887"/>
      <c r="SK80" s="887"/>
      <c r="SL80" s="887"/>
      <c r="SM80" s="887"/>
      <c r="SN80" s="887"/>
      <c r="SO80" s="887"/>
      <c r="SP80" s="887"/>
      <c r="SQ80" s="887"/>
      <c r="SR80" s="887"/>
      <c r="SS80" s="887"/>
      <c r="ST80" s="887"/>
      <c r="SU80" s="887"/>
      <c r="SV80" s="887"/>
      <c r="SW80" s="887"/>
      <c r="SX80" s="887"/>
      <c r="SY80" s="887"/>
      <c r="SZ80" s="887"/>
      <c r="TA80" s="887"/>
      <c r="TB80" s="887"/>
      <c r="TC80" s="887"/>
      <c r="TD80" s="887"/>
      <c r="TE80" s="887"/>
      <c r="TF80" s="887"/>
      <c r="TG80" s="887"/>
      <c r="TH80" s="887"/>
      <c r="TI80" s="887"/>
      <c r="TJ80" s="887"/>
      <c r="TK80" s="887"/>
      <c r="TL80" s="887"/>
      <c r="TM80" s="887"/>
      <c r="TN80" s="887"/>
      <c r="TO80" s="887"/>
      <c r="TP80" s="887"/>
      <c r="TQ80" s="887"/>
      <c r="TR80" s="887"/>
      <c r="TS80" s="887"/>
      <c r="TT80" s="887"/>
      <c r="TU80" s="887"/>
      <c r="TV80" s="887"/>
      <c r="TW80" s="887"/>
      <c r="TX80" s="887"/>
      <c r="TY80" s="887"/>
      <c r="TZ80" s="887"/>
      <c r="UA80" s="887"/>
      <c r="UB80" s="887"/>
      <c r="UC80" s="887"/>
      <c r="UD80" s="887"/>
      <c r="UE80" s="887"/>
      <c r="UF80" s="887"/>
      <c r="UG80" s="887"/>
      <c r="UH80" s="887"/>
      <c r="UI80" s="887"/>
      <c r="UJ80" s="887"/>
      <c r="UK80" s="887"/>
      <c r="UL80" s="887"/>
      <c r="UM80" s="887"/>
      <c r="UN80" s="887"/>
      <c r="UO80" s="887"/>
      <c r="UP80" s="887"/>
      <c r="UQ80" s="887"/>
      <c r="UR80" s="887"/>
      <c r="US80" s="887"/>
      <c r="UT80" s="887"/>
      <c r="UU80" s="887"/>
      <c r="UV80" s="887"/>
      <c r="UW80" s="887"/>
      <c r="UX80" s="887"/>
      <c r="UY80" s="887"/>
      <c r="UZ80" s="887"/>
      <c r="VA80" s="887"/>
      <c r="VB80" s="887"/>
      <c r="VC80" s="887"/>
      <c r="VD80" s="887"/>
      <c r="VE80" s="887"/>
      <c r="VF80" s="887"/>
      <c r="VG80" s="887"/>
      <c r="VH80" s="887"/>
      <c r="VI80" s="887"/>
      <c r="VJ80" s="887"/>
      <c r="VK80" s="887"/>
      <c r="VL80" s="887"/>
      <c r="VM80" s="887"/>
      <c r="VN80" s="887"/>
      <c r="VO80" s="887"/>
      <c r="VP80" s="887"/>
      <c r="VQ80" s="887"/>
      <c r="VR80" s="887"/>
      <c r="VS80" s="887"/>
      <c r="VT80" s="887"/>
      <c r="VU80" s="887"/>
      <c r="VV80" s="887"/>
      <c r="VW80" s="887"/>
      <c r="VX80" s="887"/>
      <c r="VY80" s="887"/>
      <c r="VZ80" s="887"/>
      <c r="WA80" s="887"/>
      <c r="WB80" s="887"/>
      <c r="WC80" s="887"/>
      <c r="WD80" s="887"/>
      <c r="WE80" s="887"/>
      <c r="WF80" s="887"/>
      <c r="WG80" s="887"/>
      <c r="WH80" s="887"/>
      <c r="WI80" s="887"/>
      <c r="WJ80" s="887"/>
      <c r="WK80" s="887"/>
      <c r="WL80" s="887"/>
      <c r="WM80" s="887"/>
      <c r="WN80" s="887"/>
      <c r="WO80" s="887"/>
      <c r="WP80" s="887"/>
      <c r="WQ80" s="887"/>
      <c r="WR80" s="887"/>
      <c r="WS80" s="887"/>
      <c r="WT80" s="887"/>
      <c r="WU80" s="887"/>
      <c r="WV80" s="887"/>
      <c r="WW80" s="887"/>
      <c r="WX80" s="887"/>
      <c r="WY80" s="887"/>
      <c r="WZ80" s="887"/>
      <c r="XA80" s="887"/>
      <c r="XB80" s="887"/>
      <c r="XC80" s="887"/>
      <c r="XD80" s="887"/>
      <c r="XE80" s="887"/>
      <c r="XF80" s="887"/>
      <c r="XG80" s="887"/>
      <c r="XH80" s="887"/>
      <c r="XI80" s="887"/>
      <c r="XJ80" s="887"/>
      <c r="XK80" s="887"/>
      <c r="XL80" s="887"/>
      <c r="XM80" s="887"/>
      <c r="XN80" s="887"/>
      <c r="XO80" s="887"/>
      <c r="XP80" s="887"/>
      <c r="XQ80" s="887"/>
      <c r="XR80" s="887"/>
      <c r="XS80" s="887"/>
      <c r="XT80" s="887"/>
      <c r="XU80" s="887"/>
      <c r="XV80" s="887"/>
      <c r="XW80" s="887"/>
      <c r="XX80" s="887"/>
      <c r="XY80" s="887"/>
      <c r="XZ80" s="887"/>
      <c r="YA80" s="887"/>
      <c r="YB80" s="887"/>
      <c r="YC80" s="887"/>
      <c r="YD80" s="887"/>
      <c r="YE80" s="887"/>
      <c r="YF80" s="887"/>
      <c r="YG80" s="887"/>
      <c r="YH80" s="887"/>
      <c r="YI80" s="887"/>
      <c r="YJ80" s="887"/>
      <c r="YK80" s="887"/>
      <c r="YL80" s="887"/>
      <c r="YM80" s="887"/>
      <c r="YN80" s="887"/>
      <c r="YO80" s="887"/>
      <c r="YP80" s="887"/>
      <c r="YQ80" s="887"/>
      <c r="YR80" s="887"/>
      <c r="YS80" s="887"/>
      <c r="YT80" s="887"/>
      <c r="YU80" s="887"/>
      <c r="YV80" s="887"/>
      <c r="YW80" s="887"/>
      <c r="YX80" s="887"/>
      <c r="YY80" s="887"/>
      <c r="YZ80" s="887"/>
      <c r="ZA80" s="887"/>
      <c r="ZB80" s="887"/>
      <c r="ZC80" s="887"/>
      <c r="ZD80" s="887"/>
      <c r="ZE80" s="887"/>
      <c r="ZF80" s="887"/>
      <c r="ZG80" s="887"/>
      <c r="ZH80" s="887"/>
      <c r="ZI80" s="887"/>
      <c r="ZJ80" s="887"/>
      <c r="ZK80" s="887"/>
      <c r="ZL80" s="887"/>
      <c r="ZM80" s="887"/>
      <c r="ZN80" s="887"/>
      <c r="ZO80" s="887"/>
      <c r="ZP80" s="887"/>
      <c r="ZQ80" s="887"/>
      <c r="ZR80" s="887"/>
      <c r="ZS80" s="887"/>
      <c r="ZT80" s="887"/>
      <c r="ZU80" s="887"/>
      <c r="ZV80" s="887"/>
      <c r="ZW80" s="887"/>
      <c r="ZX80" s="887"/>
      <c r="ZY80" s="887"/>
      <c r="ZZ80" s="887"/>
      <c r="AAA80" s="887"/>
      <c r="AAB80" s="887"/>
      <c r="AAC80" s="887"/>
      <c r="AAD80" s="887"/>
      <c r="AAE80" s="887"/>
      <c r="AAF80" s="887"/>
      <c r="AAG80" s="887"/>
      <c r="AAH80" s="887"/>
      <c r="AAI80" s="887"/>
      <c r="AAJ80" s="887"/>
      <c r="AAK80" s="887"/>
      <c r="AAL80" s="887"/>
      <c r="AAM80" s="887"/>
      <c r="AAN80" s="887"/>
      <c r="AAO80" s="887"/>
      <c r="AAP80" s="887"/>
      <c r="AAQ80" s="887"/>
      <c r="AAR80" s="887"/>
      <c r="AAS80" s="887"/>
      <c r="AAT80" s="887"/>
      <c r="AAU80" s="887"/>
      <c r="AAV80" s="887"/>
      <c r="AAW80" s="887"/>
      <c r="AAX80" s="887"/>
      <c r="AAY80" s="887"/>
      <c r="AAZ80" s="887"/>
      <c r="ABA80" s="887"/>
      <c r="ABB80" s="887"/>
      <c r="ABC80" s="887"/>
      <c r="ABD80" s="887"/>
      <c r="ABE80" s="887"/>
      <c r="ABF80" s="887"/>
      <c r="ABG80" s="887"/>
      <c r="ABH80" s="887"/>
      <c r="ABI80" s="887"/>
      <c r="ABJ80" s="887"/>
      <c r="ABK80" s="887"/>
      <c r="ABL80" s="887"/>
      <c r="ABM80" s="887"/>
      <c r="ABN80" s="887"/>
      <c r="ABO80" s="887"/>
      <c r="ABP80" s="887"/>
      <c r="ABQ80" s="887"/>
      <c r="ABR80" s="887"/>
      <c r="ABS80" s="887"/>
      <c r="ABT80" s="887"/>
      <c r="ABU80" s="887"/>
      <c r="ABV80" s="887"/>
      <c r="ABW80" s="887"/>
      <c r="ABX80" s="887"/>
      <c r="ABY80" s="887"/>
      <c r="ABZ80" s="887"/>
      <c r="ACA80" s="887"/>
      <c r="ACB80" s="887"/>
      <c r="ACC80" s="887"/>
      <c r="ACD80" s="887"/>
      <c r="ACE80" s="887"/>
      <c r="ACF80" s="887"/>
      <c r="ACG80" s="887"/>
      <c r="ACH80" s="887"/>
      <c r="ACI80" s="887"/>
      <c r="ACJ80" s="887"/>
      <c r="ACK80" s="887"/>
      <c r="ACL80" s="887"/>
      <c r="ACM80" s="887"/>
      <c r="ACN80" s="887"/>
      <c r="ACO80" s="887"/>
      <c r="ACP80" s="887"/>
      <c r="ACQ80" s="887"/>
      <c r="ACR80" s="887"/>
      <c r="ACS80" s="887"/>
      <c r="ACT80" s="887"/>
      <c r="ACU80" s="887"/>
      <c r="ACV80" s="887"/>
      <c r="ACW80" s="887"/>
      <c r="ACX80" s="887"/>
      <c r="ACY80" s="887"/>
      <c r="ACZ80" s="887"/>
      <c r="ADA80" s="887"/>
      <c r="ADB80" s="887"/>
      <c r="ADC80" s="887"/>
      <c r="ADD80" s="887"/>
      <c r="ADE80" s="887"/>
      <c r="ADF80" s="887"/>
      <c r="ADG80" s="887"/>
      <c r="ADH80" s="887"/>
      <c r="ADI80" s="887"/>
      <c r="ADJ80" s="887"/>
      <c r="ADK80" s="887"/>
      <c r="ADL80" s="887"/>
      <c r="ADM80" s="887"/>
      <c r="ADN80" s="887"/>
      <c r="ADO80" s="887"/>
      <c r="ADP80" s="887"/>
      <c r="ADQ80" s="887"/>
      <c r="ADR80" s="887"/>
      <c r="ADS80" s="887"/>
      <c r="ADT80" s="887"/>
      <c r="ADU80" s="887"/>
      <c r="ADV80" s="887"/>
      <c r="ADW80" s="887"/>
      <c r="ADX80" s="887"/>
      <c r="ADY80" s="887"/>
      <c r="ADZ80" s="887"/>
      <c r="AEA80" s="887"/>
      <c r="AEB80" s="887"/>
      <c r="AEC80" s="887"/>
      <c r="AED80" s="887"/>
      <c r="AEE80" s="887"/>
      <c r="AEF80" s="887"/>
      <c r="AEG80" s="887"/>
      <c r="AEH80" s="887"/>
      <c r="AEI80" s="887"/>
      <c r="AEJ80" s="887"/>
      <c r="AEK80" s="887"/>
      <c r="AEL80" s="887"/>
      <c r="AEM80" s="887"/>
      <c r="AEN80" s="887"/>
      <c r="AEO80" s="887"/>
      <c r="AEP80" s="887"/>
      <c r="AEQ80" s="887"/>
      <c r="AER80" s="887"/>
      <c r="AES80" s="887"/>
      <c r="AET80" s="887"/>
      <c r="AEU80" s="887"/>
      <c r="AEV80" s="887"/>
      <c r="AEW80" s="887"/>
      <c r="AEX80" s="887"/>
      <c r="AEY80" s="887"/>
      <c r="AEZ80" s="887"/>
      <c r="AFA80" s="887"/>
      <c r="AFB80" s="887"/>
      <c r="AFC80" s="887"/>
      <c r="AFD80" s="887"/>
      <c r="AFE80" s="887"/>
      <c r="AFF80" s="887"/>
      <c r="AFG80" s="887"/>
      <c r="AFH80" s="887"/>
      <c r="AFI80" s="887"/>
      <c r="AFJ80" s="887"/>
      <c r="AFK80" s="887"/>
      <c r="AFL80" s="887"/>
      <c r="AFM80" s="887"/>
      <c r="AFN80" s="887"/>
      <c r="AFO80" s="887"/>
      <c r="AFP80" s="887"/>
      <c r="AFQ80" s="887"/>
      <c r="AFR80" s="887"/>
      <c r="AFS80" s="887"/>
      <c r="AFT80" s="887"/>
      <c r="AFU80" s="887"/>
      <c r="AFV80" s="887"/>
      <c r="AFW80" s="887"/>
      <c r="AFX80" s="887"/>
      <c r="AFY80" s="887"/>
      <c r="AFZ80" s="887"/>
      <c r="AGA80" s="887"/>
      <c r="AGB80" s="887"/>
      <c r="AGC80" s="887"/>
      <c r="AGD80" s="887"/>
      <c r="AGE80" s="887"/>
      <c r="AGF80" s="887"/>
      <c r="AGG80" s="887"/>
      <c r="AGH80" s="887"/>
      <c r="AGI80" s="887"/>
      <c r="AGJ80" s="887"/>
      <c r="AGK80" s="887"/>
      <c r="AGL80" s="887"/>
      <c r="AGM80" s="887"/>
      <c r="AGN80" s="887"/>
      <c r="AGO80" s="887"/>
      <c r="AGP80" s="887"/>
      <c r="AGQ80" s="887"/>
      <c r="AGR80" s="887"/>
      <c r="AGS80" s="887"/>
      <c r="AGT80" s="887"/>
      <c r="AGU80" s="887"/>
      <c r="AGV80" s="887"/>
      <c r="AGW80" s="887"/>
      <c r="AGX80" s="887"/>
      <c r="AGY80" s="887"/>
      <c r="AGZ80" s="887"/>
      <c r="AHA80" s="887"/>
      <c r="AHB80" s="887"/>
      <c r="AHC80" s="887"/>
      <c r="AHD80" s="887"/>
      <c r="AHE80" s="887"/>
      <c r="AHF80" s="887"/>
      <c r="AHG80" s="887"/>
      <c r="AHH80" s="887"/>
      <c r="AHI80" s="887"/>
      <c r="AHJ80" s="887"/>
      <c r="AHK80" s="887"/>
      <c r="AHL80" s="887"/>
      <c r="AHM80" s="887"/>
      <c r="AHN80" s="887"/>
      <c r="AHO80" s="887"/>
      <c r="AHP80" s="887"/>
      <c r="AHQ80" s="887"/>
      <c r="AHR80" s="887"/>
      <c r="AHS80" s="887"/>
      <c r="AHT80" s="887"/>
      <c r="AHU80" s="887"/>
      <c r="AHV80" s="887"/>
      <c r="AHW80" s="887"/>
      <c r="AHX80" s="887"/>
      <c r="AHY80" s="887"/>
      <c r="AHZ80" s="887"/>
      <c r="AIA80" s="887"/>
      <c r="AIB80" s="887"/>
      <c r="AIC80" s="887"/>
      <c r="AID80" s="887"/>
      <c r="AIE80" s="887"/>
      <c r="AIF80" s="887"/>
      <c r="AIG80" s="887"/>
      <c r="AIH80" s="887"/>
      <c r="AII80" s="887"/>
      <c r="AIJ80" s="887"/>
      <c r="AIK80" s="887"/>
      <c r="AIL80" s="887"/>
      <c r="AIM80" s="887"/>
      <c r="AIN80" s="887"/>
      <c r="AIO80" s="887"/>
      <c r="AIP80" s="887"/>
      <c r="AIQ80" s="887"/>
      <c r="AIR80" s="887"/>
      <c r="AIS80" s="887"/>
      <c r="AIT80" s="887"/>
      <c r="AIU80" s="887"/>
      <c r="AIV80" s="887"/>
      <c r="AIW80" s="887"/>
      <c r="AIX80" s="887"/>
      <c r="AIY80" s="887"/>
      <c r="AIZ80" s="887"/>
      <c r="AJA80" s="887"/>
      <c r="AJB80" s="887"/>
      <c r="AJC80" s="887"/>
      <c r="AJD80" s="887"/>
      <c r="AJE80" s="887"/>
      <c r="AJF80" s="887"/>
      <c r="AJG80" s="887"/>
      <c r="AJH80" s="887"/>
      <c r="AJI80" s="887"/>
      <c r="AJJ80" s="887"/>
      <c r="AJK80" s="887"/>
      <c r="AJL80" s="887"/>
      <c r="AJM80" s="887"/>
      <c r="AJN80" s="887"/>
      <c r="AJO80" s="887"/>
      <c r="AJP80" s="887"/>
      <c r="AJQ80" s="887"/>
      <c r="AJR80" s="887"/>
      <c r="AJS80" s="887"/>
      <c r="AJT80" s="887"/>
      <c r="AJU80" s="887"/>
      <c r="AJV80" s="887"/>
      <c r="AJW80" s="887"/>
      <c r="AJX80" s="887"/>
      <c r="AJY80" s="887"/>
      <c r="AJZ80" s="887"/>
      <c r="AKA80" s="887"/>
      <c r="AKB80" s="887"/>
      <c r="AKC80" s="887"/>
      <c r="AKD80" s="887"/>
      <c r="AKE80" s="887"/>
      <c r="AKF80" s="887"/>
      <c r="AKG80" s="887"/>
      <c r="AKH80" s="887"/>
      <c r="AKI80" s="887"/>
      <c r="AKJ80" s="887"/>
      <c r="AKK80" s="887"/>
      <c r="AKL80" s="887"/>
      <c r="AKM80" s="887"/>
      <c r="AKN80" s="887"/>
      <c r="AKO80" s="887"/>
      <c r="AKP80" s="887"/>
      <c r="AKQ80" s="887"/>
      <c r="AKR80" s="887"/>
      <c r="AKS80" s="887"/>
      <c r="AKT80" s="887"/>
      <c r="AKU80" s="887"/>
      <c r="AKV80" s="887"/>
      <c r="AKW80" s="887"/>
      <c r="AKX80" s="887"/>
      <c r="AKY80" s="887"/>
      <c r="AKZ80" s="887"/>
      <c r="ALA80" s="887"/>
      <c r="ALB80" s="887"/>
      <c r="ALC80" s="887"/>
      <c r="ALD80" s="887"/>
      <c r="ALE80" s="887"/>
      <c r="ALF80" s="887"/>
      <c r="ALG80" s="887"/>
      <c r="ALH80" s="887"/>
      <c r="ALI80" s="887"/>
      <c r="ALJ80" s="887"/>
      <c r="ALK80" s="887"/>
      <c r="ALL80" s="887"/>
      <c r="ALM80" s="887"/>
      <c r="ALN80" s="887"/>
      <c r="ALO80" s="887"/>
      <c r="ALP80" s="887"/>
      <c r="ALQ80" s="887"/>
      <c r="ALR80" s="887"/>
      <c r="ALS80" s="887"/>
      <c r="ALT80" s="887"/>
      <c r="ALU80" s="887"/>
      <c r="ALV80" s="887"/>
      <c r="ALW80" s="887"/>
      <c r="ALX80" s="887"/>
      <c r="ALY80" s="887"/>
      <c r="ALZ80" s="887"/>
      <c r="AMA80" s="887"/>
      <c r="AMB80" s="887"/>
      <c r="AMC80" s="887"/>
      <c r="AMD80" s="887"/>
      <c r="AME80" s="887"/>
      <c r="AMF80" s="887"/>
      <c r="AMG80" s="887"/>
      <c r="AMH80" s="887"/>
      <c r="AMI80" s="887"/>
      <c r="AMJ80" s="887"/>
    </row>
    <row r="81" spans="1:19" hidden="1">
      <c r="A81" s="876" t="s">
        <v>733</v>
      </c>
      <c r="B81" s="748"/>
      <c r="C81" s="748">
        <f t="shared" ref="C81:N81" si="15">+C7</f>
        <v>0</v>
      </c>
      <c r="D81" s="748">
        <f t="shared" si="15"/>
        <v>0</v>
      </c>
      <c r="E81" s="748">
        <f t="shared" si="15"/>
        <v>-3200</v>
      </c>
      <c r="F81" s="748">
        <f t="shared" si="15"/>
        <v>0</v>
      </c>
      <c r="G81" s="748">
        <f t="shared" si="15"/>
        <v>0</v>
      </c>
      <c r="H81" s="748">
        <f t="shared" si="15"/>
        <v>0</v>
      </c>
      <c r="I81" s="748">
        <f t="shared" si="15"/>
        <v>0</v>
      </c>
      <c r="J81" s="748">
        <f t="shared" si="15"/>
        <v>0</v>
      </c>
      <c r="K81" s="748">
        <f t="shared" si="15"/>
        <v>0</v>
      </c>
      <c r="L81" s="748">
        <f t="shared" si="15"/>
        <v>0</v>
      </c>
      <c r="M81" s="748">
        <f t="shared" si="15"/>
        <v>0</v>
      </c>
      <c r="N81" s="748">
        <f t="shared" si="15"/>
        <v>-6118200</v>
      </c>
      <c r="O81" s="748"/>
      <c r="P81" s="748"/>
      <c r="Q81" s="877">
        <f>+P81+N81-O81</f>
        <v>-6118200</v>
      </c>
    </row>
    <row r="82" spans="1:19" hidden="1">
      <c r="A82" s="876" t="s">
        <v>658</v>
      </c>
      <c r="B82" s="748">
        <f t="shared" ref="B82:M82" si="16">+B53</f>
        <v>-5488035</v>
      </c>
      <c r="C82" s="748">
        <f t="shared" si="16"/>
        <v>0</v>
      </c>
      <c r="D82" s="748">
        <f t="shared" si="16"/>
        <v>0</v>
      </c>
      <c r="E82" s="748">
        <f t="shared" si="16"/>
        <v>0</v>
      </c>
      <c r="F82" s="748">
        <f t="shared" si="16"/>
        <v>0</v>
      </c>
      <c r="G82" s="748">
        <f t="shared" si="16"/>
        <v>0</v>
      </c>
      <c r="H82" s="748">
        <f t="shared" si="16"/>
        <v>0</v>
      </c>
      <c r="I82" s="748">
        <f t="shared" si="16"/>
        <v>0</v>
      </c>
      <c r="J82" s="748">
        <f t="shared" si="16"/>
        <v>0</v>
      </c>
      <c r="K82" s="748">
        <f t="shared" si="16"/>
        <v>0</v>
      </c>
      <c r="L82" s="748">
        <f t="shared" si="16"/>
        <v>0</v>
      </c>
      <c r="M82" s="748">
        <f t="shared" si="16"/>
        <v>0</v>
      </c>
      <c r="N82" s="748">
        <f t="shared" ref="N82:N89" si="17">SUM(B82:M82)</f>
        <v>-5488035</v>
      </c>
      <c r="O82" s="748"/>
      <c r="P82" s="748"/>
      <c r="Q82" s="877">
        <f>+P82+N82-O82</f>
        <v>-5488035</v>
      </c>
    </row>
    <row r="83" spans="1:19" hidden="1">
      <c r="A83" s="876" t="s">
        <v>757</v>
      </c>
      <c r="B83" s="748">
        <f>+B54</f>
        <v>0</v>
      </c>
      <c r="C83" s="748">
        <f>+C54</f>
        <v>37386</v>
      </c>
      <c r="D83" s="748">
        <f>+D54</f>
        <v>0</v>
      </c>
      <c r="E83" s="748">
        <f>+E54+E20+E8</f>
        <v>-115991</v>
      </c>
      <c r="F83" s="748">
        <f>+F54</f>
        <v>1173951</v>
      </c>
      <c r="G83" s="748">
        <f>+G54</f>
        <v>0</v>
      </c>
      <c r="H83" s="748">
        <f>H30+H54</f>
        <v>-2988</v>
      </c>
      <c r="I83" s="748">
        <f>+I54</f>
        <v>0</v>
      </c>
      <c r="J83" s="748">
        <f>+J54</f>
        <v>0</v>
      </c>
      <c r="K83" s="748">
        <f>+K54</f>
        <v>-1728</v>
      </c>
      <c r="L83" s="748">
        <f>+L40</f>
        <v>-151290</v>
      </c>
      <c r="M83" s="748">
        <f>+M54</f>
        <v>-38152</v>
      </c>
      <c r="N83" s="748">
        <f t="shared" si="17"/>
        <v>901188</v>
      </c>
      <c r="O83" s="748"/>
      <c r="P83" s="748"/>
      <c r="Q83" s="877">
        <f>+P83+N83-O83</f>
        <v>901188</v>
      </c>
    </row>
    <row r="84" spans="1:19" ht="30" hidden="1">
      <c r="A84" s="878" t="s">
        <v>754</v>
      </c>
      <c r="B84" s="748">
        <f t="shared" ref="B84:M84" si="18">+B55+B35</f>
        <v>14116935</v>
      </c>
      <c r="C84" s="748">
        <f t="shared" si="18"/>
        <v>-5325487</v>
      </c>
      <c r="D84" s="748">
        <f t="shared" si="18"/>
        <v>181072</v>
      </c>
      <c r="E84" s="748">
        <f t="shared" si="18"/>
        <v>0</v>
      </c>
      <c r="F84" s="748">
        <f t="shared" si="18"/>
        <v>-44933</v>
      </c>
      <c r="G84" s="748">
        <f t="shared" si="18"/>
        <v>-13474</v>
      </c>
      <c r="H84" s="748">
        <f t="shared" si="18"/>
        <v>0</v>
      </c>
      <c r="I84" s="748">
        <f t="shared" si="18"/>
        <v>0</v>
      </c>
      <c r="J84" s="748">
        <f t="shared" si="18"/>
        <v>-40586</v>
      </c>
      <c r="K84" s="748">
        <f t="shared" si="18"/>
        <v>1063188</v>
      </c>
      <c r="L84" s="748">
        <f t="shared" si="18"/>
        <v>1040435</v>
      </c>
      <c r="M84" s="748">
        <f t="shared" si="18"/>
        <v>-436196</v>
      </c>
      <c r="N84" s="748">
        <f t="shared" si="17"/>
        <v>10540954</v>
      </c>
      <c r="O84" s="748"/>
      <c r="P84" s="748"/>
      <c r="Q84" s="877">
        <f>+P84+N84-O84</f>
        <v>10540954</v>
      </c>
    </row>
    <row r="85" spans="1:19">
      <c r="A85" s="879" t="s">
        <v>736</v>
      </c>
      <c r="B85" s="754">
        <f t="shared" ref="B85:M85" si="19">SUM(B78:B84)</f>
        <v>88265680.560000002</v>
      </c>
      <c r="C85" s="754">
        <f t="shared" si="19"/>
        <v>32366063.460000001</v>
      </c>
      <c r="D85" s="754">
        <f t="shared" si="19"/>
        <v>2213438.94</v>
      </c>
      <c r="E85" s="754">
        <f t="shared" si="19"/>
        <v>0</v>
      </c>
      <c r="F85" s="754">
        <f t="shared" si="19"/>
        <v>38503</v>
      </c>
      <c r="G85" s="754">
        <f t="shared" si="19"/>
        <v>346764</v>
      </c>
      <c r="H85" s="754">
        <f t="shared" si="19"/>
        <v>5000.47</v>
      </c>
      <c r="I85" s="754">
        <f t="shared" si="19"/>
        <v>10000</v>
      </c>
      <c r="J85" s="754">
        <f t="shared" si="19"/>
        <v>1138228</v>
      </c>
      <c r="K85" s="754">
        <f t="shared" si="19"/>
        <v>1882850.66</v>
      </c>
      <c r="L85" s="754">
        <f t="shared" si="19"/>
        <v>394840.89999999991</v>
      </c>
      <c r="M85" s="754">
        <f t="shared" si="19"/>
        <v>-1048872</v>
      </c>
      <c r="N85" s="754">
        <f t="shared" si="17"/>
        <v>125612497.99000001</v>
      </c>
      <c r="O85" s="754">
        <f>+'Planilla final'!O59-'Planilla final'!O57-O90</f>
        <v>53706354</v>
      </c>
      <c r="P85" s="754">
        <f>+'Planilla final'!P59-'Planilla final'!P57</f>
        <v>15223318</v>
      </c>
      <c r="Q85" s="881">
        <f>+N85+P85-O85</f>
        <v>87129461.99000001</v>
      </c>
      <c r="R85" s="902">
        <f>+Q85-'ECP20'!T67</f>
        <v>-1371434.5299999863</v>
      </c>
      <c r="S85" s="749">
        <f>+O85-P85</f>
        <v>38483036</v>
      </c>
    </row>
    <row r="86" spans="1:19">
      <c r="A86" s="867" t="s">
        <v>854</v>
      </c>
      <c r="B86" s="748">
        <f>+B58</f>
        <v>660505</v>
      </c>
      <c r="C86" s="748"/>
      <c r="D86" s="748"/>
      <c r="E86" s="748"/>
      <c r="F86" s="760"/>
      <c r="G86" s="748"/>
      <c r="H86" s="748"/>
      <c r="I86" s="748"/>
      <c r="J86" s="760"/>
      <c r="K86" s="748"/>
      <c r="L86" s="748">
        <v>0</v>
      </c>
      <c r="M86" s="748"/>
      <c r="N86" s="748">
        <f>SUM(B86:M86)</f>
        <v>660505</v>
      </c>
      <c r="O86" s="748"/>
      <c r="P86" s="748"/>
      <c r="Q86" s="1029">
        <f t="shared" ref="Q86" si="20">+N86+P86-O86</f>
        <v>660505</v>
      </c>
      <c r="R86" s="749"/>
      <c r="S86" s="434">
        <f>+S85-37706078</f>
        <v>776958</v>
      </c>
    </row>
    <row r="87" spans="1:19">
      <c r="A87" s="867" t="s">
        <v>843</v>
      </c>
      <c r="B87" s="748">
        <v>-21629181</v>
      </c>
      <c r="C87" s="748"/>
      <c r="D87" s="748"/>
      <c r="E87" s="748"/>
      <c r="F87" s="760"/>
      <c r="G87" s="748"/>
      <c r="H87" s="748"/>
      <c r="I87" s="748"/>
      <c r="J87" s="760"/>
      <c r="K87" s="748"/>
      <c r="L87" s="748"/>
      <c r="M87" s="748"/>
      <c r="N87" s="748">
        <f t="shared" si="17"/>
        <v>-21629181</v>
      </c>
      <c r="O87" s="748"/>
      <c r="P87" s="748"/>
      <c r="Q87" s="1031">
        <f>+N87+P87-O87</f>
        <v>-21629181</v>
      </c>
      <c r="R87" s="749"/>
      <c r="S87" s="434"/>
    </row>
    <row r="88" spans="1:19">
      <c r="A88" s="876" t="s">
        <v>881</v>
      </c>
      <c r="B88" s="748"/>
      <c r="C88" s="748"/>
      <c r="D88" s="748"/>
      <c r="E88" s="748"/>
      <c r="F88" s="748"/>
      <c r="G88" s="748"/>
      <c r="H88" s="748"/>
      <c r="I88" s="748"/>
      <c r="J88" s="748"/>
      <c r="K88" s="748">
        <f>+K59</f>
        <v>-373201</v>
      </c>
      <c r="L88" s="748"/>
      <c r="M88" s="748"/>
      <c r="N88" s="748">
        <f t="shared" si="17"/>
        <v>-373201</v>
      </c>
      <c r="O88" s="748"/>
      <c r="P88" s="748"/>
      <c r="Q88" s="1029">
        <f>+P88+N88-O88</f>
        <v>-373201</v>
      </c>
    </row>
    <row r="89" spans="1:19">
      <c r="A89" s="876" t="s">
        <v>853</v>
      </c>
      <c r="B89" s="748">
        <f>+B57</f>
        <v>1859768</v>
      </c>
      <c r="C89" s="748"/>
      <c r="D89" s="748"/>
      <c r="E89" s="748"/>
      <c r="F89" s="748"/>
      <c r="G89" s="748"/>
      <c r="H89" s="748"/>
      <c r="I89" s="748"/>
      <c r="J89" s="748"/>
      <c r="K89" s="748"/>
      <c r="L89" s="748"/>
      <c r="M89" s="748"/>
      <c r="N89" s="748">
        <f t="shared" si="17"/>
        <v>1859768</v>
      </c>
      <c r="O89" s="748"/>
      <c r="P89" s="748"/>
      <c r="Q89" s="1029">
        <f>+P89+N89-O89</f>
        <v>1859768</v>
      </c>
    </row>
    <row r="90" spans="1:19">
      <c r="A90" s="876" t="s">
        <v>833</v>
      </c>
      <c r="B90" s="748"/>
      <c r="C90" s="748"/>
      <c r="D90" s="748">
        <f>+D62</f>
        <v>2534340</v>
      </c>
      <c r="E90" s="748"/>
      <c r="F90" s="748"/>
      <c r="G90" s="748"/>
      <c r="H90" s="748"/>
      <c r="I90" s="748"/>
      <c r="J90" s="748"/>
      <c r="K90" s="748"/>
      <c r="L90" s="748"/>
      <c r="M90" s="748"/>
      <c r="N90" s="748">
        <f>SUM(B90:M90)</f>
        <v>2534340</v>
      </c>
      <c r="O90" s="748">
        <f>+O62</f>
        <v>2534340</v>
      </c>
      <c r="P90" s="748"/>
      <c r="Q90" s="1029">
        <f>+P90+N90-O90</f>
        <v>0</v>
      </c>
    </row>
    <row r="91" spans="1:19">
      <c r="A91" s="876" t="s">
        <v>719</v>
      </c>
      <c r="C91" s="748">
        <f>+C60</f>
        <v>953966</v>
      </c>
      <c r="D91" s="748">
        <f>+D60</f>
        <v>-116791</v>
      </c>
      <c r="E91" s="748"/>
      <c r="F91" s="748"/>
      <c r="G91" s="748"/>
      <c r="H91" s="748"/>
      <c r="I91" s="748"/>
      <c r="J91" s="748"/>
      <c r="K91" s="748"/>
      <c r="L91" s="748">
        <f>+L60</f>
        <v>-50758</v>
      </c>
      <c r="M91" s="748"/>
      <c r="N91" s="748">
        <f>SUM(B91:M91)</f>
        <v>786417</v>
      </c>
      <c r="O91" s="748"/>
      <c r="P91" s="748"/>
      <c r="Q91" s="1029">
        <f>+P91+N91-O91</f>
        <v>786417</v>
      </c>
    </row>
    <row r="92" spans="1:19" ht="15" customHeight="1">
      <c r="A92" s="883" t="s">
        <v>834</v>
      </c>
      <c r="B92" s="882">
        <f>+B63</f>
        <v>19151165</v>
      </c>
      <c r="C92" s="748">
        <f t="shared" ref="C92:M92" si="21">+C63+C42</f>
        <v>-3188003</v>
      </c>
      <c r="D92" s="748">
        <f t="shared" si="21"/>
        <v>399181.97999999992</v>
      </c>
      <c r="E92" s="748">
        <f t="shared" si="21"/>
        <v>0</v>
      </c>
      <c r="F92" s="748">
        <f t="shared" si="21"/>
        <v>0</v>
      </c>
      <c r="G92" s="748">
        <f t="shared" si="21"/>
        <v>331439.17</v>
      </c>
      <c r="H92" s="748">
        <f t="shared" si="21"/>
        <v>0</v>
      </c>
      <c r="I92" s="748">
        <f t="shared" si="21"/>
        <v>0</v>
      </c>
      <c r="J92" s="748">
        <f t="shared" si="21"/>
        <v>-40586.1</v>
      </c>
      <c r="K92" s="748">
        <f t="shared" si="21"/>
        <v>150815</v>
      </c>
      <c r="L92" s="748">
        <f t="shared" si="21"/>
        <v>155307</v>
      </c>
      <c r="M92" s="748">
        <f t="shared" si="21"/>
        <v>-93297</v>
      </c>
      <c r="N92" s="748">
        <f>SUM(B92:M92)</f>
        <v>16866022.050000001</v>
      </c>
      <c r="O92" s="748">
        <f>+O63</f>
        <v>902562</v>
      </c>
      <c r="P92" s="748">
        <f>+P63</f>
        <v>2069001</v>
      </c>
      <c r="Q92" s="1029">
        <f>+P92+N92-O92</f>
        <v>18032461.050000001</v>
      </c>
    </row>
    <row r="93" spans="1:19" ht="15.75" thickBot="1">
      <c r="A93" s="870" t="s">
        <v>830</v>
      </c>
      <c r="B93" s="871">
        <f t="shared" ref="B93:M93" si="22">SUM(B85:B92)</f>
        <v>88307937.560000002</v>
      </c>
      <c r="C93" s="871">
        <f t="shared" si="22"/>
        <v>30132026.460000001</v>
      </c>
      <c r="D93" s="871">
        <f t="shared" si="22"/>
        <v>5030169.919999999</v>
      </c>
      <c r="E93" s="871">
        <f t="shared" si="22"/>
        <v>0</v>
      </c>
      <c r="F93" s="871">
        <f t="shared" si="22"/>
        <v>38503</v>
      </c>
      <c r="G93" s="871">
        <f t="shared" si="22"/>
        <v>678203.16999999993</v>
      </c>
      <c r="H93" s="871">
        <f t="shared" si="22"/>
        <v>5000.47</v>
      </c>
      <c r="I93" s="871">
        <f t="shared" si="22"/>
        <v>10000</v>
      </c>
      <c r="J93" s="871">
        <f t="shared" si="22"/>
        <v>1097641.8999999999</v>
      </c>
      <c r="K93" s="871">
        <f t="shared" si="22"/>
        <v>1660464.66</v>
      </c>
      <c r="L93" s="871">
        <f t="shared" si="22"/>
        <v>499389.89999999991</v>
      </c>
      <c r="M93" s="871">
        <f t="shared" si="22"/>
        <v>-1142169</v>
      </c>
      <c r="N93" s="871">
        <f>SUM(B93:M93)</f>
        <v>126317168.04000002</v>
      </c>
      <c r="O93" s="871">
        <f>SUM(O85:O92)</f>
        <v>57143256</v>
      </c>
      <c r="P93" s="871">
        <f>SUM(P85:P92)</f>
        <v>17292319</v>
      </c>
      <c r="Q93" s="872">
        <f>SUM(Q85:Q92)</f>
        <v>86466231.040000007</v>
      </c>
      <c r="R93" s="749">
        <f>+Q93-'Planilla final'!Q59</f>
        <v>3.2000000029802322</v>
      </c>
      <c r="S93" s="434">
        <f>+R85-R93</f>
        <v>-1371437.7299999893</v>
      </c>
    </row>
    <row r="94" spans="1:19">
      <c r="A94" s="744"/>
      <c r="B94" s="749">
        <f>+B93-'Planilla final'!B59</f>
        <v>-0.43999999761581421</v>
      </c>
      <c r="C94" s="749">
        <f>+C93-'Planilla final'!C59</f>
        <v>0.46000000089406967</v>
      </c>
      <c r="D94" s="749">
        <f>+D93-'Planilla final'!D59</f>
        <v>8.9999998919665813E-2</v>
      </c>
      <c r="E94" s="749">
        <f>+E93-'Planilla final'!E59</f>
        <v>0</v>
      </c>
      <c r="F94" s="749">
        <f>+F93-'Planilla final'!F59</f>
        <v>0.43999999988591298</v>
      </c>
      <c r="G94" s="749">
        <f>+G93-'Planilla final'!G59</f>
        <v>0.16999999992549419</v>
      </c>
      <c r="H94" s="749">
        <f>+H93-'Planilla final'!H59</f>
        <v>0.47000000000025466</v>
      </c>
      <c r="I94" s="749">
        <f>+I93-'Planilla final'!I59</f>
        <v>0</v>
      </c>
      <c r="J94" s="749">
        <f>+J93-'Planilla final'!J59</f>
        <v>0.45000000018626451</v>
      </c>
      <c r="K94" s="749">
        <f>+K93-'Planilla final'!K59</f>
        <v>0.65999999991618097</v>
      </c>
      <c r="L94" s="749">
        <f>+L93-'Planilla final'!L59</f>
        <v>-1.1000000000931323</v>
      </c>
      <c r="M94" s="749">
        <f>+M93-'Planilla final'!M59</f>
        <v>2</v>
      </c>
      <c r="N94" s="749">
        <f>+N93-'Planilla final'!N59</f>
        <v>3.2000000178813934</v>
      </c>
      <c r="O94" s="749">
        <f>+O93-'Planilla final'!O59</f>
        <v>0</v>
      </c>
      <c r="P94" s="749">
        <f>+P93-'Planilla final'!P59</f>
        <v>0</v>
      </c>
      <c r="Q94" s="1021">
        <f>+Q93-'Planilla final'!Q59</f>
        <v>3.2000000029802322</v>
      </c>
    </row>
    <row r="95" spans="1:19">
      <c r="B95" s="43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L81"/>
  <sheetViews>
    <sheetView showGridLines="0" topLeftCell="A4" zoomScaleNormal="100" workbookViewId="0">
      <pane xSplit="1" ySplit="1" topLeftCell="J5" activePane="bottomRight" state="frozen"/>
      <selection activeCell="A4" sqref="A4"/>
      <selection pane="topRight" activeCell="AB4" sqref="AB4"/>
      <selection pane="bottomLeft" activeCell="A51" sqref="A51"/>
      <selection pane="bottomRight" activeCell="T18" sqref="T18"/>
    </sheetView>
  </sheetViews>
  <sheetFormatPr defaultColWidth="11.42578125" defaultRowHeight="15" outlineLevelCol="1"/>
  <cols>
    <col min="1" max="1" width="61.28515625" style="407" customWidth="1"/>
    <col min="2" max="2" width="9" style="407" customWidth="1"/>
    <col min="3" max="3" width="14" style="407" bestFit="1" customWidth="1"/>
    <col min="4" max="4" width="1" style="414" hidden="1" customWidth="1"/>
    <col min="5" max="5" width="0" style="407" hidden="1" customWidth="1"/>
    <col min="6" max="6" width="1" style="407" hidden="1" customWidth="1"/>
    <col min="7" max="7" width="0" style="407" hidden="1" customWidth="1"/>
    <col min="8" max="9" width="11.5703125" style="407" hidden="1" customWidth="1"/>
    <col min="10" max="10" width="11.5703125" style="407" customWidth="1" outlineLevel="1"/>
    <col min="11" max="11" width="12.42578125" style="407" customWidth="1" outlineLevel="1"/>
    <col min="12" max="18" width="11.42578125" style="407" customWidth="1" outlineLevel="1"/>
    <col min="19" max="20" width="9.7109375" style="407" bestFit="1" customWidth="1" outlineLevel="1"/>
    <col min="21" max="21" width="11.42578125" style="407" customWidth="1" outlineLevel="1"/>
    <col min="22" max="22" width="12" style="407" customWidth="1" outlineLevel="1"/>
    <col min="23" max="24" width="11.42578125" style="407" customWidth="1" outlineLevel="1"/>
    <col min="25" max="25" width="12.140625" style="407" customWidth="1" outlineLevel="1"/>
    <col min="26" max="26" width="11" style="407" customWidth="1"/>
    <col min="27" max="1026" width="11.42578125" style="407"/>
  </cols>
  <sheetData>
    <row r="1" spans="1:26">
      <c r="A1" s="762" t="s">
        <v>390</v>
      </c>
      <c r="B1" s="762"/>
      <c r="C1" s="762"/>
      <c r="D1" s="1043"/>
    </row>
    <row r="2" spans="1:26">
      <c r="A2" s="763" t="s">
        <v>758</v>
      </c>
      <c r="B2" s="764"/>
      <c r="C2" s="764"/>
      <c r="D2" s="1044"/>
      <c r="E2" s="765"/>
      <c r="F2" s="765"/>
      <c r="G2" s="765"/>
      <c r="H2" s="765"/>
      <c r="I2" s="765"/>
    </row>
    <row r="3" spans="1:26">
      <c r="A3" s="763" t="s">
        <v>456</v>
      </c>
      <c r="B3" s="764"/>
      <c r="C3" s="764"/>
      <c r="D3" s="1044"/>
      <c r="E3" s="765"/>
      <c r="F3" s="765"/>
      <c r="G3" s="765"/>
      <c r="H3" s="765"/>
      <c r="I3" s="765"/>
    </row>
    <row r="4" spans="1:26" ht="24" customHeight="1">
      <c r="A4" s="765"/>
      <c r="B4" s="766" t="s">
        <v>759</v>
      </c>
      <c r="C4" s="767">
        <v>2020</v>
      </c>
      <c r="D4" s="766"/>
      <c r="E4" s="767">
        <v>2019</v>
      </c>
      <c r="F4" s="767"/>
      <c r="G4" s="767">
        <v>2018</v>
      </c>
      <c r="H4" s="768">
        <v>2017</v>
      </c>
      <c r="I4" s="767">
        <v>2016</v>
      </c>
      <c r="J4" s="769" t="s">
        <v>501</v>
      </c>
      <c r="K4" s="770" t="s">
        <v>760</v>
      </c>
      <c r="L4" s="459" t="s">
        <v>832</v>
      </c>
      <c r="M4" s="459" t="s">
        <v>280</v>
      </c>
      <c r="N4" s="459" t="s">
        <v>281</v>
      </c>
      <c r="O4" s="459" t="s">
        <v>432</v>
      </c>
      <c r="P4" s="459" t="s">
        <v>282</v>
      </c>
      <c r="Q4" s="459" t="s">
        <v>433</v>
      </c>
      <c r="R4" s="459" t="s">
        <v>761</v>
      </c>
      <c r="S4" s="459" t="s">
        <v>245</v>
      </c>
      <c r="T4" s="459" t="s">
        <v>247</v>
      </c>
      <c r="U4" s="459" t="s">
        <v>762</v>
      </c>
      <c r="V4" s="459" t="s">
        <v>259</v>
      </c>
      <c r="W4" s="459" t="s">
        <v>18</v>
      </c>
      <c r="X4" s="459" t="s">
        <v>19</v>
      </c>
      <c r="Y4" s="459" t="s">
        <v>763</v>
      </c>
    </row>
    <row r="5" spans="1:26">
      <c r="A5" s="763" t="s">
        <v>764</v>
      </c>
      <c r="B5" s="771"/>
      <c r="C5" s="771"/>
      <c r="D5" s="771"/>
      <c r="E5" s="763"/>
      <c r="F5" s="763"/>
      <c r="G5" s="763"/>
      <c r="H5" s="765"/>
      <c r="I5" s="765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  <c r="U5" s="414"/>
      <c r="V5" s="414"/>
      <c r="W5" s="414"/>
      <c r="X5" s="414"/>
      <c r="Y5" s="414"/>
      <c r="Z5" s="414"/>
    </row>
    <row r="6" spans="1:26">
      <c r="A6" s="765" t="s">
        <v>765</v>
      </c>
      <c r="B6" s="771"/>
      <c r="C6" s="969">
        <f>+'ESF20'!Q49</f>
        <v>25294583.178671967</v>
      </c>
      <c r="D6" s="771"/>
      <c r="E6" s="475">
        <v>20037270.469999999</v>
      </c>
      <c r="F6" s="475"/>
      <c r="G6" s="475">
        <f>+'ERI20'!H16+'ERI20'!H18</f>
        <v>9161391</v>
      </c>
      <c r="H6" s="475">
        <f>+'ERI20'!J16+'ERI20'!J18</f>
        <v>7513500.0499999896</v>
      </c>
      <c r="I6" s="475">
        <f>+'ERI20'!L16+'ERI20'!L18</f>
        <v>11332586</v>
      </c>
      <c r="J6" s="408">
        <f>+'Planilla final'!B71+'Planilla final'!B72</f>
        <v>27023893</v>
      </c>
      <c r="K6" s="408">
        <f>+'Planilla final'!C71+'Planilla final'!C72</f>
        <v>-3188003</v>
      </c>
      <c r="L6" s="408">
        <f>+'Planilla final'!D71+'Planilla final'!D72</f>
        <v>399181.97999999992</v>
      </c>
      <c r="M6" s="408">
        <f>+'Planilla final'!E71+'Planilla final'!E72</f>
        <v>0</v>
      </c>
      <c r="N6" s="408">
        <f>+'Planilla final'!F71+'Planilla final'!F72</f>
        <v>0</v>
      </c>
      <c r="O6" s="408">
        <f>+'Planilla final'!G71+'Planilla final'!G72</f>
        <v>331439.17</v>
      </c>
      <c r="P6" s="408">
        <f>+'Planilla final'!H71+'Planilla final'!H72</f>
        <v>0</v>
      </c>
      <c r="Q6" s="408">
        <f>+'Planilla final'!I71+'Planilla final'!I72</f>
        <v>0</v>
      </c>
      <c r="R6" s="408">
        <f>+'Planilla final'!J71+'Planilla final'!J72</f>
        <v>-40586.1</v>
      </c>
      <c r="S6" s="408">
        <f>+'Planilla final'!K71+'Planilla final'!K72</f>
        <v>198175</v>
      </c>
      <c r="T6" s="408">
        <f>+'Planilla final'!L71+'Planilla final'!L72</f>
        <v>193340</v>
      </c>
      <c r="U6" s="408">
        <f>+'Planilla final'!M71+'Planilla final'!M72</f>
        <v>-93297</v>
      </c>
      <c r="V6" s="408">
        <f>+'Planilla final'!N71</f>
        <v>29661783.050000008</v>
      </c>
      <c r="W6" s="408">
        <f>+'Planilla final'!O71</f>
        <v>0</v>
      </c>
      <c r="X6" s="408">
        <f>+'Planilla final'!P71</f>
        <v>0</v>
      </c>
      <c r="Y6" s="408">
        <f>+V6+X6-W6</f>
        <v>29661783.050000008</v>
      </c>
      <c r="Z6" s="544"/>
    </row>
    <row r="7" spans="1:26">
      <c r="A7" s="772" t="s">
        <v>766</v>
      </c>
      <c r="B7" s="773"/>
      <c r="C7" s="969"/>
      <c r="D7" s="773"/>
      <c r="E7" s="475"/>
      <c r="F7" s="475"/>
      <c r="G7" s="774"/>
      <c r="H7" s="475"/>
      <c r="I7" s="475"/>
      <c r="J7" s="414"/>
      <c r="K7" s="408"/>
      <c r="L7" s="408"/>
      <c r="M7" s="408"/>
      <c r="N7" s="408"/>
      <c r="O7" s="408"/>
      <c r="P7" s="408"/>
      <c r="Q7" s="408"/>
      <c r="R7" s="408"/>
      <c r="S7" s="408"/>
      <c r="T7" s="408"/>
      <c r="U7" s="408"/>
      <c r="V7" s="408">
        <f t="shared" ref="V7:V20" si="0">SUM(J7:U7)</f>
        <v>0</v>
      </c>
      <c r="W7" s="408"/>
      <c r="X7" s="408"/>
      <c r="Y7" s="408"/>
      <c r="Z7" s="544"/>
    </row>
    <row r="8" spans="1:26">
      <c r="A8" s="775" t="s">
        <v>767</v>
      </c>
      <c r="B8" s="773">
        <v>8</v>
      </c>
      <c r="C8" s="969">
        <f t="shared" ref="C8:C19" si="1">+Y8</f>
        <v>179838</v>
      </c>
      <c r="D8" s="773"/>
      <c r="E8" s="475">
        <v>49654</v>
      </c>
      <c r="F8" s="475"/>
      <c r="G8" s="475">
        <v>23826</v>
      </c>
      <c r="H8" s="475">
        <v>200000</v>
      </c>
      <c r="I8" s="475">
        <v>1319177</v>
      </c>
      <c r="J8" s="408">
        <v>177231</v>
      </c>
      <c r="K8" s="408"/>
      <c r="L8" s="408"/>
      <c r="M8" s="408"/>
      <c r="N8" s="408"/>
      <c r="O8" s="408"/>
      <c r="P8" s="408"/>
      <c r="Q8" s="408"/>
      <c r="R8" s="408"/>
      <c r="S8" s="408"/>
      <c r="T8" s="1055">
        <v>2607</v>
      </c>
      <c r="U8" s="408"/>
      <c r="V8" s="408">
        <f t="shared" si="0"/>
        <v>179838</v>
      </c>
      <c r="W8" s="408"/>
      <c r="X8" s="408"/>
      <c r="Y8" s="408">
        <f t="shared" ref="Y8:Y14" si="2">+V8+W8-X8</f>
        <v>179838</v>
      </c>
      <c r="Z8" s="408"/>
    </row>
    <row r="9" spans="1:26" hidden="1">
      <c r="A9" s="775" t="s">
        <v>768</v>
      </c>
      <c r="B9" s="773">
        <v>10</v>
      </c>
      <c r="C9" s="969">
        <f t="shared" si="1"/>
        <v>0</v>
      </c>
      <c r="D9" s="773"/>
      <c r="E9" s="475">
        <v>1812247</v>
      </c>
      <c r="F9" s="475"/>
      <c r="G9" s="475">
        <v>2607519</v>
      </c>
      <c r="H9" s="475">
        <v>2268000</v>
      </c>
      <c r="I9" s="475">
        <v>812940</v>
      </c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/>
      <c r="U9" s="408"/>
      <c r="V9" s="408">
        <f t="shared" si="0"/>
        <v>0</v>
      </c>
      <c r="W9" s="408"/>
      <c r="X9" s="408"/>
      <c r="Y9" s="408">
        <f t="shared" si="2"/>
        <v>0</v>
      </c>
      <c r="Z9" s="544"/>
    </row>
    <row r="10" spans="1:26">
      <c r="A10" s="775" t="s">
        <v>769</v>
      </c>
      <c r="B10" s="773">
        <v>12</v>
      </c>
      <c r="C10" s="969">
        <f t="shared" si="1"/>
        <v>19635020</v>
      </c>
      <c r="D10" s="773"/>
      <c r="E10" s="475">
        <v>21515684</v>
      </c>
      <c r="F10" s="475"/>
      <c r="G10" s="475">
        <v>21563431</v>
      </c>
      <c r="H10" s="475">
        <v>17782846</v>
      </c>
      <c r="I10" s="475">
        <v>17607176</v>
      </c>
      <c r="J10" s="408">
        <v>17423605</v>
      </c>
      <c r="K10" s="408">
        <v>1794410</v>
      </c>
      <c r="L10" s="408">
        <v>219425</v>
      </c>
      <c r="M10" s="408"/>
      <c r="N10" s="408"/>
      <c r="O10" s="408"/>
      <c r="P10" s="408"/>
      <c r="Q10" s="408"/>
      <c r="R10" s="408">
        <v>40586</v>
      </c>
      <c r="S10" s="408">
        <v>134304</v>
      </c>
      <c r="T10" s="408">
        <v>22690</v>
      </c>
      <c r="U10" s="408"/>
      <c r="V10" s="408">
        <f t="shared" si="0"/>
        <v>19635020</v>
      </c>
      <c r="W10" s="408"/>
      <c r="X10" s="408"/>
      <c r="Y10" s="408">
        <f t="shared" si="2"/>
        <v>19635020</v>
      </c>
      <c r="Z10" s="408"/>
    </row>
    <row r="11" spans="1:26">
      <c r="A11" s="775" t="s">
        <v>770</v>
      </c>
      <c r="B11" s="773">
        <v>13</v>
      </c>
      <c r="C11" s="969">
        <f t="shared" si="1"/>
        <v>39210</v>
      </c>
      <c r="D11" s="773"/>
      <c r="E11" s="475">
        <v>39210</v>
      </c>
      <c r="F11" s="475"/>
      <c r="G11" s="475">
        <v>37744</v>
      </c>
      <c r="H11" s="475">
        <v>39210</v>
      </c>
      <c r="I11" s="475">
        <v>39210</v>
      </c>
      <c r="J11" s="408">
        <v>39210</v>
      </c>
      <c r="K11" s="408"/>
      <c r="L11" s="408"/>
      <c r="M11" s="408"/>
      <c r="N11" s="408"/>
      <c r="O11" s="408"/>
      <c r="P11" s="408"/>
      <c r="Q11" s="408"/>
      <c r="R11" s="408"/>
      <c r="S11" s="408"/>
      <c r="T11" s="408"/>
      <c r="U11" s="408"/>
      <c r="V11" s="408">
        <f t="shared" si="0"/>
        <v>39210</v>
      </c>
      <c r="W11" s="408"/>
      <c r="X11" s="408"/>
      <c r="Y11" s="408">
        <f t="shared" si="2"/>
        <v>39210</v>
      </c>
      <c r="Z11" s="544"/>
    </row>
    <row r="12" spans="1:26">
      <c r="A12" s="775" t="s">
        <v>771</v>
      </c>
      <c r="B12" s="773">
        <v>17</v>
      </c>
      <c r="C12" s="969">
        <f t="shared" si="1"/>
        <v>1808437</v>
      </c>
      <c r="D12" s="773"/>
      <c r="E12" s="776">
        <v>1484293</v>
      </c>
      <c r="F12" s="776"/>
      <c r="G12" s="475">
        <v>0</v>
      </c>
      <c r="H12" s="475"/>
      <c r="I12" s="475"/>
      <c r="J12" s="408">
        <v>1808437</v>
      </c>
      <c r="K12" s="408"/>
      <c r="L12" s="408"/>
      <c r="M12" s="408"/>
      <c r="N12" s="408"/>
      <c r="O12" s="408"/>
      <c r="P12" s="408"/>
      <c r="Q12" s="408"/>
      <c r="R12" s="408"/>
      <c r="S12" s="408"/>
      <c r="T12" s="408"/>
      <c r="U12" s="408"/>
      <c r="V12" s="408">
        <f t="shared" si="0"/>
        <v>1808437</v>
      </c>
      <c r="W12" s="408"/>
      <c r="X12" s="408"/>
      <c r="Y12" s="408">
        <f t="shared" si="2"/>
        <v>1808437</v>
      </c>
      <c r="Z12" s="544"/>
    </row>
    <row r="13" spans="1:26" hidden="1">
      <c r="A13" s="775" t="s">
        <v>772</v>
      </c>
      <c r="B13" s="773"/>
      <c r="C13" s="969">
        <f t="shared" si="1"/>
        <v>0</v>
      </c>
      <c r="D13" s="773"/>
      <c r="E13" s="475">
        <v>0</v>
      </c>
      <c r="F13" s="475"/>
      <c r="G13" s="475"/>
      <c r="H13" s="475">
        <v>0</v>
      </c>
      <c r="I13" s="475">
        <v>169491</v>
      </c>
      <c r="J13" s="408"/>
      <c r="K13" s="408"/>
      <c r="L13" s="408"/>
      <c r="M13" s="408"/>
      <c r="N13" s="408"/>
      <c r="O13" s="408"/>
      <c r="P13" s="408"/>
      <c r="Q13" s="408"/>
      <c r="R13" s="408"/>
      <c r="S13" s="408"/>
      <c r="T13" s="408"/>
      <c r="U13" s="408"/>
      <c r="V13" s="408">
        <f t="shared" si="0"/>
        <v>0</v>
      </c>
      <c r="W13" s="408"/>
      <c r="X13" s="408"/>
      <c r="Y13" s="408">
        <f t="shared" si="2"/>
        <v>0</v>
      </c>
      <c r="Z13" s="414"/>
    </row>
    <row r="14" spans="1:26">
      <c r="A14" s="775" t="s">
        <v>773</v>
      </c>
      <c r="B14" s="773">
        <v>14</v>
      </c>
      <c r="C14" s="969">
        <f t="shared" si="1"/>
        <v>2380394</v>
      </c>
      <c r="D14" s="773"/>
      <c r="E14" s="475">
        <v>2627915</v>
      </c>
      <c r="F14" s="475"/>
      <c r="G14" s="475">
        <v>2185889</v>
      </c>
      <c r="H14" s="475">
        <v>2038777</v>
      </c>
      <c r="I14" s="475">
        <v>2759959</v>
      </c>
      <c r="J14" s="408">
        <v>2380394</v>
      </c>
      <c r="K14" s="408"/>
      <c r="L14" s="408"/>
      <c r="M14" s="408"/>
      <c r="N14" s="408"/>
      <c r="O14" s="408"/>
      <c r="P14" s="408"/>
      <c r="Q14" s="408"/>
      <c r="R14" s="408"/>
      <c r="S14" s="408"/>
      <c r="T14" s="408"/>
      <c r="U14" s="408"/>
      <c r="V14" s="408">
        <f t="shared" si="0"/>
        <v>2380394</v>
      </c>
      <c r="W14" s="408"/>
      <c r="X14" s="408"/>
      <c r="Y14" s="408">
        <f t="shared" si="2"/>
        <v>2380394</v>
      </c>
      <c r="Z14" s="414"/>
    </row>
    <row r="15" spans="1:26">
      <c r="A15" s="775" t="s">
        <v>774</v>
      </c>
      <c r="B15" s="773">
        <v>16</v>
      </c>
      <c r="C15" s="969">
        <f t="shared" si="1"/>
        <v>468128</v>
      </c>
      <c r="D15" s="773"/>
      <c r="E15" s="1048">
        <v>-268373.46999999881</v>
      </c>
      <c r="F15" s="475"/>
      <c r="G15" s="475">
        <v>0</v>
      </c>
      <c r="H15" s="475">
        <v>-42502</v>
      </c>
      <c r="I15" s="475">
        <v>266232</v>
      </c>
      <c r="J15" s="408"/>
      <c r="K15" s="408"/>
      <c r="L15" s="408"/>
      <c r="M15" s="408"/>
      <c r="N15" s="408"/>
      <c r="O15" s="408"/>
      <c r="P15" s="408"/>
      <c r="Q15" s="408"/>
      <c r="R15" s="408"/>
      <c r="S15" s="408"/>
      <c r="T15" s="408"/>
      <c r="U15" s="408"/>
      <c r="V15" s="408">
        <f t="shared" si="0"/>
        <v>0</v>
      </c>
      <c r="W15" s="408"/>
      <c r="X15" s="408">
        <f>+'AD ESF'!E318</f>
        <v>468128</v>
      </c>
      <c r="Y15" s="408">
        <f>+V15+X15</f>
        <v>468128</v>
      </c>
      <c r="Z15" s="414"/>
    </row>
    <row r="16" spans="1:26">
      <c r="A16" s="775" t="s">
        <v>775</v>
      </c>
      <c r="B16" s="773"/>
      <c r="C16" s="969">
        <f>-'ERI20'!D18</f>
        <v>4837640</v>
      </c>
      <c r="D16" s="773"/>
      <c r="E16" s="475">
        <v>4208157</v>
      </c>
      <c r="F16" s="475"/>
      <c r="G16" s="475">
        <v>2417615</v>
      </c>
      <c r="H16" s="475">
        <f>-'ERI20'!J18</f>
        <v>1591304</v>
      </c>
      <c r="I16" s="475">
        <v>1759101</v>
      </c>
      <c r="J16" s="408">
        <v>4768922</v>
      </c>
      <c r="K16" s="408"/>
      <c r="L16" s="408"/>
      <c r="M16" s="408"/>
      <c r="N16" s="408"/>
      <c r="O16" s="408"/>
      <c r="P16" s="408"/>
      <c r="Q16" s="408"/>
      <c r="R16" s="408"/>
      <c r="S16" s="408">
        <f>-'Planilla final'!K72</f>
        <v>34972</v>
      </c>
      <c r="T16" s="408">
        <v>33746</v>
      </c>
      <c r="U16" s="408"/>
      <c r="V16" s="408">
        <f t="shared" si="0"/>
        <v>4837640</v>
      </c>
      <c r="W16" s="408"/>
      <c r="X16" s="408"/>
      <c r="Y16" s="408">
        <f>+V16+W16-X16</f>
        <v>4837640</v>
      </c>
      <c r="Z16" s="544"/>
    </row>
    <row r="17" spans="1:1026">
      <c r="A17" s="775" t="s">
        <v>776</v>
      </c>
      <c r="B17" s="773">
        <v>25</v>
      </c>
      <c r="C17" s="1052">
        <f>+Y17+'ESF20'!C56</f>
        <v>-893979</v>
      </c>
      <c r="D17" s="773"/>
      <c r="E17" s="475">
        <v>2973618</v>
      </c>
      <c r="F17" s="475"/>
      <c r="G17" s="475">
        <v>1297753</v>
      </c>
      <c r="H17" s="475">
        <v>1546045</v>
      </c>
      <c r="I17" s="475">
        <v>1249002</v>
      </c>
      <c r="J17" s="408">
        <f>323473+321399</f>
        <v>644872</v>
      </c>
      <c r="K17" s="408"/>
      <c r="L17" s="408"/>
      <c r="M17" s="408"/>
      <c r="N17" s="408"/>
      <c r="O17" s="408"/>
      <c r="P17" s="408"/>
      <c r="Q17" s="408"/>
      <c r="R17" s="408"/>
      <c r="S17" s="408"/>
      <c r="T17" s="408">
        <v>4883</v>
      </c>
      <c r="U17" s="408"/>
      <c r="V17" s="408">
        <f t="shared" si="0"/>
        <v>649755</v>
      </c>
      <c r="W17" s="408"/>
      <c r="X17" s="408"/>
      <c r="Y17" s="408">
        <f>+V17+W17-X17</f>
        <v>649755</v>
      </c>
      <c r="Z17" s="414"/>
    </row>
    <row r="18" spans="1:1026">
      <c r="A18" s="775" t="s">
        <v>777</v>
      </c>
      <c r="B18" s="773"/>
      <c r="C18" s="1042">
        <f>+'ESF20'!R24</f>
        <v>11250279</v>
      </c>
      <c r="D18" s="773"/>
      <c r="E18" s="475">
        <v>6346670</v>
      </c>
      <c r="F18" s="475"/>
      <c r="G18" s="475">
        <v>7559526</v>
      </c>
      <c r="H18" s="475">
        <v>3074772</v>
      </c>
      <c r="I18" s="475">
        <v>5177025</v>
      </c>
      <c r="J18" s="1032"/>
      <c r="K18" s="408"/>
      <c r="L18" s="408"/>
      <c r="M18" s="408"/>
      <c r="N18" s="408"/>
      <c r="O18" s="408"/>
      <c r="P18" s="408"/>
      <c r="Q18" s="408"/>
      <c r="R18" s="408"/>
      <c r="S18" s="408"/>
      <c r="T18" s="408"/>
      <c r="U18" s="408"/>
      <c r="V18" s="408">
        <f t="shared" si="0"/>
        <v>0</v>
      </c>
      <c r="W18" s="408"/>
      <c r="X18" s="408"/>
      <c r="Y18" s="408">
        <f>+V18+W18-X18</f>
        <v>0</v>
      </c>
      <c r="Z18" s="414"/>
    </row>
    <row r="19" spans="1:1026">
      <c r="A19" s="775" t="s">
        <v>778</v>
      </c>
      <c r="B19" s="773"/>
      <c r="C19" s="969">
        <f t="shared" si="1"/>
        <v>2260361</v>
      </c>
      <c r="D19" s="773"/>
      <c r="E19" s="475">
        <v>-1770198</v>
      </c>
      <c r="F19" s="475"/>
      <c r="G19" s="475">
        <f>368434-1986316</f>
        <v>-1617882</v>
      </c>
      <c r="H19" s="475">
        <v>446968</v>
      </c>
      <c r="I19" s="475">
        <v>0</v>
      </c>
      <c r="J19" s="408">
        <f>+'ESF20'!Q43</f>
        <v>2260361</v>
      </c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>
        <f t="shared" si="0"/>
        <v>2260361</v>
      </c>
      <c r="W19" s="408"/>
      <c r="X19" s="408"/>
      <c r="Y19" s="408">
        <f>+V19+W19-X19</f>
        <v>2260361</v>
      </c>
      <c r="Z19" s="414"/>
    </row>
    <row r="20" spans="1:1026">
      <c r="A20" s="1057" t="s">
        <v>843</v>
      </c>
      <c r="B20" s="1058"/>
      <c r="C20" s="1042">
        <f>+'ESF20'!Q39</f>
        <v>-21629181</v>
      </c>
      <c r="D20" s="773"/>
      <c r="E20" s="475">
        <v>0</v>
      </c>
      <c r="F20" s="475"/>
      <c r="G20" s="475">
        <v>-261500</v>
      </c>
      <c r="H20" s="475"/>
      <c r="I20" s="475">
        <v>0</v>
      </c>
      <c r="J20" s="408">
        <v>0</v>
      </c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>
        <f t="shared" si="0"/>
        <v>0</v>
      </c>
      <c r="W20" s="408"/>
      <c r="X20" s="408"/>
      <c r="Y20" s="408">
        <f>+V20+W20-X20</f>
        <v>0</v>
      </c>
      <c r="Z20" s="414"/>
    </row>
    <row r="21" spans="1:1026" s="975" customFormat="1">
      <c r="A21" s="970"/>
      <c r="B21" s="971"/>
      <c r="C21" s="972">
        <f t="shared" ref="C21:D21" si="3">+SUM(C6:C20)</f>
        <v>45630730.178671971</v>
      </c>
      <c r="D21" s="973">
        <f t="shared" si="3"/>
        <v>0</v>
      </c>
      <c r="E21" s="972">
        <v>59056147</v>
      </c>
      <c r="F21" s="973"/>
      <c r="G21" s="972">
        <f t="shared" ref="G21:Y21" si="4">+SUM(G6:G20)</f>
        <v>44975312</v>
      </c>
      <c r="H21" s="973">
        <f t="shared" si="4"/>
        <v>36458920.04999999</v>
      </c>
      <c r="I21" s="973">
        <f t="shared" si="4"/>
        <v>42491899</v>
      </c>
      <c r="J21" s="973">
        <f t="shared" si="4"/>
        <v>56526925</v>
      </c>
      <c r="K21" s="973">
        <f t="shared" si="4"/>
        <v>-1393593</v>
      </c>
      <c r="L21" s="973">
        <f t="shared" si="4"/>
        <v>618606.98</v>
      </c>
      <c r="M21" s="973">
        <f t="shared" si="4"/>
        <v>0</v>
      </c>
      <c r="N21" s="973">
        <f t="shared" si="4"/>
        <v>0</v>
      </c>
      <c r="O21" s="973">
        <f t="shared" si="4"/>
        <v>331439.17</v>
      </c>
      <c r="P21" s="973">
        <f t="shared" si="4"/>
        <v>0</v>
      </c>
      <c r="Q21" s="973">
        <f t="shared" si="4"/>
        <v>0</v>
      </c>
      <c r="R21" s="973">
        <f t="shared" si="4"/>
        <v>-9.9999999998544808E-2</v>
      </c>
      <c r="S21" s="973">
        <f t="shared" si="4"/>
        <v>367451</v>
      </c>
      <c r="T21" s="973">
        <f t="shared" si="4"/>
        <v>257266</v>
      </c>
      <c r="U21" s="973">
        <f t="shared" si="4"/>
        <v>-93297</v>
      </c>
      <c r="V21" s="973">
        <f t="shared" si="4"/>
        <v>61452438.050000012</v>
      </c>
      <c r="W21" s="973">
        <f t="shared" si="4"/>
        <v>0</v>
      </c>
      <c r="X21" s="973"/>
      <c r="Y21" s="973">
        <f t="shared" si="4"/>
        <v>61920566.050000012</v>
      </c>
      <c r="Z21" s="974"/>
      <c r="AA21" s="939"/>
      <c r="AB21" s="939"/>
      <c r="AC21" s="939"/>
      <c r="AD21" s="939"/>
      <c r="AE21" s="939"/>
      <c r="AF21" s="939"/>
      <c r="AG21" s="939"/>
      <c r="AH21" s="939"/>
      <c r="AI21" s="939"/>
      <c r="AJ21" s="939"/>
      <c r="AK21" s="939"/>
      <c r="AL21" s="939"/>
      <c r="AM21" s="939"/>
      <c r="AN21" s="939"/>
      <c r="AO21" s="939"/>
      <c r="AP21" s="939"/>
      <c r="AQ21" s="939"/>
      <c r="AR21" s="939"/>
      <c r="AS21" s="939"/>
      <c r="AT21" s="939"/>
      <c r="AU21" s="939"/>
      <c r="AV21" s="939"/>
      <c r="AW21" s="939"/>
      <c r="AX21" s="939"/>
      <c r="AY21" s="939"/>
      <c r="AZ21" s="939"/>
      <c r="BA21" s="939"/>
      <c r="BB21" s="939"/>
      <c r="BC21" s="939"/>
      <c r="BD21" s="939"/>
      <c r="BE21" s="939"/>
      <c r="BF21" s="939"/>
      <c r="BG21" s="939"/>
      <c r="BH21" s="939"/>
      <c r="BI21" s="939"/>
      <c r="BJ21" s="939"/>
      <c r="BK21" s="939"/>
      <c r="BL21" s="939"/>
      <c r="BM21" s="939"/>
      <c r="BN21" s="939"/>
      <c r="BO21" s="939"/>
      <c r="BP21" s="939"/>
      <c r="BQ21" s="939"/>
      <c r="BR21" s="939"/>
      <c r="BS21" s="939"/>
      <c r="BT21" s="939"/>
      <c r="BU21" s="939"/>
      <c r="BV21" s="939"/>
      <c r="BW21" s="939"/>
      <c r="BX21" s="939"/>
      <c r="BY21" s="939"/>
      <c r="BZ21" s="939"/>
      <c r="CA21" s="939"/>
      <c r="CB21" s="939"/>
      <c r="CC21" s="939"/>
      <c r="CD21" s="939"/>
      <c r="CE21" s="939"/>
      <c r="CF21" s="939"/>
      <c r="CG21" s="939"/>
      <c r="CH21" s="939"/>
      <c r="CI21" s="939"/>
      <c r="CJ21" s="939"/>
      <c r="CK21" s="939"/>
      <c r="CL21" s="939"/>
      <c r="CM21" s="939"/>
      <c r="CN21" s="939"/>
      <c r="CO21" s="939"/>
      <c r="CP21" s="939"/>
      <c r="CQ21" s="939"/>
      <c r="CR21" s="939"/>
      <c r="CS21" s="939"/>
      <c r="CT21" s="939"/>
      <c r="CU21" s="939"/>
      <c r="CV21" s="939"/>
      <c r="CW21" s="939"/>
      <c r="CX21" s="939"/>
      <c r="CY21" s="939"/>
      <c r="CZ21" s="939"/>
      <c r="DA21" s="939"/>
      <c r="DB21" s="939"/>
      <c r="DC21" s="939"/>
      <c r="DD21" s="939"/>
      <c r="DE21" s="939"/>
      <c r="DF21" s="939"/>
      <c r="DG21" s="939"/>
      <c r="DH21" s="939"/>
      <c r="DI21" s="939"/>
      <c r="DJ21" s="939"/>
      <c r="DK21" s="939"/>
      <c r="DL21" s="939"/>
      <c r="DM21" s="939"/>
      <c r="DN21" s="939"/>
      <c r="DO21" s="939"/>
      <c r="DP21" s="939"/>
      <c r="DQ21" s="939"/>
      <c r="DR21" s="939"/>
      <c r="DS21" s="939"/>
      <c r="DT21" s="939"/>
      <c r="DU21" s="939"/>
      <c r="DV21" s="939"/>
      <c r="DW21" s="939"/>
      <c r="DX21" s="939"/>
      <c r="DY21" s="939"/>
      <c r="DZ21" s="939"/>
      <c r="EA21" s="939"/>
      <c r="EB21" s="939"/>
      <c r="EC21" s="939"/>
      <c r="ED21" s="939"/>
      <c r="EE21" s="939"/>
      <c r="EF21" s="939"/>
      <c r="EG21" s="939"/>
      <c r="EH21" s="939"/>
      <c r="EI21" s="939"/>
      <c r="EJ21" s="939"/>
      <c r="EK21" s="939"/>
      <c r="EL21" s="939"/>
      <c r="EM21" s="939"/>
      <c r="EN21" s="939"/>
      <c r="EO21" s="939"/>
      <c r="EP21" s="939"/>
      <c r="EQ21" s="939"/>
      <c r="ER21" s="939"/>
      <c r="ES21" s="939"/>
      <c r="ET21" s="939"/>
      <c r="EU21" s="939"/>
      <c r="EV21" s="939"/>
      <c r="EW21" s="939"/>
      <c r="EX21" s="939"/>
      <c r="EY21" s="939"/>
      <c r="EZ21" s="939"/>
      <c r="FA21" s="939"/>
      <c r="FB21" s="939"/>
      <c r="FC21" s="939"/>
      <c r="FD21" s="939"/>
      <c r="FE21" s="939"/>
      <c r="FF21" s="939"/>
      <c r="FG21" s="939"/>
      <c r="FH21" s="939"/>
      <c r="FI21" s="939"/>
      <c r="FJ21" s="939"/>
      <c r="FK21" s="939"/>
      <c r="FL21" s="939"/>
      <c r="FM21" s="939"/>
      <c r="FN21" s="939"/>
      <c r="FO21" s="939"/>
      <c r="FP21" s="939"/>
      <c r="FQ21" s="939"/>
      <c r="FR21" s="939"/>
      <c r="FS21" s="939"/>
      <c r="FT21" s="939"/>
      <c r="FU21" s="939"/>
      <c r="FV21" s="939"/>
      <c r="FW21" s="939"/>
      <c r="FX21" s="939"/>
      <c r="FY21" s="939"/>
      <c r="FZ21" s="939"/>
      <c r="GA21" s="939"/>
      <c r="GB21" s="939"/>
      <c r="GC21" s="939"/>
      <c r="GD21" s="939"/>
      <c r="GE21" s="939"/>
      <c r="GF21" s="939"/>
      <c r="GG21" s="939"/>
      <c r="GH21" s="939"/>
      <c r="GI21" s="939"/>
      <c r="GJ21" s="939"/>
      <c r="GK21" s="939"/>
      <c r="GL21" s="939"/>
      <c r="GM21" s="939"/>
      <c r="GN21" s="939"/>
      <c r="GO21" s="939"/>
      <c r="GP21" s="939"/>
      <c r="GQ21" s="939"/>
      <c r="GR21" s="939"/>
      <c r="GS21" s="939"/>
      <c r="GT21" s="939"/>
      <c r="GU21" s="939"/>
      <c r="GV21" s="939"/>
      <c r="GW21" s="939"/>
      <c r="GX21" s="939"/>
      <c r="GY21" s="939"/>
      <c r="GZ21" s="939"/>
      <c r="HA21" s="939"/>
      <c r="HB21" s="939"/>
      <c r="HC21" s="939"/>
      <c r="HD21" s="939"/>
      <c r="HE21" s="939"/>
      <c r="HF21" s="939"/>
      <c r="HG21" s="939"/>
      <c r="HH21" s="939"/>
      <c r="HI21" s="939"/>
      <c r="HJ21" s="939"/>
      <c r="HK21" s="939"/>
      <c r="HL21" s="939"/>
      <c r="HM21" s="939"/>
      <c r="HN21" s="939"/>
      <c r="HO21" s="939"/>
      <c r="HP21" s="939"/>
      <c r="HQ21" s="939"/>
      <c r="HR21" s="939"/>
      <c r="HS21" s="939"/>
      <c r="HT21" s="939"/>
      <c r="HU21" s="939"/>
      <c r="HV21" s="939"/>
      <c r="HW21" s="939"/>
      <c r="HX21" s="939"/>
      <c r="HY21" s="939"/>
      <c r="HZ21" s="939"/>
      <c r="IA21" s="939"/>
      <c r="IB21" s="939"/>
      <c r="IC21" s="939"/>
      <c r="ID21" s="939"/>
      <c r="IE21" s="939"/>
      <c r="IF21" s="939"/>
      <c r="IG21" s="939"/>
      <c r="IH21" s="939"/>
      <c r="II21" s="939"/>
      <c r="IJ21" s="939"/>
      <c r="IK21" s="939"/>
      <c r="IL21" s="939"/>
      <c r="IM21" s="939"/>
      <c r="IN21" s="939"/>
      <c r="IO21" s="939"/>
      <c r="IP21" s="939"/>
      <c r="IQ21" s="939"/>
      <c r="IR21" s="939"/>
      <c r="IS21" s="939"/>
      <c r="IT21" s="939"/>
      <c r="IU21" s="939"/>
      <c r="IV21" s="939"/>
      <c r="IW21" s="939"/>
      <c r="IX21" s="939"/>
      <c r="IY21" s="939"/>
      <c r="IZ21" s="939"/>
      <c r="JA21" s="939"/>
      <c r="JB21" s="939"/>
      <c r="JC21" s="939"/>
      <c r="JD21" s="939"/>
      <c r="JE21" s="939"/>
      <c r="JF21" s="939"/>
      <c r="JG21" s="939"/>
      <c r="JH21" s="939"/>
      <c r="JI21" s="939"/>
      <c r="JJ21" s="939"/>
      <c r="JK21" s="939"/>
      <c r="JL21" s="939"/>
      <c r="JM21" s="939"/>
      <c r="JN21" s="939"/>
      <c r="JO21" s="939"/>
      <c r="JP21" s="939"/>
      <c r="JQ21" s="939"/>
      <c r="JR21" s="939"/>
      <c r="JS21" s="939"/>
      <c r="JT21" s="939"/>
      <c r="JU21" s="939"/>
      <c r="JV21" s="939"/>
      <c r="JW21" s="939"/>
      <c r="JX21" s="939"/>
      <c r="JY21" s="939"/>
      <c r="JZ21" s="939"/>
      <c r="KA21" s="939"/>
      <c r="KB21" s="939"/>
      <c r="KC21" s="939"/>
      <c r="KD21" s="939"/>
      <c r="KE21" s="939"/>
      <c r="KF21" s="939"/>
      <c r="KG21" s="939"/>
      <c r="KH21" s="939"/>
      <c r="KI21" s="939"/>
      <c r="KJ21" s="939"/>
      <c r="KK21" s="939"/>
      <c r="KL21" s="939"/>
      <c r="KM21" s="939"/>
      <c r="KN21" s="939"/>
      <c r="KO21" s="939"/>
      <c r="KP21" s="939"/>
      <c r="KQ21" s="939"/>
      <c r="KR21" s="939"/>
      <c r="KS21" s="939"/>
      <c r="KT21" s="939"/>
      <c r="KU21" s="939"/>
      <c r="KV21" s="939"/>
      <c r="KW21" s="939"/>
      <c r="KX21" s="939"/>
      <c r="KY21" s="939"/>
      <c r="KZ21" s="939"/>
      <c r="LA21" s="939"/>
      <c r="LB21" s="939"/>
      <c r="LC21" s="939"/>
      <c r="LD21" s="939"/>
      <c r="LE21" s="939"/>
      <c r="LF21" s="939"/>
      <c r="LG21" s="939"/>
      <c r="LH21" s="939"/>
      <c r="LI21" s="939"/>
      <c r="LJ21" s="939"/>
      <c r="LK21" s="939"/>
      <c r="LL21" s="939"/>
      <c r="LM21" s="939"/>
      <c r="LN21" s="939"/>
      <c r="LO21" s="939"/>
      <c r="LP21" s="939"/>
      <c r="LQ21" s="939"/>
      <c r="LR21" s="939"/>
      <c r="LS21" s="939"/>
      <c r="LT21" s="939"/>
      <c r="LU21" s="939"/>
      <c r="LV21" s="939"/>
      <c r="LW21" s="939"/>
      <c r="LX21" s="939"/>
      <c r="LY21" s="939"/>
      <c r="LZ21" s="939"/>
      <c r="MA21" s="939"/>
      <c r="MB21" s="939"/>
      <c r="MC21" s="939"/>
      <c r="MD21" s="939"/>
      <c r="ME21" s="939"/>
      <c r="MF21" s="939"/>
      <c r="MG21" s="939"/>
      <c r="MH21" s="939"/>
      <c r="MI21" s="939"/>
      <c r="MJ21" s="939"/>
      <c r="MK21" s="939"/>
      <c r="ML21" s="939"/>
      <c r="MM21" s="939"/>
      <c r="MN21" s="939"/>
      <c r="MO21" s="939"/>
      <c r="MP21" s="939"/>
      <c r="MQ21" s="939"/>
      <c r="MR21" s="939"/>
      <c r="MS21" s="939"/>
      <c r="MT21" s="939"/>
      <c r="MU21" s="939"/>
      <c r="MV21" s="939"/>
      <c r="MW21" s="939"/>
      <c r="MX21" s="939"/>
      <c r="MY21" s="939"/>
      <c r="MZ21" s="939"/>
      <c r="NA21" s="939"/>
      <c r="NB21" s="939"/>
      <c r="NC21" s="939"/>
      <c r="ND21" s="939"/>
      <c r="NE21" s="939"/>
      <c r="NF21" s="939"/>
      <c r="NG21" s="939"/>
      <c r="NH21" s="939"/>
      <c r="NI21" s="939"/>
      <c r="NJ21" s="939"/>
      <c r="NK21" s="939"/>
      <c r="NL21" s="939"/>
      <c r="NM21" s="939"/>
      <c r="NN21" s="939"/>
      <c r="NO21" s="939"/>
      <c r="NP21" s="939"/>
      <c r="NQ21" s="939"/>
      <c r="NR21" s="939"/>
      <c r="NS21" s="939"/>
      <c r="NT21" s="939"/>
      <c r="NU21" s="939"/>
      <c r="NV21" s="939"/>
      <c r="NW21" s="939"/>
      <c r="NX21" s="939"/>
      <c r="NY21" s="939"/>
      <c r="NZ21" s="939"/>
      <c r="OA21" s="939"/>
      <c r="OB21" s="939"/>
      <c r="OC21" s="939"/>
      <c r="OD21" s="939"/>
      <c r="OE21" s="939"/>
      <c r="OF21" s="939"/>
      <c r="OG21" s="939"/>
      <c r="OH21" s="939"/>
      <c r="OI21" s="939"/>
      <c r="OJ21" s="939"/>
      <c r="OK21" s="939"/>
      <c r="OL21" s="939"/>
      <c r="OM21" s="939"/>
      <c r="ON21" s="939"/>
      <c r="OO21" s="939"/>
      <c r="OP21" s="939"/>
      <c r="OQ21" s="939"/>
      <c r="OR21" s="939"/>
      <c r="OS21" s="939"/>
      <c r="OT21" s="939"/>
      <c r="OU21" s="939"/>
      <c r="OV21" s="939"/>
      <c r="OW21" s="939"/>
      <c r="OX21" s="939"/>
      <c r="OY21" s="939"/>
      <c r="OZ21" s="939"/>
      <c r="PA21" s="939"/>
      <c r="PB21" s="939"/>
      <c r="PC21" s="939"/>
      <c r="PD21" s="939"/>
      <c r="PE21" s="939"/>
      <c r="PF21" s="939"/>
      <c r="PG21" s="939"/>
      <c r="PH21" s="939"/>
      <c r="PI21" s="939"/>
      <c r="PJ21" s="939"/>
      <c r="PK21" s="939"/>
      <c r="PL21" s="939"/>
      <c r="PM21" s="939"/>
      <c r="PN21" s="939"/>
      <c r="PO21" s="939"/>
      <c r="PP21" s="939"/>
      <c r="PQ21" s="939"/>
      <c r="PR21" s="939"/>
      <c r="PS21" s="939"/>
      <c r="PT21" s="939"/>
      <c r="PU21" s="939"/>
      <c r="PV21" s="939"/>
      <c r="PW21" s="939"/>
      <c r="PX21" s="939"/>
      <c r="PY21" s="939"/>
      <c r="PZ21" s="939"/>
      <c r="QA21" s="939"/>
      <c r="QB21" s="939"/>
      <c r="QC21" s="939"/>
      <c r="QD21" s="939"/>
      <c r="QE21" s="939"/>
      <c r="QF21" s="939"/>
      <c r="QG21" s="939"/>
      <c r="QH21" s="939"/>
      <c r="QI21" s="939"/>
      <c r="QJ21" s="939"/>
      <c r="QK21" s="939"/>
      <c r="QL21" s="939"/>
      <c r="QM21" s="939"/>
      <c r="QN21" s="939"/>
      <c r="QO21" s="939"/>
      <c r="QP21" s="939"/>
      <c r="QQ21" s="939"/>
      <c r="QR21" s="939"/>
      <c r="QS21" s="939"/>
      <c r="QT21" s="939"/>
      <c r="QU21" s="939"/>
      <c r="QV21" s="939"/>
      <c r="QW21" s="939"/>
      <c r="QX21" s="939"/>
      <c r="QY21" s="939"/>
      <c r="QZ21" s="939"/>
      <c r="RA21" s="939"/>
      <c r="RB21" s="939"/>
      <c r="RC21" s="939"/>
      <c r="RD21" s="939"/>
      <c r="RE21" s="939"/>
      <c r="RF21" s="939"/>
      <c r="RG21" s="939"/>
      <c r="RH21" s="939"/>
      <c r="RI21" s="939"/>
      <c r="RJ21" s="939"/>
      <c r="RK21" s="939"/>
      <c r="RL21" s="939"/>
      <c r="RM21" s="939"/>
      <c r="RN21" s="939"/>
      <c r="RO21" s="939"/>
      <c r="RP21" s="939"/>
      <c r="RQ21" s="939"/>
      <c r="RR21" s="939"/>
      <c r="RS21" s="939"/>
      <c r="RT21" s="939"/>
      <c r="RU21" s="939"/>
      <c r="RV21" s="939"/>
      <c r="RW21" s="939"/>
      <c r="RX21" s="939"/>
      <c r="RY21" s="939"/>
      <c r="RZ21" s="939"/>
      <c r="SA21" s="939"/>
      <c r="SB21" s="939"/>
      <c r="SC21" s="939"/>
      <c r="SD21" s="939"/>
      <c r="SE21" s="939"/>
      <c r="SF21" s="939"/>
      <c r="SG21" s="939"/>
      <c r="SH21" s="939"/>
      <c r="SI21" s="939"/>
      <c r="SJ21" s="939"/>
      <c r="SK21" s="939"/>
      <c r="SL21" s="939"/>
      <c r="SM21" s="939"/>
      <c r="SN21" s="939"/>
      <c r="SO21" s="939"/>
      <c r="SP21" s="939"/>
      <c r="SQ21" s="939"/>
      <c r="SR21" s="939"/>
      <c r="SS21" s="939"/>
      <c r="ST21" s="939"/>
      <c r="SU21" s="939"/>
      <c r="SV21" s="939"/>
      <c r="SW21" s="939"/>
      <c r="SX21" s="939"/>
      <c r="SY21" s="939"/>
      <c r="SZ21" s="939"/>
      <c r="TA21" s="939"/>
      <c r="TB21" s="939"/>
      <c r="TC21" s="939"/>
      <c r="TD21" s="939"/>
      <c r="TE21" s="939"/>
      <c r="TF21" s="939"/>
      <c r="TG21" s="939"/>
      <c r="TH21" s="939"/>
      <c r="TI21" s="939"/>
      <c r="TJ21" s="939"/>
      <c r="TK21" s="939"/>
      <c r="TL21" s="939"/>
      <c r="TM21" s="939"/>
      <c r="TN21" s="939"/>
      <c r="TO21" s="939"/>
      <c r="TP21" s="939"/>
      <c r="TQ21" s="939"/>
      <c r="TR21" s="939"/>
      <c r="TS21" s="939"/>
      <c r="TT21" s="939"/>
      <c r="TU21" s="939"/>
      <c r="TV21" s="939"/>
      <c r="TW21" s="939"/>
      <c r="TX21" s="939"/>
      <c r="TY21" s="939"/>
      <c r="TZ21" s="939"/>
      <c r="UA21" s="939"/>
      <c r="UB21" s="939"/>
      <c r="UC21" s="939"/>
      <c r="UD21" s="939"/>
      <c r="UE21" s="939"/>
      <c r="UF21" s="939"/>
      <c r="UG21" s="939"/>
      <c r="UH21" s="939"/>
      <c r="UI21" s="939"/>
      <c r="UJ21" s="939"/>
      <c r="UK21" s="939"/>
      <c r="UL21" s="939"/>
      <c r="UM21" s="939"/>
      <c r="UN21" s="939"/>
      <c r="UO21" s="939"/>
      <c r="UP21" s="939"/>
      <c r="UQ21" s="939"/>
      <c r="UR21" s="939"/>
      <c r="US21" s="939"/>
      <c r="UT21" s="939"/>
      <c r="UU21" s="939"/>
      <c r="UV21" s="939"/>
      <c r="UW21" s="939"/>
      <c r="UX21" s="939"/>
      <c r="UY21" s="939"/>
      <c r="UZ21" s="939"/>
      <c r="VA21" s="939"/>
      <c r="VB21" s="939"/>
      <c r="VC21" s="939"/>
      <c r="VD21" s="939"/>
      <c r="VE21" s="939"/>
      <c r="VF21" s="939"/>
      <c r="VG21" s="939"/>
      <c r="VH21" s="939"/>
      <c r="VI21" s="939"/>
      <c r="VJ21" s="939"/>
      <c r="VK21" s="939"/>
      <c r="VL21" s="939"/>
      <c r="VM21" s="939"/>
      <c r="VN21" s="939"/>
      <c r="VO21" s="939"/>
      <c r="VP21" s="939"/>
      <c r="VQ21" s="939"/>
      <c r="VR21" s="939"/>
      <c r="VS21" s="939"/>
      <c r="VT21" s="939"/>
      <c r="VU21" s="939"/>
      <c r="VV21" s="939"/>
      <c r="VW21" s="939"/>
      <c r="VX21" s="939"/>
      <c r="VY21" s="939"/>
      <c r="VZ21" s="939"/>
      <c r="WA21" s="939"/>
      <c r="WB21" s="939"/>
      <c r="WC21" s="939"/>
      <c r="WD21" s="939"/>
      <c r="WE21" s="939"/>
      <c r="WF21" s="939"/>
      <c r="WG21" s="939"/>
      <c r="WH21" s="939"/>
      <c r="WI21" s="939"/>
      <c r="WJ21" s="939"/>
      <c r="WK21" s="939"/>
      <c r="WL21" s="939"/>
      <c r="WM21" s="939"/>
      <c r="WN21" s="939"/>
      <c r="WO21" s="939"/>
      <c r="WP21" s="939"/>
      <c r="WQ21" s="939"/>
      <c r="WR21" s="939"/>
      <c r="WS21" s="939"/>
      <c r="WT21" s="939"/>
      <c r="WU21" s="939"/>
      <c r="WV21" s="939"/>
      <c r="WW21" s="939"/>
      <c r="WX21" s="939"/>
      <c r="WY21" s="939"/>
      <c r="WZ21" s="939"/>
      <c r="XA21" s="939"/>
      <c r="XB21" s="939"/>
      <c r="XC21" s="939"/>
      <c r="XD21" s="939"/>
      <c r="XE21" s="939"/>
      <c r="XF21" s="939"/>
      <c r="XG21" s="939"/>
      <c r="XH21" s="939"/>
      <c r="XI21" s="939"/>
      <c r="XJ21" s="939"/>
      <c r="XK21" s="939"/>
      <c r="XL21" s="939"/>
      <c r="XM21" s="939"/>
      <c r="XN21" s="939"/>
      <c r="XO21" s="939"/>
      <c r="XP21" s="939"/>
      <c r="XQ21" s="939"/>
      <c r="XR21" s="939"/>
      <c r="XS21" s="939"/>
      <c r="XT21" s="939"/>
      <c r="XU21" s="939"/>
      <c r="XV21" s="939"/>
      <c r="XW21" s="939"/>
      <c r="XX21" s="939"/>
      <c r="XY21" s="939"/>
      <c r="XZ21" s="939"/>
      <c r="YA21" s="939"/>
      <c r="YB21" s="939"/>
      <c r="YC21" s="939"/>
      <c r="YD21" s="939"/>
      <c r="YE21" s="939"/>
      <c r="YF21" s="939"/>
      <c r="YG21" s="939"/>
      <c r="YH21" s="939"/>
      <c r="YI21" s="939"/>
      <c r="YJ21" s="939"/>
      <c r="YK21" s="939"/>
      <c r="YL21" s="939"/>
      <c r="YM21" s="939"/>
      <c r="YN21" s="939"/>
      <c r="YO21" s="939"/>
      <c r="YP21" s="939"/>
      <c r="YQ21" s="939"/>
      <c r="YR21" s="939"/>
      <c r="YS21" s="939"/>
      <c r="YT21" s="939"/>
      <c r="YU21" s="939"/>
      <c r="YV21" s="939"/>
      <c r="YW21" s="939"/>
      <c r="YX21" s="939"/>
      <c r="YY21" s="939"/>
      <c r="YZ21" s="939"/>
      <c r="ZA21" s="939"/>
      <c r="ZB21" s="939"/>
      <c r="ZC21" s="939"/>
      <c r="ZD21" s="939"/>
      <c r="ZE21" s="939"/>
      <c r="ZF21" s="939"/>
      <c r="ZG21" s="939"/>
      <c r="ZH21" s="939"/>
      <c r="ZI21" s="939"/>
      <c r="ZJ21" s="939"/>
      <c r="ZK21" s="939"/>
      <c r="ZL21" s="939"/>
      <c r="ZM21" s="939"/>
      <c r="ZN21" s="939"/>
      <c r="ZO21" s="939"/>
      <c r="ZP21" s="939"/>
      <c r="ZQ21" s="939"/>
      <c r="ZR21" s="939"/>
      <c r="ZS21" s="939"/>
      <c r="ZT21" s="939"/>
      <c r="ZU21" s="939"/>
      <c r="ZV21" s="939"/>
      <c r="ZW21" s="939"/>
      <c r="ZX21" s="939"/>
      <c r="ZY21" s="939"/>
      <c r="ZZ21" s="939"/>
      <c r="AAA21" s="939"/>
      <c r="AAB21" s="939"/>
      <c r="AAC21" s="939"/>
      <c r="AAD21" s="939"/>
      <c r="AAE21" s="939"/>
      <c r="AAF21" s="939"/>
      <c r="AAG21" s="939"/>
      <c r="AAH21" s="939"/>
      <c r="AAI21" s="939"/>
      <c r="AAJ21" s="939"/>
      <c r="AAK21" s="939"/>
      <c r="AAL21" s="939"/>
      <c r="AAM21" s="939"/>
      <c r="AAN21" s="939"/>
      <c r="AAO21" s="939"/>
      <c r="AAP21" s="939"/>
      <c r="AAQ21" s="939"/>
      <c r="AAR21" s="939"/>
      <c r="AAS21" s="939"/>
      <c r="AAT21" s="939"/>
      <c r="AAU21" s="939"/>
      <c r="AAV21" s="939"/>
      <c r="AAW21" s="939"/>
      <c r="AAX21" s="939"/>
      <c r="AAY21" s="939"/>
      <c r="AAZ21" s="939"/>
      <c r="ABA21" s="939"/>
      <c r="ABB21" s="939"/>
      <c r="ABC21" s="939"/>
      <c r="ABD21" s="939"/>
      <c r="ABE21" s="939"/>
      <c r="ABF21" s="939"/>
      <c r="ABG21" s="939"/>
      <c r="ABH21" s="939"/>
      <c r="ABI21" s="939"/>
      <c r="ABJ21" s="939"/>
      <c r="ABK21" s="939"/>
      <c r="ABL21" s="939"/>
      <c r="ABM21" s="939"/>
      <c r="ABN21" s="939"/>
      <c r="ABO21" s="939"/>
      <c r="ABP21" s="939"/>
      <c r="ABQ21" s="939"/>
      <c r="ABR21" s="939"/>
      <c r="ABS21" s="939"/>
      <c r="ABT21" s="939"/>
      <c r="ABU21" s="939"/>
      <c r="ABV21" s="939"/>
      <c r="ABW21" s="939"/>
      <c r="ABX21" s="939"/>
      <c r="ABY21" s="939"/>
      <c r="ABZ21" s="939"/>
      <c r="ACA21" s="939"/>
      <c r="ACB21" s="939"/>
      <c r="ACC21" s="939"/>
      <c r="ACD21" s="939"/>
      <c r="ACE21" s="939"/>
      <c r="ACF21" s="939"/>
      <c r="ACG21" s="939"/>
      <c r="ACH21" s="939"/>
      <c r="ACI21" s="939"/>
      <c r="ACJ21" s="939"/>
      <c r="ACK21" s="939"/>
      <c r="ACL21" s="939"/>
      <c r="ACM21" s="939"/>
      <c r="ACN21" s="939"/>
      <c r="ACO21" s="939"/>
      <c r="ACP21" s="939"/>
      <c r="ACQ21" s="939"/>
      <c r="ACR21" s="939"/>
      <c r="ACS21" s="939"/>
      <c r="ACT21" s="939"/>
      <c r="ACU21" s="939"/>
      <c r="ACV21" s="939"/>
      <c r="ACW21" s="939"/>
      <c r="ACX21" s="939"/>
      <c r="ACY21" s="939"/>
      <c r="ACZ21" s="939"/>
      <c r="ADA21" s="939"/>
      <c r="ADB21" s="939"/>
      <c r="ADC21" s="939"/>
      <c r="ADD21" s="939"/>
      <c r="ADE21" s="939"/>
      <c r="ADF21" s="939"/>
      <c r="ADG21" s="939"/>
      <c r="ADH21" s="939"/>
      <c r="ADI21" s="939"/>
      <c r="ADJ21" s="939"/>
      <c r="ADK21" s="939"/>
      <c r="ADL21" s="939"/>
      <c r="ADM21" s="939"/>
      <c r="ADN21" s="939"/>
      <c r="ADO21" s="939"/>
      <c r="ADP21" s="939"/>
      <c r="ADQ21" s="939"/>
      <c r="ADR21" s="939"/>
      <c r="ADS21" s="939"/>
      <c r="ADT21" s="939"/>
      <c r="ADU21" s="939"/>
      <c r="ADV21" s="939"/>
      <c r="ADW21" s="939"/>
      <c r="ADX21" s="939"/>
      <c r="ADY21" s="939"/>
      <c r="ADZ21" s="939"/>
      <c r="AEA21" s="939"/>
      <c r="AEB21" s="939"/>
      <c r="AEC21" s="939"/>
      <c r="AED21" s="939"/>
      <c r="AEE21" s="939"/>
      <c r="AEF21" s="939"/>
      <c r="AEG21" s="939"/>
      <c r="AEH21" s="939"/>
      <c r="AEI21" s="939"/>
      <c r="AEJ21" s="939"/>
      <c r="AEK21" s="939"/>
      <c r="AEL21" s="939"/>
      <c r="AEM21" s="939"/>
      <c r="AEN21" s="939"/>
      <c r="AEO21" s="939"/>
      <c r="AEP21" s="939"/>
      <c r="AEQ21" s="939"/>
      <c r="AER21" s="939"/>
      <c r="AES21" s="939"/>
      <c r="AET21" s="939"/>
      <c r="AEU21" s="939"/>
      <c r="AEV21" s="939"/>
      <c r="AEW21" s="939"/>
      <c r="AEX21" s="939"/>
      <c r="AEY21" s="939"/>
      <c r="AEZ21" s="939"/>
      <c r="AFA21" s="939"/>
      <c r="AFB21" s="939"/>
      <c r="AFC21" s="939"/>
      <c r="AFD21" s="939"/>
      <c r="AFE21" s="939"/>
      <c r="AFF21" s="939"/>
      <c r="AFG21" s="939"/>
      <c r="AFH21" s="939"/>
      <c r="AFI21" s="939"/>
      <c r="AFJ21" s="939"/>
      <c r="AFK21" s="939"/>
      <c r="AFL21" s="939"/>
      <c r="AFM21" s="939"/>
      <c r="AFN21" s="939"/>
      <c r="AFO21" s="939"/>
      <c r="AFP21" s="939"/>
      <c r="AFQ21" s="939"/>
      <c r="AFR21" s="939"/>
      <c r="AFS21" s="939"/>
      <c r="AFT21" s="939"/>
      <c r="AFU21" s="939"/>
      <c r="AFV21" s="939"/>
      <c r="AFW21" s="939"/>
      <c r="AFX21" s="939"/>
      <c r="AFY21" s="939"/>
      <c r="AFZ21" s="939"/>
      <c r="AGA21" s="939"/>
      <c r="AGB21" s="939"/>
      <c r="AGC21" s="939"/>
      <c r="AGD21" s="939"/>
      <c r="AGE21" s="939"/>
      <c r="AGF21" s="939"/>
      <c r="AGG21" s="939"/>
      <c r="AGH21" s="939"/>
      <c r="AGI21" s="939"/>
      <c r="AGJ21" s="939"/>
      <c r="AGK21" s="939"/>
      <c r="AGL21" s="939"/>
      <c r="AGM21" s="939"/>
      <c r="AGN21" s="939"/>
      <c r="AGO21" s="939"/>
      <c r="AGP21" s="939"/>
      <c r="AGQ21" s="939"/>
      <c r="AGR21" s="939"/>
      <c r="AGS21" s="939"/>
      <c r="AGT21" s="939"/>
      <c r="AGU21" s="939"/>
      <c r="AGV21" s="939"/>
      <c r="AGW21" s="939"/>
      <c r="AGX21" s="939"/>
      <c r="AGY21" s="939"/>
      <c r="AGZ21" s="939"/>
      <c r="AHA21" s="939"/>
      <c r="AHB21" s="939"/>
      <c r="AHC21" s="939"/>
      <c r="AHD21" s="939"/>
      <c r="AHE21" s="939"/>
      <c r="AHF21" s="939"/>
      <c r="AHG21" s="939"/>
      <c r="AHH21" s="939"/>
      <c r="AHI21" s="939"/>
      <c r="AHJ21" s="939"/>
      <c r="AHK21" s="939"/>
      <c r="AHL21" s="939"/>
      <c r="AHM21" s="939"/>
      <c r="AHN21" s="939"/>
      <c r="AHO21" s="939"/>
      <c r="AHP21" s="939"/>
      <c r="AHQ21" s="939"/>
      <c r="AHR21" s="939"/>
      <c r="AHS21" s="939"/>
      <c r="AHT21" s="939"/>
      <c r="AHU21" s="939"/>
      <c r="AHV21" s="939"/>
      <c r="AHW21" s="939"/>
      <c r="AHX21" s="939"/>
      <c r="AHY21" s="939"/>
      <c r="AHZ21" s="939"/>
      <c r="AIA21" s="939"/>
      <c r="AIB21" s="939"/>
      <c r="AIC21" s="939"/>
      <c r="AID21" s="939"/>
      <c r="AIE21" s="939"/>
      <c r="AIF21" s="939"/>
      <c r="AIG21" s="939"/>
      <c r="AIH21" s="939"/>
      <c r="AII21" s="939"/>
      <c r="AIJ21" s="939"/>
      <c r="AIK21" s="939"/>
      <c r="AIL21" s="939"/>
      <c r="AIM21" s="939"/>
      <c r="AIN21" s="939"/>
      <c r="AIO21" s="939"/>
      <c r="AIP21" s="939"/>
      <c r="AIQ21" s="939"/>
      <c r="AIR21" s="939"/>
      <c r="AIS21" s="939"/>
      <c r="AIT21" s="939"/>
      <c r="AIU21" s="939"/>
      <c r="AIV21" s="939"/>
      <c r="AIW21" s="939"/>
      <c r="AIX21" s="939"/>
      <c r="AIY21" s="939"/>
      <c r="AIZ21" s="939"/>
      <c r="AJA21" s="939"/>
      <c r="AJB21" s="939"/>
      <c r="AJC21" s="939"/>
      <c r="AJD21" s="939"/>
      <c r="AJE21" s="939"/>
      <c r="AJF21" s="939"/>
      <c r="AJG21" s="939"/>
      <c r="AJH21" s="939"/>
      <c r="AJI21" s="939"/>
      <c r="AJJ21" s="939"/>
      <c r="AJK21" s="939"/>
      <c r="AJL21" s="939"/>
      <c r="AJM21" s="939"/>
      <c r="AJN21" s="939"/>
      <c r="AJO21" s="939"/>
      <c r="AJP21" s="939"/>
      <c r="AJQ21" s="939"/>
      <c r="AJR21" s="939"/>
      <c r="AJS21" s="939"/>
      <c r="AJT21" s="939"/>
      <c r="AJU21" s="939"/>
      <c r="AJV21" s="939"/>
      <c r="AJW21" s="939"/>
      <c r="AJX21" s="939"/>
      <c r="AJY21" s="939"/>
      <c r="AJZ21" s="939"/>
      <c r="AKA21" s="939"/>
      <c r="AKB21" s="939"/>
      <c r="AKC21" s="939"/>
      <c r="AKD21" s="939"/>
      <c r="AKE21" s="939"/>
      <c r="AKF21" s="939"/>
      <c r="AKG21" s="939"/>
      <c r="AKH21" s="939"/>
      <c r="AKI21" s="939"/>
      <c r="AKJ21" s="939"/>
      <c r="AKK21" s="939"/>
      <c r="AKL21" s="939"/>
      <c r="AKM21" s="939"/>
      <c r="AKN21" s="939"/>
      <c r="AKO21" s="939"/>
      <c r="AKP21" s="939"/>
      <c r="AKQ21" s="939"/>
      <c r="AKR21" s="939"/>
      <c r="AKS21" s="939"/>
      <c r="AKT21" s="939"/>
      <c r="AKU21" s="939"/>
      <c r="AKV21" s="939"/>
      <c r="AKW21" s="939"/>
      <c r="AKX21" s="939"/>
      <c r="AKY21" s="939"/>
      <c r="AKZ21" s="939"/>
      <c r="ALA21" s="939"/>
      <c r="ALB21" s="939"/>
      <c r="ALC21" s="939"/>
      <c r="ALD21" s="939"/>
      <c r="ALE21" s="939"/>
      <c r="ALF21" s="939"/>
      <c r="ALG21" s="939"/>
      <c r="ALH21" s="939"/>
      <c r="ALI21" s="939"/>
      <c r="ALJ21" s="939"/>
      <c r="ALK21" s="939"/>
      <c r="ALL21" s="939"/>
      <c r="ALM21" s="939"/>
      <c r="ALN21" s="939"/>
      <c r="ALO21" s="939"/>
      <c r="ALP21" s="939"/>
      <c r="ALQ21" s="939"/>
      <c r="ALR21" s="939"/>
      <c r="ALS21" s="939"/>
      <c r="ALT21" s="939"/>
      <c r="ALU21" s="939"/>
      <c r="ALV21" s="939"/>
      <c r="ALW21" s="939"/>
      <c r="ALX21" s="939"/>
      <c r="ALY21" s="939"/>
      <c r="ALZ21" s="939"/>
      <c r="AMA21" s="939"/>
      <c r="AMB21" s="939"/>
      <c r="AMC21" s="939"/>
      <c r="AMD21" s="939"/>
      <c r="AME21" s="939"/>
      <c r="AMF21" s="939"/>
      <c r="AMG21" s="939"/>
      <c r="AMH21" s="939"/>
      <c r="AMI21" s="939"/>
      <c r="AMJ21" s="939"/>
      <c r="AMK21" s="939"/>
      <c r="AML21" s="939"/>
    </row>
    <row r="22" spans="1:1026">
      <c r="A22" s="772" t="s">
        <v>779</v>
      </c>
      <c r="B22" s="773"/>
      <c r="C22" s="773"/>
      <c r="D22" s="773"/>
      <c r="E22" s="774"/>
      <c r="F22" s="774"/>
      <c r="G22" s="774"/>
      <c r="H22" s="475"/>
      <c r="I22" s="475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4"/>
      <c r="U22" s="414"/>
      <c r="V22" s="414"/>
      <c r="W22" s="414"/>
      <c r="X22" s="414"/>
      <c r="Y22" s="414"/>
      <c r="Z22" s="414"/>
    </row>
    <row r="23" spans="1:1026">
      <c r="A23" s="775" t="s">
        <v>38</v>
      </c>
      <c r="B23" s="773"/>
      <c r="C23" s="1038">
        <f>+'ESF20'!C84</f>
        <v>-4903357.74</v>
      </c>
      <c r="D23" s="773"/>
      <c r="E23" s="774">
        <v>-1804677</v>
      </c>
      <c r="F23" s="774"/>
      <c r="G23" s="774">
        <f>+'ESF20'!J8-'EFE20'!G8</f>
        <v>6208046</v>
      </c>
      <c r="H23" s="475">
        <v>-1300909</v>
      </c>
      <c r="I23" s="475">
        <v>2909073</v>
      </c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4"/>
      <c r="U23" s="414"/>
      <c r="V23" s="414"/>
      <c r="W23" s="414"/>
      <c r="X23" s="414"/>
      <c r="Y23" s="414"/>
      <c r="Z23" s="414"/>
    </row>
    <row r="24" spans="1:1026">
      <c r="A24" s="775" t="s">
        <v>126</v>
      </c>
      <c r="B24" s="773"/>
      <c r="C24" s="1038">
        <f>+'ESF20'!D19+'ESF20'!D9</f>
        <v>-3574321.1499999985</v>
      </c>
      <c r="D24" s="773"/>
      <c r="E24" s="774">
        <v>2402819</v>
      </c>
      <c r="F24" s="774"/>
      <c r="G24" s="774">
        <f>+'ESF20'!J9+'ESF20'!J17</f>
        <v>-8058540</v>
      </c>
      <c r="H24" s="475">
        <v>-11254398</v>
      </c>
      <c r="I24" s="475">
        <v>-10190618</v>
      </c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4"/>
      <c r="U24" s="414"/>
      <c r="V24" s="414"/>
      <c r="W24" s="414"/>
      <c r="X24" s="414"/>
      <c r="Y24" s="414"/>
      <c r="Z24" s="414"/>
    </row>
    <row r="25" spans="1:1026">
      <c r="A25" s="775" t="s">
        <v>42</v>
      </c>
      <c r="B25" s="773"/>
      <c r="C25" s="1039">
        <f>+'ESF20'!D11+'ESF20'!D18</f>
        <v>6930447</v>
      </c>
      <c r="D25" s="773"/>
      <c r="E25" s="740">
        <v>-12472591</v>
      </c>
      <c r="F25" s="740"/>
      <c r="G25" s="740">
        <v>-1255245</v>
      </c>
      <c r="H25" s="475">
        <v>-5437748</v>
      </c>
      <c r="I25" s="475">
        <v>3571662</v>
      </c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414"/>
      <c r="Z25" s="414"/>
    </row>
    <row r="26" spans="1:1026">
      <c r="A26" s="775" t="s">
        <v>43</v>
      </c>
      <c r="B26" s="773"/>
      <c r="C26" s="1038">
        <f>+'ESF20'!D10</f>
        <v>-5308932.76</v>
      </c>
      <c r="D26" s="773"/>
      <c r="E26" s="774">
        <v>228775</v>
      </c>
      <c r="F26" s="774"/>
      <c r="G26" s="774">
        <f>+'ESF20'!J10</f>
        <v>373975</v>
      </c>
      <c r="H26" s="475">
        <v>685042</v>
      </c>
      <c r="I26" s="475">
        <v>53985</v>
      </c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Z26" s="414"/>
    </row>
    <row r="27" spans="1:1026">
      <c r="A27" s="775" t="s">
        <v>45</v>
      </c>
      <c r="B27" s="773"/>
      <c r="C27" s="1038">
        <f>+'ESF20'!D12</f>
        <v>-1008270</v>
      </c>
      <c r="D27" s="773"/>
      <c r="E27" s="774">
        <v>-233386</v>
      </c>
      <c r="F27" s="774"/>
      <c r="G27" s="774">
        <f>+'ESF20'!J12</f>
        <v>122526</v>
      </c>
      <c r="H27" s="475">
        <v>1728719</v>
      </c>
      <c r="I27" s="475">
        <v>-230586</v>
      </c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  <c r="V27" s="414"/>
      <c r="W27" s="414"/>
      <c r="X27" s="414"/>
      <c r="Y27" s="414"/>
      <c r="Z27" s="414"/>
    </row>
    <row r="28" spans="1:1026">
      <c r="A28" s="775" t="s">
        <v>46</v>
      </c>
      <c r="B28" s="773"/>
      <c r="C28" s="1040">
        <f>+'ESF20'!D13</f>
        <v>462096.62000000104</v>
      </c>
      <c r="D28" s="773"/>
      <c r="E28" s="774">
        <v>-4708564</v>
      </c>
      <c r="F28" s="774"/>
      <c r="G28" s="774">
        <f>+'ESF20'!J13</f>
        <v>-9322375</v>
      </c>
      <c r="H28" s="475">
        <v>4055589</v>
      </c>
      <c r="I28" s="475">
        <v>653652</v>
      </c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Z28" s="414"/>
    </row>
    <row r="29" spans="1:1026" hidden="1">
      <c r="A29" s="775" t="s">
        <v>518</v>
      </c>
      <c r="B29" s="773"/>
      <c r="C29" s="1041"/>
      <c r="D29" s="773"/>
      <c r="E29" s="774">
        <v>0</v>
      </c>
      <c r="F29" s="774"/>
      <c r="G29" s="774">
        <v>0</v>
      </c>
      <c r="H29" s="475">
        <v>0</v>
      </c>
      <c r="I29" s="475">
        <v>-4040714</v>
      </c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4"/>
      <c r="U29" s="414"/>
      <c r="V29" s="414"/>
      <c r="W29" s="414"/>
      <c r="X29" s="414"/>
      <c r="Y29" s="414"/>
      <c r="Z29" s="414"/>
    </row>
    <row r="30" spans="1:1026">
      <c r="A30" s="775" t="s">
        <v>61</v>
      </c>
      <c r="B30" s="773"/>
      <c r="C30" s="1038">
        <f>+'ESF20'!D14+'ESF20'!D25</f>
        <v>-2149319.1799999997</v>
      </c>
      <c r="D30" s="773"/>
      <c r="E30" s="774">
        <v>3067865</v>
      </c>
      <c r="F30" s="774"/>
      <c r="G30" s="774">
        <f>+'ESF20'!J23</f>
        <v>1257222</v>
      </c>
      <c r="H30" s="475">
        <f>-+'ESF20'!L23</f>
        <v>-1190535</v>
      </c>
      <c r="I30" s="475">
        <v>-114</v>
      </c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414"/>
      <c r="Y30" s="414"/>
      <c r="Z30" s="414"/>
    </row>
    <row r="31" spans="1:1026">
      <c r="A31" s="775" t="s">
        <v>67</v>
      </c>
      <c r="B31" s="773"/>
      <c r="C31" s="1039">
        <f>+'ESF20'!R8</f>
        <v>3714995</v>
      </c>
      <c r="D31" s="773"/>
      <c r="E31" s="774">
        <v>3444203</v>
      </c>
      <c r="F31" s="774"/>
      <c r="G31" s="774">
        <f>+'ESF20'!X8+'ESF20'!X20</f>
        <v>-3543922</v>
      </c>
      <c r="H31" s="475">
        <f>+'ESF20'!Z8+'ESF20'!Z18</f>
        <v>-1598876</v>
      </c>
      <c r="I31" s="475">
        <v>-436112</v>
      </c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4"/>
      <c r="Y31" s="414"/>
      <c r="Z31" s="414"/>
    </row>
    <row r="32" spans="1:1026">
      <c r="A32" s="775" t="s">
        <v>139</v>
      </c>
      <c r="B32" s="773"/>
      <c r="C32" s="1038">
        <f>+'ESF20'!R9+'ESF20'!R21</f>
        <v>-915527.6799999997</v>
      </c>
      <c r="D32" s="773"/>
      <c r="E32" s="774">
        <v>-11251354</v>
      </c>
      <c r="F32" s="774"/>
      <c r="G32" s="774">
        <f>+'ESF20'!X9+'ESF20'!X21</f>
        <v>960101</v>
      </c>
      <c r="H32" s="475">
        <f>+'ESF20'!Z9+'ESF20'!Z19-705016</f>
        <v>946225</v>
      </c>
      <c r="I32" s="475">
        <v>-4197057</v>
      </c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  <c r="Y32" s="414"/>
      <c r="Z32" s="414"/>
    </row>
    <row r="33" spans="1:26">
      <c r="A33" s="775" t="s">
        <v>780</v>
      </c>
      <c r="B33" s="773"/>
      <c r="C33" s="1038">
        <f>+'ESF20'!C73</f>
        <v>978507</v>
      </c>
      <c r="D33" s="773"/>
      <c r="E33" s="774">
        <v>845971</v>
      </c>
      <c r="F33" s="774"/>
      <c r="G33" s="774">
        <f>+'ESF20'!X10</f>
        <v>2460744</v>
      </c>
      <c r="H33" s="475">
        <f>+'ESF20'!Z10</f>
        <v>130512</v>
      </c>
      <c r="I33" s="475">
        <f>1627958+392</f>
        <v>1628350</v>
      </c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4"/>
      <c r="U33" s="414"/>
      <c r="V33" s="414"/>
      <c r="W33" s="414"/>
      <c r="X33" s="414"/>
      <c r="Y33" s="414"/>
      <c r="Z33" s="414"/>
    </row>
    <row r="34" spans="1:26">
      <c r="A34" s="775" t="s">
        <v>72</v>
      </c>
      <c r="B34" s="773"/>
      <c r="C34" s="1038">
        <f>+'ESF20'!R11+'ESF20'!R22</f>
        <v>-10632407.469999999</v>
      </c>
      <c r="D34" s="773"/>
      <c r="E34" s="774">
        <v>11962398</v>
      </c>
      <c r="F34" s="774"/>
      <c r="G34" s="774">
        <f>+'ESF20'!X11+'ESF20'!X22</f>
        <v>-370553</v>
      </c>
      <c r="H34" s="475">
        <f>+'ESF20'!Z11+'ESF20'!Z20</f>
        <v>-509500</v>
      </c>
      <c r="I34" s="475">
        <v>2623083</v>
      </c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4"/>
      <c r="U34" s="414"/>
      <c r="V34" s="414"/>
      <c r="W34" s="414"/>
      <c r="X34" s="414"/>
      <c r="Y34" s="414"/>
      <c r="Z34" s="414"/>
    </row>
    <row r="35" spans="1:26">
      <c r="A35" s="775" t="s">
        <v>76</v>
      </c>
      <c r="B35" s="773"/>
      <c r="C35" s="1037">
        <f>+'ESF20'!C105</f>
        <v>0</v>
      </c>
      <c r="D35" s="773"/>
      <c r="E35" s="774">
        <v>721539</v>
      </c>
      <c r="F35" s="774"/>
      <c r="G35" s="774">
        <v>-45316</v>
      </c>
      <c r="H35" s="740">
        <v>-2404770</v>
      </c>
      <c r="I35" s="475">
        <v>-5964702</v>
      </c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  <c r="Y35" s="414"/>
      <c r="Z35" s="414"/>
    </row>
    <row r="36" spans="1:26">
      <c r="A36" s="775" t="s">
        <v>520</v>
      </c>
      <c r="B36" s="773"/>
      <c r="C36" s="1038">
        <f>+'ESF20'!C100</f>
        <v>1100326</v>
      </c>
      <c r="D36" s="773"/>
      <c r="E36" s="774">
        <v>0</v>
      </c>
      <c r="F36" s="774"/>
      <c r="G36" s="774"/>
      <c r="H36" s="740"/>
      <c r="I36" s="475"/>
      <c r="J36" s="414"/>
      <c r="K36" s="41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  <c r="Y36" s="414"/>
      <c r="Z36" s="414"/>
    </row>
    <row r="37" spans="1:26">
      <c r="A37" s="775" t="s">
        <v>840</v>
      </c>
      <c r="B37" s="773"/>
      <c r="C37" s="1038">
        <f>+'ESF20'!R12</f>
        <v>-3097550</v>
      </c>
      <c r="D37" s="773"/>
      <c r="E37" s="774">
        <v>0</v>
      </c>
      <c r="F37" s="774"/>
      <c r="G37" s="774"/>
      <c r="H37" s="740"/>
      <c r="I37" s="475"/>
      <c r="J37" s="414"/>
      <c r="K37" s="414"/>
      <c r="L37" s="414"/>
      <c r="M37" s="414"/>
      <c r="N37" s="414"/>
      <c r="O37" s="414"/>
      <c r="P37" s="414"/>
      <c r="Q37" s="414"/>
      <c r="R37" s="414"/>
      <c r="S37" s="414"/>
      <c r="T37" s="414"/>
      <c r="U37" s="414"/>
      <c r="V37" s="414"/>
      <c r="W37" s="414"/>
      <c r="X37" s="414"/>
      <c r="Y37" s="414"/>
      <c r="Z37" s="414"/>
    </row>
    <row r="38" spans="1:26">
      <c r="A38" s="775" t="s">
        <v>75</v>
      </c>
      <c r="B38" s="773"/>
      <c r="C38" s="1037">
        <f>+'ESF20'!C79</f>
        <v>1684199.08</v>
      </c>
      <c r="D38" s="773"/>
      <c r="E38" s="774">
        <v>306465</v>
      </c>
      <c r="F38" s="774"/>
      <c r="G38" s="774">
        <f>+'ESF20'!X15-218884</f>
        <v>1447046</v>
      </c>
      <c r="H38" s="475">
        <f>+'ESF20'!Z13-199556+167797</f>
        <v>152364</v>
      </c>
      <c r="I38" s="475">
        <v>707123</v>
      </c>
      <c r="J38" s="740"/>
      <c r="K38" s="544"/>
      <c r="L38" s="414"/>
      <c r="M38" s="414"/>
      <c r="N38" s="414"/>
      <c r="O38" s="414"/>
      <c r="P38" s="414"/>
      <c r="Q38" s="414"/>
      <c r="R38" s="414"/>
      <c r="S38" s="414"/>
      <c r="T38" s="414"/>
      <c r="U38" s="414"/>
      <c r="V38" s="414"/>
      <c r="W38" s="414"/>
      <c r="X38" s="414"/>
      <c r="Y38" s="414"/>
      <c r="Z38" s="544"/>
    </row>
    <row r="39" spans="1:26">
      <c r="A39" s="775" t="s">
        <v>887</v>
      </c>
      <c r="B39" s="773"/>
      <c r="C39" s="1038">
        <f>+'ESF20'!R5</f>
        <v>-74044</v>
      </c>
      <c r="D39" s="773"/>
      <c r="E39" s="774">
        <v>0</v>
      </c>
      <c r="F39" s="774"/>
      <c r="G39" s="774">
        <f>+'ESF20'!X25+'ESF20'!X26</f>
        <v>-992443</v>
      </c>
      <c r="H39" s="475">
        <f>+'ESF20'!Z23</f>
        <v>0</v>
      </c>
      <c r="I39" s="475">
        <v>-2365666</v>
      </c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  <c r="Y39" s="414"/>
      <c r="Z39" s="414"/>
    </row>
    <row r="40" spans="1:26">
      <c r="A40" s="772" t="s">
        <v>781</v>
      </c>
      <c r="B40" s="773"/>
      <c r="C40" s="777">
        <f t="shared" ref="C40:D40" si="5">+SUM(C21:C39)</f>
        <v>28837570.89867197</v>
      </c>
      <c r="D40" s="475">
        <f t="shared" si="5"/>
        <v>0</v>
      </c>
      <c r="E40" s="777">
        <v>51565610</v>
      </c>
      <c r="F40" s="475"/>
      <c r="G40" s="777">
        <f>+SUM(G21:G39)</f>
        <v>34216578</v>
      </c>
      <c r="H40" s="475">
        <f>+SUM(H21:H39)</f>
        <v>20460635.04999999</v>
      </c>
      <c r="I40" s="475">
        <f>+SUM(I21:I39)</f>
        <v>27213258</v>
      </c>
      <c r="J40" s="414"/>
      <c r="K40" s="414"/>
      <c r="L40" s="414"/>
      <c r="M40" s="414"/>
      <c r="N40" s="414"/>
      <c r="O40" s="414"/>
      <c r="P40" s="414"/>
      <c r="Q40" s="414"/>
      <c r="R40" s="414"/>
      <c r="S40" s="414"/>
      <c r="T40" s="414"/>
      <c r="U40" s="414"/>
      <c r="V40" s="414"/>
      <c r="W40" s="414"/>
      <c r="X40" s="414"/>
      <c r="Y40" s="414"/>
      <c r="Z40" s="414"/>
    </row>
    <row r="41" spans="1:26">
      <c r="A41" s="775" t="s">
        <v>782</v>
      </c>
      <c r="B41" s="773"/>
      <c r="C41" s="1054">
        <f>+Y41</f>
        <v>-4275291</v>
      </c>
      <c r="D41" s="773"/>
      <c r="E41" s="774">
        <v>-7316715</v>
      </c>
      <c r="F41" s="774"/>
      <c r="G41" s="774">
        <f>+'ERI20'!H20</f>
        <v>-4254413</v>
      </c>
      <c r="H41" s="475">
        <f>+'ERI20'!J20</f>
        <v>-3475906</v>
      </c>
      <c r="I41" s="475">
        <v>-3198548</v>
      </c>
      <c r="J41" s="408">
        <v>-3680975</v>
      </c>
      <c r="K41" s="408"/>
      <c r="L41" s="408"/>
      <c r="M41" s="408"/>
      <c r="N41" s="408"/>
      <c r="O41" s="408"/>
      <c r="P41" s="408"/>
      <c r="Q41" s="408"/>
      <c r="R41" s="408"/>
      <c r="S41" s="1056">
        <v>-268323</v>
      </c>
      <c r="T41" s="408">
        <v>-325993</v>
      </c>
      <c r="U41" s="408"/>
      <c r="V41" s="408">
        <f>SUM(J41:U41)</f>
        <v>-4275291</v>
      </c>
      <c r="W41" s="408"/>
      <c r="X41" s="408"/>
      <c r="Y41" s="408">
        <f>+V41+W41-X41</f>
        <v>-4275291</v>
      </c>
      <c r="Z41" s="414"/>
    </row>
    <row r="42" spans="1:26">
      <c r="A42" s="775" t="s">
        <v>783</v>
      </c>
      <c r="B42" s="773"/>
      <c r="C42" s="1052">
        <f t="shared" ref="C42" si="6">+Y42</f>
        <v>-4453394</v>
      </c>
      <c r="D42" s="773"/>
      <c r="E42" s="774">
        <v>-2840226</v>
      </c>
      <c r="F42" s="774"/>
      <c r="G42" s="740">
        <v>-1591304</v>
      </c>
      <c r="H42" s="475">
        <v>-1759101</v>
      </c>
      <c r="I42" s="475">
        <v>-2644886</v>
      </c>
      <c r="J42" s="408">
        <v>-3976474</v>
      </c>
      <c r="K42" s="414"/>
      <c r="L42" s="414"/>
      <c r="M42" s="414"/>
      <c r="N42" s="414"/>
      <c r="O42" s="414"/>
      <c r="P42" s="414"/>
      <c r="Q42" s="414"/>
      <c r="R42" s="414"/>
      <c r="S42" s="1037">
        <v>-231683</v>
      </c>
      <c r="T42" s="1037">
        <v>-245237</v>
      </c>
      <c r="U42" s="414"/>
      <c r="V42" s="408">
        <f>SUM(J42:U42)</f>
        <v>-4453394</v>
      </c>
      <c r="W42" s="414"/>
      <c r="X42" s="414"/>
      <c r="Y42" s="408">
        <f>+V42+W42-X42</f>
        <v>-4453394</v>
      </c>
      <c r="Z42" s="414"/>
    </row>
    <row r="43" spans="1:26">
      <c r="A43" s="775" t="s">
        <v>784</v>
      </c>
      <c r="B43" s="773">
        <v>25</v>
      </c>
      <c r="C43" s="1052">
        <f>+Y43</f>
        <v>-17000</v>
      </c>
      <c r="D43" s="773"/>
      <c r="E43" s="774">
        <v>-1788845</v>
      </c>
      <c r="F43" s="774"/>
      <c r="G43" s="740">
        <v>-207177</v>
      </c>
      <c r="H43" s="475">
        <v>-107410</v>
      </c>
      <c r="I43" s="475">
        <v>-470931</v>
      </c>
      <c r="J43" s="408">
        <v>-17000</v>
      </c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08">
        <f>SUM(J43:U43)</f>
        <v>-17000</v>
      </c>
      <c r="W43" s="414"/>
      <c r="X43" s="414"/>
      <c r="Y43" s="408">
        <f>+V43+W43-X43</f>
        <v>-17000</v>
      </c>
      <c r="Z43" s="414"/>
    </row>
    <row r="44" spans="1:26">
      <c r="A44" s="778" t="s">
        <v>785</v>
      </c>
      <c r="B44" s="779"/>
      <c r="C44" s="780">
        <f t="shared" ref="C44:D44" si="7">+C40+C41+C42+C43</f>
        <v>20091885.89867197</v>
      </c>
      <c r="D44" s="781">
        <f t="shared" si="7"/>
        <v>0</v>
      </c>
      <c r="E44" s="780">
        <v>39619824</v>
      </c>
      <c r="F44" s="781"/>
      <c r="G44" s="780">
        <f>+G40+G41+G42+G43</f>
        <v>28163684</v>
      </c>
      <c r="H44" s="782">
        <f>+H40+H41+H42+H43</f>
        <v>15118218.04999999</v>
      </c>
      <c r="I44" s="781">
        <f>+I40+I41+I42+I43</f>
        <v>20898893</v>
      </c>
      <c r="J44" s="414"/>
      <c r="K44" s="481"/>
      <c r="L44" s="414"/>
      <c r="M44" s="414"/>
      <c r="N44" s="414"/>
      <c r="O44" s="414"/>
      <c r="P44" s="414"/>
      <c r="Q44" s="414"/>
      <c r="R44" s="414"/>
      <c r="S44" s="414"/>
      <c r="T44" s="414"/>
      <c r="U44" s="414"/>
      <c r="V44" s="414"/>
      <c r="W44" s="414"/>
      <c r="X44" s="414"/>
      <c r="Y44" s="414"/>
      <c r="Z44" s="414"/>
    </row>
    <row r="45" spans="1:26" ht="5.0999999999999996" customHeight="1">
      <c r="A45" s="765"/>
      <c r="B45" s="771"/>
      <c r="C45" s="771"/>
      <c r="D45" s="771"/>
      <c r="E45" s="408"/>
      <c r="F45" s="408"/>
      <c r="G45" s="408"/>
      <c r="H45" s="408"/>
      <c r="I45" s="408"/>
      <c r="J45" s="414"/>
      <c r="K45" s="414"/>
      <c r="L45" s="414"/>
      <c r="M45" s="414"/>
      <c r="N45" s="414"/>
      <c r="O45" s="414"/>
      <c r="P45" s="414"/>
      <c r="Q45" s="414"/>
      <c r="R45" s="414"/>
      <c r="S45" s="414"/>
      <c r="T45" s="414"/>
      <c r="U45" s="414"/>
      <c r="V45" s="414"/>
      <c r="W45" s="414"/>
      <c r="X45" s="414"/>
      <c r="Y45" s="414"/>
      <c r="Z45" s="414"/>
    </row>
    <row r="46" spans="1:26">
      <c r="A46" s="763" t="s">
        <v>786</v>
      </c>
      <c r="B46" s="771"/>
      <c r="C46" s="771"/>
      <c r="D46" s="771"/>
      <c r="E46" s="783"/>
      <c r="F46" s="783"/>
      <c r="G46" s="783"/>
      <c r="H46" s="408"/>
      <c r="I46" s="408"/>
      <c r="J46" s="414"/>
      <c r="K46" s="414"/>
      <c r="L46" s="414"/>
      <c r="M46" s="414"/>
      <c r="N46" s="414"/>
      <c r="O46" s="414"/>
      <c r="P46" s="414"/>
      <c r="Q46" s="414"/>
      <c r="R46" s="414"/>
      <c r="S46" s="414"/>
      <c r="T46" s="414"/>
      <c r="U46" s="414"/>
      <c r="V46" s="414"/>
      <c r="W46" s="414"/>
      <c r="X46" s="414"/>
      <c r="Y46" s="414"/>
      <c r="Z46" s="414"/>
    </row>
    <row r="47" spans="1:26">
      <c r="A47" s="775" t="s">
        <v>787</v>
      </c>
      <c r="B47" s="773">
        <v>7</v>
      </c>
      <c r="C47" s="1039">
        <f>+'ESF20'!D7</f>
        <v>3350139</v>
      </c>
      <c r="D47" s="773"/>
      <c r="E47" s="781">
        <v>-965345</v>
      </c>
      <c r="F47" s="781"/>
      <c r="G47" s="781">
        <f>+'ESF20'!J7</f>
        <v>251011</v>
      </c>
      <c r="H47" s="784">
        <v>-593863</v>
      </c>
      <c r="I47" s="781">
        <v>-175815</v>
      </c>
      <c r="J47" s="414"/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  <c r="Y47" s="414"/>
      <c r="Z47" s="414"/>
    </row>
    <row r="48" spans="1:26">
      <c r="A48" s="775" t="s">
        <v>788</v>
      </c>
      <c r="B48" s="773"/>
      <c r="C48" s="1038">
        <f>+'ESF20'!D6</f>
        <v>-3107992</v>
      </c>
      <c r="D48" s="773"/>
      <c r="E48" s="781">
        <v>60892</v>
      </c>
      <c r="F48" s="781"/>
      <c r="G48" s="781">
        <f>+'ESF20'!J6</f>
        <v>29809</v>
      </c>
      <c r="H48" s="784">
        <v>5828169</v>
      </c>
      <c r="I48" s="781">
        <v>-1655856</v>
      </c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414"/>
    </row>
    <row r="49" spans="1:26">
      <c r="A49" s="775" t="s">
        <v>789</v>
      </c>
      <c r="B49" s="773"/>
      <c r="C49" s="1039">
        <f>+'ESF20'!D23</f>
        <v>1673584</v>
      </c>
      <c r="D49" s="773"/>
      <c r="E49" s="785">
        <v>-251355</v>
      </c>
      <c r="F49" s="785"/>
      <c r="G49" s="785">
        <v>0</v>
      </c>
      <c r="H49" s="432">
        <v>0</v>
      </c>
      <c r="I49" s="781">
        <v>-125000</v>
      </c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414"/>
      <c r="Z49" s="414"/>
    </row>
    <row r="50" spans="1:26">
      <c r="A50" s="775" t="s">
        <v>890</v>
      </c>
      <c r="B50" s="773"/>
      <c r="C50" s="1038">
        <f>+'ESF20'!C39</f>
        <v>-937756.5299999998</v>
      </c>
      <c r="D50" s="773"/>
      <c r="E50" s="785"/>
      <c r="F50" s="785"/>
      <c r="G50" s="785"/>
      <c r="H50" s="432"/>
      <c r="I50" s="781"/>
      <c r="J50" s="414"/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4"/>
      <c r="V50" s="414"/>
      <c r="W50" s="414"/>
      <c r="X50" s="414"/>
      <c r="Y50" s="414"/>
      <c r="Z50" s="414"/>
    </row>
    <row r="51" spans="1:26">
      <c r="A51" s="775" t="s">
        <v>889</v>
      </c>
      <c r="B51" s="773"/>
      <c r="C51" s="1037">
        <f>+'ESF20'!C67</f>
        <v>-439321.65</v>
      </c>
      <c r="D51" s="773"/>
      <c r="E51" s="785"/>
      <c r="F51" s="785"/>
      <c r="G51" s="785">
        <v>0</v>
      </c>
      <c r="H51" s="781">
        <v>119269</v>
      </c>
      <c r="I51" s="781">
        <v>-1494761</v>
      </c>
      <c r="J51" s="414"/>
      <c r="K51" s="414"/>
      <c r="L51" s="414"/>
      <c r="M51" s="414"/>
      <c r="N51" s="414"/>
      <c r="O51" s="414"/>
      <c r="P51" s="414"/>
      <c r="Q51" s="414"/>
      <c r="R51" s="414"/>
      <c r="S51" s="414"/>
      <c r="T51" s="414"/>
      <c r="U51" s="414"/>
      <c r="V51" s="414"/>
      <c r="W51" s="414"/>
      <c r="X51" s="414"/>
      <c r="Y51" s="414"/>
      <c r="Z51" s="414"/>
    </row>
    <row r="52" spans="1:26">
      <c r="A52" s="775" t="s">
        <v>790</v>
      </c>
      <c r="B52" s="773">
        <v>12</v>
      </c>
      <c r="C52" s="1038">
        <f>+'ESF20'!C44</f>
        <v>-12667045.439999998</v>
      </c>
      <c r="D52" s="773"/>
      <c r="E52" s="784">
        <v>-3842548</v>
      </c>
      <c r="F52" s="784"/>
      <c r="G52" s="784">
        <v>-12283237</v>
      </c>
      <c r="H52" s="781">
        <v>-15283415</v>
      </c>
      <c r="I52" s="781">
        <f>-19113929+437588</f>
        <v>-18676341</v>
      </c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414"/>
      <c r="U52" s="414"/>
      <c r="V52" s="414"/>
      <c r="W52" s="414"/>
      <c r="X52" s="414"/>
      <c r="Y52" s="414"/>
      <c r="Z52" s="414"/>
    </row>
    <row r="53" spans="1:26">
      <c r="A53" s="775" t="s">
        <v>888</v>
      </c>
      <c r="B53" s="773"/>
      <c r="C53" s="1037">
        <f>+'ESF20'!C50</f>
        <v>-1610904</v>
      </c>
      <c r="D53" s="773"/>
      <c r="E53" s="785">
        <v>0</v>
      </c>
      <c r="F53" s="785"/>
      <c r="G53" s="785">
        <v>0</v>
      </c>
      <c r="H53" s="432">
        <v>0</v>
      </c>
      <c r="I53" s="781">
        <v>-49200</v>
      </c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  <c r="Y53" s="414"/>
      <c r="Z53" s="414"/>
    </row>
    <row r="54" spans="1:26">
      <c r="A54" s="775" t="s">
        <v>791</v>
      </c>
      <c r="B54" s="773">
        <v>14</v>
      </c>
      <c r="C54" s="1038">
        <f>+'ESF20'!C62</f>
        <v>-1744851</v>
      </c>
      <c r="D54" s="773"/>
      <c r="E54" s="784">
        <v>-909058</v>
      </c>
      <c r="F54" s="784"/>
      <c r="G54" s="784">
        <v>-4862718</v>
      </c>
      <c r="H54" s="781">
        <f>-(1121449+75987)</f>
        <v>-1197436</v>
      </c>
      <c r="I54" s="781">
        <v>-2492677</v>
      </c>
      <c r="J54" s="414"/>
      <c r="K54" s="414"/>
      <c r="L54" s="414"/>
      <c r="M54" s="414"/>
      <c r="N54" s="414"/>
      <c r="O54" s="414"/>
      <c r="P54" s="414"/>
      <c r="Q54" s="414"/>
      <c r="R54" s="414"/>
      <c r="S54" s="414"/>
      <c r="T54" s="414"/>
      <c r="U54" s="414"/>
      <c r="V54" s="414"/>
      <c r="W54" s="414"/>
      <c r="X54" s="414"/>
      <c r="Y54" s="414"/>
      <c r="Z54" s="414"/>
    </row>
    <row r="55" spans="1:26">
      <c r="A55" s="778" t="s">
        <v>792</v>
      </c>
      <c r="B55" s="773"/>
      <c r="C55" s="780">
        <f t="shared" ref="C55:D55" si="8">+SUM(C47:C54)</f>
        <v>-15484147.619999997</v>
      </c>
      <c r="D55" s="774">
        <f t="shared" si="8"/>
        <v>0</v>
      </c>
      <c r="E55" s="786">
        <v>-5907414</v>
      </c>
      <c r="F55" s="774"/>
      <c r="G55" s="786">
        <f>+SUM(G47:G54)</f>
        <v>-16865135</v>
      </c>
      <c r="H55" s="782">
        <f>+SUM(H47:H54)</f>
        <v>-11127276</v>
      </c>
      <c r="I55" s="781">
        <f>+SUM(I47:I54)</f>
        <v>-24669650</v>
      </c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414"/>
      <c r="Z55" s="414"/>
    </row>
    <row r="56" spans="1:26" ht="5.0999999999999996" customHeight="1">
      <c r="A56" s="414"/>
      <c r="B56" s="622"/>
      <c r="C56" s="622"/>
      <c r="D56" s="622"/>
      <c r="E56" s="408"/>
      <c r="F56" s="408"/>
      <c r="G56" s="408"/>
      <c r="H56" s="408"/>
      <c r="I56" s="408"/>
      <c r="J56" s="414"/>
      <c r="K56" s="414"/>
      <c r="L56" s="414"/>
      <c r="M56" s="414"/>
      <c r="N56" s="414"/>
      <c r="O56" s="414"/>
      <c r="P56" s="414"/>
      <c r="Q56" s="414"/>
      <c r="R56" s="414"/>
      <c r="S56" s="414"/>
      <c r="T56" s="414"/>
      <c r="U56" s="414"/>
      <c r="V56" s="414"/>
      <c r="W56" s="414"/>
      <c r="X56" s="414"/>
      <c r="Y56" s="414"/>
      <c r="Z56" s="414"/>
    </row>
    <row r="57" spans="1:26">
      <c r="A57" s="763" t="s">
        <v>793</v>
      </c>
      <c r="B57" s="771"/>
      <c r="C57" s="771"/>
      <c r="D57" s="771"/>
      <c r="E57" s="783"/>
      <c r="F57" s="783"/>
      <c r="G57" s="783"/>
      <c r="H57" s="408"/>
      <c r="I57" s="408"/>
      <c r="J57" s="414"/>
      <c r="K57" s="414"/>
      <c r="L57" s="414"/>
      <c r="M57" s="414"/>
      <c r="N57" s="414"/>
      <c r="O57" s="414"/>
      <c r="P57" s="414"/>
      <c r="Q57" s="414"/>
      <c r="R57" s="414"/>
      <c r="S57" s="414"/>
      <c r="T57" s="414"/>
      <c r="U57" s="414"/>
      <c r="V57" s="414"/>
      <c r="W57" s="414"/>
      <c r="X57" s="414"/>
      <c r="Y57" s="414"/>
      <c r="Z57" s="414"/>
    </row>
    <row r="58" spans="1:26">
      <c r="A58" s="765" t="s">
        <v>794</v>
      </c>
      <c r="B58" s="771"/>
      <c r="C58" s="1052">
        <f t="shared" ref="C58" si="9">+Y58</f>
        <v>-1307540</v>
      </c>
      <c r="D58" s="771"/>
      <c r="E58" s="408">
        <v>-1307540</v>
      </c>
      <c r="F58" s="408"/>
      <c r="G58" s="783"/>
      <c r="H58" s="408"/>
      <c r="I58" s="408"/>
      <c r="J58" s="514">
        <v>-1307540</v>
      </c>
      <c r="K58" s="414"/>
      <c r="L58" s="414"/>
      <c r="M58" s="414"/>
      <c r="N58" s="414"/>
      <c r="O58" s="414"/>
      <c r="P58" s="414"/>
      <c r="Q58" s="414"/>
      <c r="R58" s="414"/>
      <c r="S58" s="414"/>
      <c r="T58" s="414"/>
      <c r="U58" s="414"/>
      <c r="V58" s="544">
        <f>SUM(J58:U58)</f>
        <v>-1307540</v>
      </c>
      <c r="W58" s="414"/>
      <c r="X58" s="414"/>
      <c r="Y58" s="544">
        <f>+V58+W58-X58</f>
        <v>-1307540</v>
      </c>
      <c r="Z58" s="414"/>
    </row>
    <row r="59" spans="1:26" hidden="1">
      <c r="A59" s="765" t="s">
        <v>885</v>
      </c>
      <c r="B59" s="771"/>
      <c r="C59" s="969">
        <v>0</v>
      </c>
      <c r="D59" s="771"/>
      <c r="E59" s="784">
        <v>221096</v>
      </c>
      <c r="F59" s="408"/>
      <c r="G59" s="783"/>
      <c r="H59" s="408"/>
      <c r="I59" s="408"/>
      <c r="J59" s="514"/>
      <c r="K59" s="414"/>
      <c r="L59" s="414"/>
      <c r="M59" s="414"/>
      <c r="N59" s="414"/>
      <c r="O59" s="414"/>
      <c r="P59" s="414"/>
      <c r="Q59" s="414"/>
      <c r="R59" s="414"/>
      <c r="S59" s="414"/>
      <c r="T59" s="414"/>
      <c r="U59" s="414"/>
      <c r="V59" s="544"/>
      <c r="W59" s="414"/>
      <c r="X59" s="414"/>
      <c r="Y59" s="544"/>
      <c r="Z59" s="414"/>
    </row>
    <row r="60" spans="1:26" hidden="1">
      <c r="A60" s="775" t="s">
        <v>795</v>
      </c>
      <c r="B60" s="773"/>
      <c r="C60" s="969">
        <v>0</v>
      </c>
      <c r="D60" s="773"/>
      <c r="E60" s="784">
        <v>1188714</v>
      </c>
      <c r="F60" s="784"/>
      <c r="G60" s="784">
        <v>0</v>
      </c>
      <c r="H60" s="432"/>
      <c r="I60" s="781"/>
      <c r="J60" s="414"/>
      <c r="K60" s="414"/>
      <c r="L60" s="414"/>
      <c r="M60" s="414"/>
      <c r="N60" s="414"/>
      <c r="O60" s="414"/>
      <c r="P60" s="414"/>
      <c r="Q60" s="414"/>
      <c r="R60" s="414"/>
      <c r="S60" s="414"/>
      <c r="T60" s="414"/>
      <c r="U60" s="414"/>
      <c r="V60" s="414"/>
      <c r="W60" s="414"/>
      <c r="X60" s="414"/>
      <c r="Y60" s="414"/>
      <c r="Z60" s="414"/>
    </row>
    <row r="61" spans="1:26" hidden="1">
      <c r="A61" s="775" t="s">
        <v>796</v>
      </c>
      <c r="B61" s="773"/>
      <c r="C61" s="969">
        <v>0</v>
      </c>
      <c r="D61" s="773"/>
      <c r="E61" s="774">
        <v>-5488035</v>
      </c>
      <c r="F61" s="784"/>
      <c r="G61" s="784">
        <v>0</v>
      </c>
      <c r="H61" s="432"/>
      <c r="I61" s="781"/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4"/>
      <c r="X61" s="414"/>
      <c r="Y61" s="414"/>
      <c r="Z61" s="414"/>
    </row>
    <row r="62" spans="1:26">
      <c r="A62" s="775" t="s">
        <v>797</v>
      </c>
      <c r="B62" s="773"/>
      <c r="C62" s="1038">
        <f>+'ESF20'!R6+'ESF20'!R18</f>
        <v>-456875</v>
      </c>
      <c r="D62" s="773"/>
      <c r="E62" s="774">
        <v>-10808637</v>
      </c>
      <c r="F62" s="774"/>
      <c r="G62" s="774">
        <f>+'ESF20'!X6+'ESF20'!X18</f>
        <v>-7240852</v>
      </c>
      <c r="H62" s="781">
        <f>+'ESF20'!Z6+'ESF20'!Z16</f>
        <v>-4735058</v>
      </c>
      <c r="I62" s="781">
        <f>15141796-13490379-198890+4596345</f>
        <v>6048872</v>
      </c>
      <c r="J62" s="414"/>
      <c r="K62" s="414"/>
      <c r="L62" s="414"/>
      <c r="M62" s="414"/>
      <c r="N62" s="414"/>
      <c r="O62" s="414"/>
      <c r="P62" s="414"/>
      <c r="Q62" s="414"/>
      <c r="R62" s="414"/>
      <c r="S62" s="414"/>
      <c r="T62" s="414"/>
      <c r="U62" s="414"/>
      <c r="V62" s="414"/>
      <c r="W62" s="414"/>
      <c r="X62" s="414"/>
      <c r="Y62" s="414"/>
      <c r="Z62" s="414"/>
    </row>
    <row r="63" spans="1:26">
      <c r="A63" s="775" t="s">
        <v>798</v>
      </c>
      <c r="B63" s="773"/>
      <c r="C63" s="1039">
        <f>+'ESF20'!R7+'ESF20'!R19</f>
        <v>11202774.02</v>
      </c>
      <c r="D63" s="773"/>
      <c r="E63" s="1046">
        <v>-8550313</v>
      </c>
      <c r="F63" s="774"/>
      <c r="G63" s="774">
        <f>+'ESF20'!X7+'ESF20'!X19</f>
        <v>-7134782</v>
      </c>
      <c r="H63" s="781">
        <f>+'ESF20'!Z7+'ESF20'!Z17</f>
        <v>-8370991</v>
      </c>
      <c r="I63" s="781">
        <f>13238971-9192632</f>
        <v>4046339</v>
      </c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414"/>
      <c r="Z63" s="414"/>
    </row>
    <row r="64" spans="1:26">
      <c r="A64" s="778" t="s">
        <v>799</v>
      </c>
      <c r="B64" s="779"/>
      <c r="C64" s="786">
        <f>+SUM(C58:C63)</f>
        <v>9438359.0199999996</v>
      </c>
      <c r="D64" s="774">
        <f>+SUM(D58:D63)</f>
        <v>0</v>
      </c>
      <c r="E64" s="785">
        <v>-24744715</v>
      </c>
      <c r="F64" s="774"/>
      <c r="G64" s="786">
        <f>+SUM(G60:G63)</f>
        <v>-14375634</v>
      </c>
      <c r="H64" s="787">
        <f>+SUM(H60:H63)</f>
        <v>-13106049</v>
      </c>
      <c r="I64" s="774">
        <f>+SUM(I60:I63)</f>
        <v>10095211</v>
      </c>
      <c r="J64" s="414"/>
      <c r="K64" s="414"/>
      <c r="L64" s="414"/>
      <c r="M64" s="414"/>
      <c r="N64" s="414"/>
      <c r="O64" s="414"/>
      <c r="P64" s="414"/>
      <c r="Q64" s="414"/>
      <c r="R64" s="414"/>
      <c r="S64" s="414"/>
      <c r="T64" s="414"/>
      <c r="U64" s="414"/>
      <c r="V64" s="414"/>
      <c r="W64" s="414"/>
      <c r="X64" s="414"/>
      <c r="Y64" s="414"/>
      <c r="Z64" s="414"/>
    </row>
    <row r="65" spans="1:26" ht="5.0999999999999996" customHeight="1">
      <c r="A65" s="788"/>
      <c r="B65" s="789"/>
      <c r="C65" s="789"/>
      <c r="D65" s="789"/>
      <c r="F65" s="785"/>
      <c r="G65" s="785"/>
      <c r="H65" s="408"/>
      <c r="I65" s="408"/>
      <c r="J65" s="414"/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  <c r="V65" s="414"/>
      <c r="W65" s="414"/>
      <c r="X65" s="414"/>
      <c r="Y65" s="414"/>
      <c r="Z65" s="414"/>
    </row>
    <row r="66" spans="1:26">
      <c r="A66" s="778" t="s">
        <v>800</v>
      </c>
      <c r="B66" s="773"/>
      <c r="C66" s="774">
        <f>+C64+C55+C44</f>
        <v>14046097.298671972</v>
      </c>
      <c r="D66" s="773"/>
      <c r="E66" s="774">
        <v>8967695</v>
      </c>
      <c r="F66" s="774"/>
      <c r="G66" s="774">
        <f>+G64+G55+G44</f>
        <v>-3077085</v>
      </c>
      <c r="H66" s="781">
        <f>+H64+H55+H44</f>
        <v>-9115106.9500000104</v>
      </c>
      <c r="I66" s="781">
        <f>+I64+I55+I44</f>
        <v>6324454</v>
      </c>
      <c r="J66" s="414"/>
      <c r="K66" s="414"/>
      <c r="L66" s="414"/>
      <c r="M66" s="414"/>
      <c r="N66" s="414"/>
      <c r="O66" s="414"/>
      <c r="P66" s="414"/>
      <c r="Q66" s="414"/>
      <c r="R66" s="414"/>
      <c r="S66" s="414"/>
      <c r="T66" s="414"/>
      <c r="U66" s="414"/>
      <c r="V66" s="414"/>
      <c r="W66" s="414"/>
      <c r="X66" s="414"/>
      <c r="Y66" s="414"/>
      <c r="Z66" s="414"/>
    </row>
    <row r="67" spans="1:26">
      <c r="A67" s="778" t="s">
        <v>801</v>
      </c>
      <c r="B67" s="773"/>
      <c r="C67" s="1038">
        <f>+'ESF20'!F5</f>
        <v>5885974</v>
      </c>
      <c r="D67" s="773"/>
      <c r="E67" s="1046">
        <v>-3155765</v>
      </c>
      <c r="F67" s="774"/>
      <c r="G67" s="774">
        <f>+H68</f>
        <v>70061.049999989569</v>
      </c>
      <c r="H67" s="781">
        <f>+I68</f>
        <v>9185168</v>
      </c>
      <c r="I67" s="781">
        <v>2860714</v>
      </c>
      <c r="J67" s="414"/>
      <c r="K67" s="414"/>
      <c r="L67" s="414"/>
      <c r="M67" s="414"/>
      <c r="N67" s="414"/>
      <c r="O67" s="414"/>
      <c r="P67" s="414"/>
      <c r="Q67" s="414"/>
      <c r="R67" s="414"/>
      <c r="S67" s="414"/>
      <c r="T67" s="414"/>
      <c r="U67" s="414"/>
      <c r="V67" s="414"/>
      <c r="W67" s="414"/>
      <c r="X67" s="414"/>
      <c r="Y67" s="414"/>
      <c r="Z67" s="414"/>
    </row>
    <row r="68" spans="1:26" ht="15.75" thickBot="1">
      <c r="A68" s="778" t="s">
        <v>802</v>
      </c>
      <c r="B68" s="773">
        <v>6</v>
      </c>
      <c r="C68" s="790">
        <f>+C66+C67</f>
        <v>19932071.298671972</v>
      </c>
      <c r="D68" s="774">
        <f t="shared" ref="D68" si="10">+D66+D67</f>
        <v>0</v>
      </c>
      <c r="E68" s="1045">
        <v>5811930</v>
      </c>
      <c r="F68" s="774"/>
      <c r="G68" s="790">
        <f>+G66+G67</f>
        <v>-3007023.9500000104</v>
      </c>
      <c r="H68" s="781">
        <f>+H66+H67</f>
        <v>70061.049999989569</v>
      </c>
      <c r="I68" s="781">
        <f>+I66+I67</f>
        <v>9185168</v>
      </c>
      <c r="J68" s="414"/>
      <c r="K68" s="414"/>
      <c r="L68" s="414"/>
      <c r="M68" s="414"/>
      <c r="N68" s="414"/>
      <c r="O68" s="414"/>
      <c r="P68" s="414"/>
      <c r="Q68" s="414"/>
      <c r="R68" s="414"/>
      <c r="S68" s="414"/>
      <c r="T68" s="414"/>
      <c r="U68" s="414"/>
      <c r="V68" s="414"/>
      <c r="W68" s="414"/>
      <c r="X68" s="414"/>
      <c r="Y68" s="414"/>
      <c r="Z68" s="414"/>
    </row>
    <row r="69" spans="1:26" ht="5.0999999999999996" customHeight="1" thickTop="1">
      <c r="A69" s="414"/>
      <c r="B69" s="414"/>
      <c r="C69" s="414"/>
      <c r="E69" s="791"/>
      <c r="F69" s="791"/>
      <c r="G69" s="791"/>
      <c r="H69" s="791"/>
      <c r="I69" s="791"/>
      <c r="J69" s="414"/>
      <c r="K69" s="414"/>
      <c r="L69" s="414"/>
      <c r="M69" s="414"/>
      <c r="N69" s="414"/>
      <c r="O69" s="414"/>
      <c r="P69" s="414"/>
      <c r="Q69" s="414"/>
      <c r="R69" s="414"/>
      <c r="S69" s="414"/>
      <c r="T69" s="414"/>
      <c r="U69" s="414"/>
      <c r="V69" s="414"/>
      <c r="W69" s="414"/>
      <c r="X69" s="414"/>
      <c r="Y69" s="414"/>
      <c r="Z69" s="414"/>
    </row>
    <row r="70" spans="1:26" ht="11.25" customHeight="1">
      <c r="A70" s="414" t="s">
        <v>803</v>
      </c>
      <c r="B70" s="414"/>
      <c r="C70" s="1053">
        <f>+C68-'ESF20'!C5</f>
        <v>2311.8086719736457</v>
      </c>
      <c r="F70" s="791"/>
      <c r="G70" s="791"/>
      <c r="H70" s="791"/>
      <c r="I70" s="791"/>
      <c r="J70" s="414"/>
      <c r="K70" s="414"/>
      <c r="L70" s="414"/>
      <c r="M70" s="414"/>
      <c r="N70" s="414"/>
      <c r="O70" s="414"/>
      <c r="P70" s="414"/>
      <c r="Q70" s="414"/>
      <c r="R70" s="414"/>
      <c r="S70" s="414"/>
      <c r="T70" s="414"/>
      <c r="U70" s="414"/>
      <c r="V70" s="414"/>
      <c r="W70" s="414"/>
      <c r="X70" s="414"/>
      <c r="Y70" s="414"/>
      <c r="Z70" s="414"/>
    </row>
    <row r="71" spans="1:26" ht="5.0999999999999996" customHeight="1">
      <c r="A71" s="414"/>
      <c r="B71" s="414"/>
      <c r="C71" s="414"/>
      <c r="E71" s="791"/>
      <c r="F71" s="791"/>
      <c r="G71" s="791"/>
      <c r="H71" s="791"/>
      <c r="I71" s="791"/>
      <c r="J71" s="414"/>
      <c r="K71" s="414"/>
      <c r="L71" s="414"/>
      <c r="M71" s="414"/>
      <c r="N71" s="414"/>
      <c r="O71" s="414"/>
      <c r="P71" s="414"/>
      <c r="Q71" s="414"/>
      <c r="R71" s="414"/>
      <c r="S71" s="414"/>
      <c r="T71" s="414"/>
      <c r="U71" s="414"/>
      <c r="V71" s="414"/>
      <c r="W71" s="414"/>
      <c r="X71" s="414"/>
      <c r="Y71" s="414"/>
      <c r="Z71" s="414"/>
    </row>
    <row r="72" spans="1:26">
      <c r="E72" s="792"/>
      <c r="F72" s="792"/>
      <c r="G72" s="791"/>
      <c r="H72" s="791"/>
      <c r="I72" s="791"/>
      <c r="J72" s="414"/>
      <c r="K72" s="414"/>
      <c r="L72" s="414"/>
      <c r="M72" s="414"/>
      <c r="N72" s="414"/>
      <c r="O72" s="414"/>
      <c r="P72" s="414"/>
      <c r="Q72" s="414"/>
      <c r="R72" s="414"/>
      <c r="S72" s="414"/>
      <c r="T72" s="414"/>
      <c r="U72" s="414"/>
      <c r="V72" s="414"/>
      <c r="W72" s="414"/>
      <c r="X72" s="414"/>
      <c r="Y72" s="414"/>
      <c r="Z72" s="414"/>
    </row>
    <row r="73" spans="1:26">
      <c r="E73" s="428">
        <v>0</v>
      </c>
      <c r="F73" s="428"/>
      <c r="G73" s="791"/>
      <c r="H73" s="791"/>
      <c r="I73" s="791"/>
      <c r="J73" s="414"/>
      <c r="K73" s="414"/>
      <c r="L73" s="414"/>
      <c r="M73" s="414"/>
      <c r="N73" s="414"/>
      <c r="O73" s="414"/>
      <c r="P73" s="414"/>
      <c r="Q73" s="414"/>
      <c r="R73" s="414"/>
      <c r="S73" s="414"/>
      <c r="T73" s="414"/>
      <c r="U73" s="414"/>
      <c r="V73" s="414"/>
      <c r="W73" s="414"/>
      <c r="X73" s="414"/>
      <c r="Y73" s="414"/>
      <c r="Z73" s="414"/>
    </row>
    <row r="74" spans="1:26">
      <c r="E74" s="428"/>
      <c r="F74" s="428"/>
      <c r="G74" s="791"/>
      <c r="H74" s="791"/>
      <c r="I74" s="791"/>
      <c r="J74" s="414"/>
      <c r="K74" s="414"/>
      <c r="L74" s="414"/>
      <c r="M74" s="414"/>
      <c r="N74" s="414"/>
      <c r="O74" s="414"/>
      <c r="P74" s="414"/>
      <c r="Q74" s="414"/>
      <c r="R74" s="414"/>
      <c r="S74" s="414"/>
      <c r="T74" s="414"/>
      <c r="U74" s="414"/>
      <c r="V74" s="414"/>
      <c r="W74" s="414"/>
      <c r="X74" s="414"/>
      <c r="Y74" s="414"/>
      <c r="Z74" s="414"/>
    </row>
    <row r="75" spans="1:26">
      <c r="G75" s="414"/>
      <c r="H75" s="642"/>
      <c r="I75" s="414"/>
      <c r="J75" s="414"/>
      <c r="K75" s="414"/>
      <c r="L75" s="414"/>
      <c r="M75" s="414"/>
      <c r="N75" s="414"/>
      <c r="O75" s="414"/>
      <c r="P75" s="414"/>
      <c r="Q75" s="414"/>
      <c r="R75" s="414"/>
      <c r="S75" s="414"/>
      <c r="T75" s="414"/>
      <c r="U75" s="414"/>
      <c r="V75" s="414"/>
      <c r="W75" s="414"/>
      <c r="X75" s="414"/>
      <c r="Y75" s="414"/>
      <c r="Z75" s="414"/>
    </row>
    <row r="76" spans="1:26">
      <c r="G76" s="414"/>
      <c r="H76" s="414"/>
      <c r="I76" s="414"/>
      <c r="J76" s="414"/>
      <c r="K76" s="414"/>
      <c r="L76" s="414"/>
      <c r="M76" s="414"/>
      <c r="N76" s="414"/>
      <c r="O76" s="414"/>
      <c r="P76" s="414"/>
      <c r="Q76" s="414"/>
      <c r="R76" s="414"/>
      <c r="S76" s="414"/>
      <c r="T76" s="414"/>
      <c r="U76" s="414"/>
      <c r="V76" s="414"/>
      <c r="W76" s="414"/>
      <c r="X76" s="414"/>
      <c r="Y76" s="414"/>
      <c r="Z76" s="414"/>
    </row>
    <row r="77" spans="1:26">
      <c r="G77" s="414"/>
      <c r="H77" s="414"/>
      <c r="I77" s="414"/>
      <c r="J77" s="414"/>
      <c r="K77" s="414"/>
      <c r="L77" s="414"/>
      <c r="M77" s="414"/>
      <c r="N77" s="414"/>
      <c r="O77" s="414"/>
      <c r="P77" s="414"/>
      <c r="Q77" s="414"/>
      <c r="R77" s="414"/>
      <c r="S77" s="414"/>
      <c r="T77" s="414"/>
      <c r="U77" s="414"/>
      <c r="V77" s="414"/>
      <c r="W77" s="414"/>
      <c r="X77" s="414"/>
      <c r="Y77" s="414"/>
      <c r="Z77" s="414"/>
    </row>
    <row r="78" spans="1:26">
      <c r="G78" s="414"/>
      <c r="H78" s="414"/>
      <c r="I78" s="414"/>
      <c r="J78" s="414"/>
      <c r="K78" s="414"/>
      <c r="L78" s="414"/>
      <c r="M78" s="414"/>
      <c r="N78" s="414"/>
      <c r="O78" s="414"/>
      <c r="P78" s="414"/>
      <c r="Q78" s="414"/>
      <c r="R78" s="414"/>
      <c r="S78" s="414"/>
      <c r="T78" s="414"/>
      <c r="U78" s="414"/>
      <c r="V78" s="414"/>
      <c r="W78" s="414"/>
      <c r="X78" s="414"/>
      <c r="Y78" s="414"/>
      <c r="Z78" s="414"/>
    </row>
    <row r="79" spans="1:26">
      <c r="G79" s="414"/>
      <c r="H79" s="414"/>
      <c r="I79" s="414"/>
      <c r="J79" s="414"/>
      <c r="K79" s="414"/>
      <c r="L79" s="414"/>
      <c r="M79" s="414"/>
      <c r="N79" s="414"/>
      <c r="O79" s="414"/>
      <c r="P79" s="414"/>
      <c r="Q79" s="414"/>
      <c r="R79" s="414"/>
      <c r="S79" s="414"/>
      <c r="T79" s="414"/>
      <c r="U79" s="414"/>
      <c r="V79" s="414"/>
      <c r="W79" s="414"/>
      <c r="X79" s="414"/>
      <c r="Y79" s="414"/>
      <c r="Z79" s="414"/>
    </row>
    <row r="80" spans="1:26">
      <c r="G80" s="414"/>
      <c r="H80" s="414"/>
      <c r="I80" s="414"/>
      <c r="J80" s="414"/>
      <c r="K80" s="414"/>
      <c r="L80" s="414"/>
      <c r="M80" s="414"/>
      <c r="N80" s="414"/>
      <c r="O80" s="414"/>
      <c r="P80" s="414"/>
      <c r="Q80" s="414"/>
      <c r="R80" s="414"/>
      <c r="S80" s="414"/>
      <c r="T80" s="414"/>
      <c r="U80" s="414"/>
      <c r="V80" s="414"/>
      <c r="W80" s="414"/>
      <c r="X80" s="414"/>
      <c r="Y80" s="414"/>
      <c r="Z80" s="414"/>
    </row>
    <row r="81" spans="7:26">
      <c r="G81" s="414"/>
      <c r="H81" s="414"/>
      <c r="I81" s="414"/>
      <c r="J81" s="414"/>
      <c r="K81" s="414"/>
      <c r="L81" s="414"/>
      <c r="M81" s="414"/>
      <c r="N81" s="414"/>
      <c r="O81" s="414"/>
      <c r="P81" s="414"/>
      <c r="Q81" s="414"/>
      <c r="R81" s="414"/>
      <c r="S81" s="414"/>
      <c r="T81" s="414"/>
      <c r="U81" s="414"/>
      <c r="V81" s="414"/>
      <c r="W81" s="414"/>
      <c r="X81" s="414"/>
      <c r="Y81" s="414"/>
      <c r="Z81" s="414"/>
    </row>
  </sheetData>
  <pageMargins left="0.7" right="0.7" top="0.75" bottom="0.75" header="0.51180555555555496" footer="0.51180555555555496"/>
  <pageSetup scale="8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215968"/>
  </sheetPr>
  <dimension ref="A1:AMJ80"/>
  <sheetViews>
    <sheetView showGridLines="0" zoomScale="80" zoomScaleNormal="80" workbookViewId="0">
      <pane xSplit="1" ySplit="4" topLeftCell="H53" activePane="bottomRight" state="frozen"/>
      <selection pane="topRight" activeCell="H1" sqref="H1"/>
      <selection pane="bottomLeft" activeCell="A53" sqref="A53"/>
      <selection pane="bottomRight" activeCell="J18" sqref="J18"/>
    </sheetView>
  </sheetViews>
  <sheetFormatPr defaultColWidth="11.42578125" defaultRowHeight="15"/>
  <cols>
    <col min="1" max="1" width="47.7109375" style="793" customWidth="1"/>
    <col min="2" max="2" width="17.28515625" style="793" customWidth="1"/>
    <col min="3" max="3" width="17.140625" style="793" customWidth="1"/>
    <col min="4" max="4" width="19.140625" style="793" customWidth="1"/>
    <col min="5" max="5" width="14.140625" style="793" customWidth="1"/>
    <col min="6" max="6" width="14.7109375" style="793" customWidth="1"/>
    <col min="7" max="7" width="13.7109375" style="793" customWidth="1"/>
    <col min="8" max="8" width="16.28515625" style="793" customWidth="1"/>
    <col min="9" max="9" width="14.85546875" style="793" customWidth="1"/>
    <col min="10" max="10" width="15.85546875" style="793" customWidth="1"/>
    <col min="11" max="11" width="14.85546875" style="793" customWidth="1"/>
    <col min="12" max="12" width="14.42578125" style="793" customWidth="1"/>
    <col min="13" max="13" width="15.85546875" style="793" customWidth="1"/>
    <col min="14" max="14" width="18" style="793" customWidth="1"/>
    <col min="15" max="15" width="8.28515625" style="793" customWidth="1"/>
    <col min="16" max="17" width="16.28515625" style="793" customWidth="1"/>
    <col min="18" max="18" width="17.42578125" style="793" customWidth="1"/>
    <col min="19" max="19" width="14.28515625" style="793" customWidth="1"/>
    <col min="20" max="20" width="14.42578125" style="793" customWidth="1"/>
    <col min="21" max="21" width="11.42578125" style="793"/>
    <col min="22" max="22" width="14" style="793" customWidth="1"/>
    <col min="23" max="23" width="13.28515625" style="793" customWidth="1"/>
    <col min="24" max="1024" width="11.42578125" style="793"/>
  </cols>
  <sheetData>
    <row r="1" spans="1:22">
      <c r="A1" s="794" t="s">
        <v>0</v>
      </c>
      <c r="C1" s="795"/>
    </row>
    <row r="2" spans="1:22">
      <c r="A2" s="796" t="s">
        <v>1</v>
      </c>
      <c r="C2" s="797"/>
    </row>
    <row r="3" spans="1:22" ht="15" customHeight="1">
      <c r="A3" s="798"/>
      <c r="E3" s="795"/>
      <c r="P3" s="1069" t="s">
        <v>2</v>
      </c>
      <c r="Q3" s="1069"/>
    </row>
    <row r="4" spans="1:22" ht="38.25">
      <c r="A4" s="799" t="s">
        <v>3</v>
      </c>
      <c r="B4" s="800" t="s">
        <v>804</v>
      </c>
      <c r="C4" s="800" t="s">
        <v>805</v>
      </c>
      <c r="D4" s="800" t="s">
        <v>806</v>
      </c>
      <c r="E4" s="800" t="s">
        <v>807</v>
      </c>
      <c r="F4" s="800" t="s">
        <v>808</v>
      </c>
      <c r="G4" s="800" t="s">
        <v>809</v>
      </c>
      <c r="H4" s="800" t="s">
        <v>810</v>
      </c>
      <c r="I4" s="800" t="s">
        <v>811</v>
      </c>
      <c r="J4" s="800" t="s">
        <v>812</v>
      </c>
      <c r="K4" s="800" t="s">
        <v>813</v>
      </c>
      <c r="L4" s="800" t="s">
        <v>814</v>
      </c>
      <c r="M4" s="800" t="s">
        <v>815</v>
      </c>
      <c r="N4" s="800" t="s">
        <v>259</v>
      </c>
      <c r="O4" s="800" t="s">
        <v>17</v>
      </c>
      <c r="P4" s="800" t="s">
        <v>18</v>
      </c>
      <c r="Q4" s="800" t="s">
        <v>19</v>
      </c>
      <c r="R4" s="800" t="s">
        <v>33</v>
      </c>
    </row>
    <row r="5" spans="1:22" ht="15.75" customHeight="1">
      <c r="A5" s="801" t="s">
        <v>35</v>
      </c>
      <c r="B5" s="327">
        <v>1607132</v>
      </c>
      <c r="C5" s="327">
        <v>42926</v>
      </c>
      <c r="D5" s="327">
        <v>6856</v>
      </c>
      <c r="E5" s="327">
        <v>2227</v>
      </c>
      <c r="F5" s="327">
        <v>3845</v>
      </c>
      <c r="G5" s="327">
        <v>0</v>
      </c>
      <c r="H5" s="327">
        <v>0</v>
      </c>
      <c r="I5" s="327">
        <v>10000</v>
      </c>
      <c r="J5" s="327">
        <v>0</v>
      </c>
      <c r="K5" s="327">
        <v>5631</v>
      </c>
      <c r="L5" s="327">
        <v>10301</v>
      </c>
      <c r="M5" s="327">
        <v>53644</v>
      </c>
      <c r="N5" s="802">
        <f t="shared" ref="N5:N22" si="0">SUM(B5:M5)</f>
        <v>1742562</v>
      </c>
      <c r="O5" s="803"/>
      <c r="P5" s="327"/>
      <c r="Q5" s="327"/>
      <c r="R5" s="328">
        <f t="shared" ref="R5:R22" si="1">N5+P5-Q5</f>
        <v>1742562</v>
      </c>
    </row>
    <row r="6" spans="1:22" ht="27.75" customHeight="1">
      <c r="A6" s="801" t="s">
        <v>36</v>
      </c>
      <c r="B6" s="327">
        <v>2644455</v>
      </c>
      <c r="C6" s="327">
        <v>0</v>
      </c>
      <c r="D6" s="327">
        <v>0</v>
      </c>
      <c r="E6" s="327">
        <v>0</v>
      </c>
      <c r="F6" s="327">
        <v>0</v>
      </c>
      <c r="G6" s="327">
        <v>0</v>
      </c>
      <c r="H6" s="327">
        <v>0</v>
      </c>
      <c r="I6" s="327">
        <v>0</v>
      </c>
      <c r="J6" s="327">
        <v>0</v>
      </c>
      <c r="K6" s="327">
        <v>0</v>
      </c>
      <c r="L6" s="327">
        <v>0</v>
      </c>
      <c r="M6" s="327">
        <v>0</v>
      </c>
      <c r="N6" s="802">
        <f t="shared" si="0"/>
        <v>2644455</v>
      </c>
      <c r="O6" s="803"/>
      <c r="P6" s="327"/>
      <c r="Q6" s="327"/>
      <c r="R6" s="328">
        <f t="shared" si="1"/>
        <v>2644455</v>
      </c>
    </row>
    <row r="7" spans="1:22" ht="26.25" customHeight="1">
      <c r="A7" s="801" t="s">
        <v>37</v>
      </c>
      <c r="B7" s="327">
        <v>102620</v>
      </c>
      <c r="C7" s="327">
        <v>0</v>
      </c>
      <c r="D7" s="327">
        <v>0</v>
      </c>
      <c r="E7" s="327">
        <v>0</v>
      </c>
      <c r="F7" s="327">
        <v>0</v>
      </c>
      <c r="G7" s="327">
        <v>0</v>
      </c>
      <c r="H7" s="327">
        <v>0</v>
      </c>
      <c r="I7" s="327">
        <v>0</v>
      </c>
      <c r="J7" s="327">
        <v>0</v>
      </c>
      <c r="K7" s="327">
        <v>0</v>
      </c>
      <c r="L7" s="327">
        <v>0</v>
      </c>
      <c r="M7" s="327">
        <v>0</v>
      </c>
      <c r="N7" s="802">
        <f t="shared" si="0"/>
        <v>102620</v>
      </c>
      <c r="O7" s="803"/>
      <c r="P7" s="327"/>
      <c r="Q7" s="327"/>
      <c r="R7" s="328">
        <f t="shared" si="1"/>
        <v>102620</v>
      </c>
    </row>
    <row r="8" spans="1:22" ht="15.75" customHeight="1">
      <c r="A8" s="801" t="s">
        <v>38</v>
      </c>
      <c r="B8" s="327">
        <v>10565005</v>
      </c>
      <c r="C8" s="327">
        <v>4461516</v>
      </c>
      <c r="D8" s="327">
        <v>273861</v>
      </c>
      <c r="E8" s="327">
        <v>0</v>
      </c>
      <c r="F8" s="327">
        <v>18892</v>
      </c>
      <c r="G8" s="327">
        <v>0</v>
      </c>
      <c r="H8" s="327">
        <v>0</v>
      </c>
      <c r="I8" s="327">
        <v>0</v>
      </c>
      <c r="J8" s="327">
        <v>0</v>
      </c>
      <c r="K8" s="327">
        <v>41672</v>
      </c>
      <c r="L8" s="327">
        <f>81977-46414</f>
        <v>35563</v>
      </c>
      <c r="M8" s="327">
        <v>166895</v>
      </c>
      <c r="N8" s="802">
        <f t="shared" si="0"/>
        <v>15563404</v>
      </c>
      <c r="O8" s="803" t="s">
        <v>39</v>
      </c>
      <c r="P8" s="327"/>
      <c r="Q8" s="327">
        <f>+'Diarios Cxc Cxp relac (c)'!E36</f>
        <v>0</v>
      </c>
      <c r="R8" s="328">
        <f t="shared" si="1"/>
        <v>15563404</v>
      </c>
      <c r="T8" s="795"/>
    </row>
    <row r="9" spans="1:22">
      <c r="A9" s="801" t="s">
        <v>40</v>
      </c>
      <c r="B9" s="327">
        <v>32908556</v>
      </c>
      <c r="C9" s="327">
        <v>2044176</v>
      </c>
      <c r="D9" s="327">
        <v>717537</v>
      </c>
      <c r="E9" s="327">
        <v>990080</v>
      </c>
      <c r="F9" s="327">
        <v>0</v>
      </c>
      <c r="G9" s="327">
        <v>0</v>
      </c>
      <c r="H9" s="327">
        <v>0</v>
      </c>
      <c r="I9" s="327">
        <v>0</v>
      </c>
      <c r="J9" s="327">
        <v>0</v>
      </c>
      <c r="K9" s="327">
        <v>0</v>
      </c>
      <c r="L9" s="327">
        <v>0</v>
      </c>
      <c r="M9" s="327">
        <v>10000</v>
      </c>
      <c r="N9" s="802">
        <f t="shared" si="0"/>
        <v>36670349</v>
      </c>
      <c r="O9" s="803" t="s">
        <v>39</v>
      </c>
      <c r="P9" s="327"/>
      <c r="Q9" s="327">
        <v>11595352</v>
      </c>
      <c r="R9" s="328">
        <f t="shared" si="1"/>
        <v>25074997</v>
      </c>
    </row>
    <row r="10" spans="1:22" ht="15.75" customHeight="1">
      <c r="A10" s="801" t="s">
        <v>42</v>
      </c>
      <c r="B10" s="327">
        <v>5481731</v>
      </c>
      <c r="C10" s="327">
        <v>4477</v>
      </c>
      <c r="D10" s="327">
        <v>0</v>
      </c>
      <c r="E10" s="327">
        <v>0</v>
      </c>
      <c r="F10" s="327"/>
      <c r="G10" s="327">
        <v>0</v>
      </c>
      <c r="H10" s="327">
        <v>0</v>
      </c>
      <c r="I10" s="327">
        <v>0</v>
      </c>
      <c r="J10" s="327">
        <v>0</v>
      </c>
      <c r="K10" s="327">
        <v>448</v>
      </c>
      <c r="L10" s="327">
        <f>35886+1569+4835</f>
        <v>42290</v>
      </c>
      <c r="M10" s="327">
        <v>9502</v>
      </c>
      <c r="N10" s="802">
        <f t="shared" si="0"/>
        <v>5538448</v>
      </c>
      <c r="O10" s="803" t="s">
        <v>39</v>
      </c>
      <c r="P10" s="327"/>
      <c r="Q10" s="327">
        <f>'Diarios Cxc Cxp relac (c)'!E35</f>
        <v>0</v>
      </c>
      <c r="R10" s="328">
        <f t="shared" si="1"/>
        <v>5538448</v>
      </c>
    </row>
    <row r="11" spans="1:22" ht="15.75" customHeight="1">
      <c r="A11" s="801" t="s">
        <v>43</v>
      </c>
      <c r="B11" s="327">
        <v>480186</v>
      </c>
      <c r="C11" s="327">
        <v>0</v>
      </c>
      <c r="D11" s="327">
        <v>60656</v>
      </c>
      <c r="E11" s="327">
        <v>134914</v>
      </c>
      <c r="F11" s="327">
        <v>123577</v>
      </c>
      <c r="G11" s="327">
        <v>0</v>
      </c>
      <c r="H11" s="327">
        <v>7989</v>
      </c>
      <c r="I11" s="327">
        <v>0</v>
      </c>
      <c r="J11" s="327">
        <v>0</v>
      </c>
      <c r="K11" s="327">
        <v>242520</v>
      </c>
      <c r="L11" s="327">
        <v>74937</v>
      </c>
      <c r="M11" s="327" t="s">
        <v>44</v>
      </c>
      <c r="N11" s="802">
        <f t="shared" si="0"/>
        <v>1124779</v>
      </c>
      <c r="O11" s="803"/>
      <c r="P11" s="327"/>
      <c r="Q11" s="327"/>
      <c r="R11" s="328">
        <f t="shared" si="1"/>
        <v>1124779</v>
      </c>
    </row>
    <row r="12" spans="1:22" ht="15.75" customHeight="1">
      <c r="A12" s="801" t="s">
        <v>45</v>
      </c>
      <c r="B12" s="327">
        <v>625964</v>
      </c>
      <c r="C12" s="327">
        <v>0</v>
      </c>
      <c r="D12" s="327">
        <v>152</v>
      </c>
      <c r="E12" s="327">
        <v>0</v>
      </c>
      <c r="F12" s="327">
        <v>0</v>
      </c>
      <c r="G12" s="327">
        <v>0</v>
      </c>
      <c r="H12" s="327">
        <v>0</v>
      </c>
      <c r="I12" s="327">
        <v>0</v>
      </c>
      <c r="J12" s="327">
        <v>0</v>
      </c>
      <c r="K12" s="327">
        <v>16068</v>
      </c>
      <c r="L12" s="327">
        <v>0</v>
      </c>
      <c r="M12" s="327">
        <v>0</v>
      </c>
      <c r="N12" s="802">
        <f t="shared" si="0"/>
        <v>642184</v>
      </c>
      <c r="O12" s="803"/>
      <c r="P12" s="327"/>
      <c r="Q12" s="327"/>
      <c r="R12" s="328">
        <f t="shared" si="1"/>
        <v>642184</v>
      </c>
    </row>
    <row r="13" spans="1:22" ht="15.75" customHeight="1">
      <c r="A13" s="801" t="s">
        <v>46</v>
      </c>
      <c r="B13" s="327">
        <v>14883321</v>
      </c>
      <c r="C13" s="327">
        <v>0</v>
      </c>
      <c r="D13" s="327">
        <v>1706</v>
      </c>
      <c r="E13" s="327">
        <v>0</v>
      </c>
      <c r="F13" s="327">
        <v>0</v>
      </c>
      <c r="G13" s="327">
        <v>0</v>
      </c>
      <c r="H13" s="327">
        <v>0</v>
      </c>
      <c r="I13" s="327">
        <v>0</v>
      </c>
      <c r="J13" s="327">
        <v>0</v>
      </c>
      <c r="K13" s="327">
        <v>11306</v>
      </c>
      <c r="L13" s="327">
        <v>0</v>
      </c>
      <c r="M13" s="327">
        <v>0</v>
      </c>
      <c r="N13" s="802">
        <f t="shared" si="0"/>
        <v>14896333</v>
      </c>
      <c r="O13" s="803"/>
      <c r="P13" s="327"/>
      <c r="Q13" s="327">
        <f>'Ventas-Compras (d)'!E30</f>
        <v>11306</v>
      </c>
      <c r="R13" s="328">
        <f t="shared" si="1"/>
        <v>14885027</v>
      </c>
    </row>
    <row r="14" spans="1:22" ht="15.75" customHeight="1">
      <c r="A14" s="801" t="s">
        <v>48</v>
      </c>
      <c r="B14" s="327">
        <v>40694</v>
      </c>
      <c r="C14" s="327">
        <v>0</v>
      </c>
      <c r="D14" s="327">
        <v>0</v>
      </c>
      <c r="E14" s="327">
        <v>0</v>
      </c>
      <c r="F14" s="327">
        <v>0</v>
      </c>
      <c r="G14" s="327">
        <v>0</v>
      </c>
      <c r="H14" s="327">
        <v>0</v>
      </c>
      <c r="I14" s="327">
        <v>0</v>
      </c>
      <c r="J14" s="327">
        <v>0</v>
      </c>
      <c r="K14" s="327">
        <v>0</v>
      </c>
      <c r="L14" s="327">
        <v>0</v>
      </c>
      <c r="M14" s="327">
        <v>0</v>
      </c>
      <c r="N14" s="802">
        <f t="shared" si="0"/>
        <v>40694</v>
      </c>
      <c r="O14" s="803" t="s">
        <v>39</v>
      </c>
      <c r="P14" s="327">
        <v>3150764</v>
      </c>
      <c r="Q14" s="327">
        <f>'Diarios Cxc Cxp relac (c)'!E34</f>
        <v>40694</v>
      </c>
      <c r="R14" s="804">
        <f t="shared" si="1"/>
        <v>3150764</v>
      </c>
    </row>
    <row r="15" spans="1:22" ht="15.75" customHeight="1">
      <c r="A15" s="801" t="s">
        <v>49</v>
      </c>
      <c r="B15" s="327">
        <v>3212434</v>
      </c>
      <c r="C15" s="327">
        <v>0</v>
      </c>
      <c r="D15" s="327">
        <v>0</v>
      </c>
      <c r="E15" s="327">
        <v>0</v>
      </c>
      <c r="F15" s="327">
        <v>0</v>
      </c>
      <c r="G15" s="327">
        <v>0</v>
      </c>
      <c r="H15" s="327">
        <v>0</v>
      </c>
      <c r="I15" s="327">
        <v>0</v>
      </c>
      <c r="J15" s="327">
        <v>0</v>
      </c>
      <c r="K15" s="327">
        <v>0</v>
      </c>
      <c r="L15" s="327">
        <v>0</v>
      </c>
      <c r="M15" s="327">
        <v>0</v>
      </c>
      <c r="N15" s="802">
        <f t="shared" si="0"/>
        <v>3212434</v>
      </c>
      <c r="O15" s="803"/>
      <c r="P15" s="327"/>
      <c r="Q15" s="327"/>
      <c r="R15" s="328">
        <f t="shared" si="1"/>
        <v>3212434</v>
      </c>
      <c r="V15" s="795">
        <f>B15-R15</f>
        <v>0</v>
      </c>
    </row>
    <row r="16" spans="1:22" ht="14.25" customHeight="1">
      <c r="A16" s="801" t="s">
        <v>50</v>
      </c>
      <c r="B16" s="327">
        <v>66573020</v>
      </c>
      <c r="C16" s="327">
        <v>44671913</v>
      </c>
      <c r="D16" s="327">
        <v>3233810</v>
      </c>
      <c r="E16" s="327">
        <v>33545</v>
      </c>
      <c r="F16" s="327">
        <v>218631</v>
      </c>
      <c r="G16" s="327">
        <v>373713</v>
      </c>
      <c r="H16" s="327">
        <v>0</v>
      </c>
      <c r="I16" s="327">
        <v>0</v>
      </c>
      <c r="J16" s="327">
        <v>1140</v>
      </c>
      <c r="K16" s="327">
        <v>1718909</v>
      </c>
      <c r="L16" s="327">
        <v>367967</v>
      </c>
      <c r="M16" s="327">
        <v>204656</v>
      </c>
      <c r="N16" s="802">
        <f t="shared" si="0"/>
        <v>117397304</v>
      </c>
      <c r="O16" s="803" t="s">
        <v>52</v>
      </c>
      <c r="P16" s="327">
        <f>'Diario 2015 (a)'!C10</f>
        <v>881973.00000000605</v>
      </c>
      <c r="Q16" s="327">
        <v>5392876</v>
      </c>
      <c r="R16" s="328">
        <f t="shared" si="1"/>
        <v>112886401</v>
      </c>
      <c r="S16" s="795"/>
    </row>
    <row r="17" spans="1:20" ht="15.75" customHeight="1">
      <c r="A17" s="801" t="s">
        <v>53</v>
      </c>
      <c r="B17" s="327">
        <v>661755</v>
      </c>
      <c r="C17" s="327">
        <v>0</v>
      </c>
      <c r="D17" s="327">
        <v>0</v>
      </c>
      <c r="E17" s="327">
        <v>0</v>
      </c>
      <c r="F17" s="327">
        <v>0</v>
      </c>
      <c r="G17" s="327">
        <v>0</v>
      </c>
      <c r="H17" s="327">
        <v>0</v>
      </c>
      <c r="I17" s="327">
        <v>0</v>
      </c>
      <c r="J17" s="327">
        <v>0</v>
      </c>
      <c r="K17" s="327">
        <v>0</v>
      </c>
      <c r="L17" s="327"/>
      <c r="M17" s="327">
        <v>0</v>
      </c>
      <c r="N17" s="802">
        <f t="shared" si="0"/>
        <v>661755</v>
      </c>
      <c r="O17" s="803"/>
      <c r="P17" s="327"/>
      <c r="Q17" s="327"/>
      <c r="R17" s="328">
        <f t="shared" si="1"/>
        <v>661755</v>
      </c>
    </row>
    <row r="18" spans="1:20" ht="15.75" customHeight="1">
      <c r="A18" s="801" t="s">
        <v>54</v>
      </c>
      <c r="B18" s="327">
        <v>11586243</v>
      </c>
      <c r="C18" s="805">
        <v>0</v>
      </c>
      <c r="D18" s="327">
        <v>0</v>
      </c>
      <c r="E18" s="327">
        <v>0</v>
      </c>
      <c r="F18" s="327">
        <v>0</v>
      </c>
      <c r="G18" s="327">
        <v>0</v>
      </c>
      <c r="H18" s="327">
        <v>0</v>
      </c>
      <c r="I18" s="327">
        <v>0</v>
      </c>
      <c r="J18" s="327">
        <v>0</v>
      </c>
      <c r="K18" s="327">
        <v>0</v>
      </c>
      <c r="L18" s="327">
        <v>117971</v>
      </c>
      <c r="M18" s="327">
        <v>0</v>
      </c>
      <c r="N18" s="802">
        <f t="shared" si="0"/>
        <v>11704214</v>
      </c>
      <c r="O18" s="803" t="s">
        <v>51</v>
      </c>
      <c r="P18" s="327">
        <v>394335</v>
      </c>
      <c r="Q18" s="327">
        <v>822437</v>
      </c>
      <c r="R18" s="328">
        <f t="shared" si="1"/>
        <v>11276112</v>
      </c>
      <c r="T18" s="795"/>
    </row>
    <row r="19" spans="1:20">
      <c r="A19" s="801" t="s">
        <v>56</v>
      </c>
      <c r="B19" s="327">
        <v>1422229</v>
      </c>
      <c r="C19" s="327">
        <v>0</v>
      </c>
      <c r="D19" s="327">
        <v>0</v>
      </c>
      <c r="E19" s="327">
        <v>0</v>
      </c>
      <c r="F19" s="327">
        <v>0</v>
      </c>
      <c r="G19" s="327">
        <v>0</v>
      </c>
      <c r="H19" s="327">
        <v>0</v>
      </c>
      <c r="I19" s="327">
        <v>0</v>
      </c>
      <c r="J19" s="327">
        <v>0</v>
      </c>
      <c r="K19" s="327">
        <v>0</v>
      </c>
      <c r="L19" s="327">
        <v>0</v>
      </c>
      <c r="M19" s="327">
        <v>0</v>
      </c>
      <c r="N19" s="802">
        <f t="shared" si="0"/>
        <v>1422229</v>
      </c>
      <c r="O19" s="803"/>
      <c r="P19" s="327"/>
      <c r="Q19" s="327"/>
      <c r="R19" s="328">
        <f t="shared" si="1"/>
        <v>1422229</v>
      </c>
    </row>
    <row r="20" spans="1:20">
      <c r="A20" s="801" t="s">
        <v>57</v>
      </c>
      <c r="B20" s="327">
        <v>44513438</v>
      </c>
      <c r="C20" s="327">
        <v>100</v>
      </c>
      <c r="D20" s="327">
        <v>0</v>
      </c>
      <c r="E20" s="327">
        <v>0</v>
      </c>
      <c r="F20" s="327">
        <v>0</v>
      </c>
      <c r="G20" s="327">
        <v>0</v>
      </c>
      <c r="H20" s="327">
        <v>0</v>
      </c>
      <c r="I20" s="327">
        <v>0</v>
      </c>
      <c r="J20" s="327">
        <v>0</v>
      </c>
      <c r="K20" s="327">
        <v>0</v>
      </c>
      <c r="L20" s="327">
        <v>0</v>
      </c>
      <c r="M20" s="327">
        <v>0</v>
      </c>
      <c r="N20" s="802">
        <f t="shared" si="0"/>
        <v>44513538</v>
      </c>
      <c r="O20" s="803" t="s">
        <v>59</v>
      </c>
      <c r="P20" s="327">
        <f>1231351+42502+8000</f>
        <v>1281853</v>
      </c>
      <c r="Q20" s="327">
        <f>-(-1982263-800-943459-147840-462500-140052-1834157-31550577-6000-644000-10000-1113036-340-266632-224942-1)+3150764</f>
        <v>42477363</v>
      </c>
      <c r="R20" s="328">
        <f t="shared" si="1"/>
        <v>3318028</v>
      </c>
    </row>
    <row r="21" spans="1:20">
      <c r="A21" s="801" t="s">
        <v>60</v>
      </c>
      <c r="B21" s="806">
        <v>0</v>
      </c>
      <c r="C21" s="806">
        <v>883849</v>
      </c>
      <c r="D21" s="327">
        <v>0</v>
      </c>
      <c r="E21" s="327">
        <v>0</v>
      </c>
      <c r="F21" s="327">
        <v>0</v>
      </c>
      <c r="G21" s="327">
        <v>0</v>
      </c>
      <c r="H21" s="327">
        <v>0</v>
      </c>
      <c r="I21" s="327">
        <v>0</v>
      </c>
      <c r="J21" s="327">
        <v>0</v>
      </c>
      <c r="L21" s="327">
        <v>0</v>
      </c>
      <c r="M21" s="327">
        <v>0</v>
      </c>
      <c r="N21" s="802">
        <f t="shared" si="0"/>
        <v>883849</v>
      </c>
      <c r="O21" s="803"/>
      <c r="P21" s="327"/>
      <c r="Q21" s="327"/>
      <c r="R21" s="328">
        <f t="shared" si="1"/>
        <v>883849</v>
      </c>
    </row>
    <row r="22" spans="1:20">
      <c r="A22" s="801" t="s">
        <v>61</v>
      </c>
      <c r="B22" s="806">
        <v>105894</v>
      </c>
      <c r="C22" s="327">
        <v>0</v>
      </c>
      <c r="D22" s="327">
        <v>373443</v>
      </c>
      <c r="E22" s="327">
        <v>0</v>
      </c>
      <c r="F22" s="327">
        <v>0</v>
      </c>
      <c r="G22" s="327">
        <v>0</v>
      </c>
      <c r="H22" s="327">
        <v>0</v>
      </c>
      <c r="I22" s="327">
        <v>0</v>
      </c>
      <c r="J22" s="327">
        <v>0</v>
      </c>
      <c r="K22" s="327">
        <v>2963501</v>
      </c>
      <c r="L22" s="327">
        <v>0</v>
      </c>
      <c r="M22" s="327">
        <v>0</v>
      </c>
      <c r="N22" s="802">
        <f t="shared" si="0"/>
        <v>3442838</v>
      </c>
      <c r="O22" s="803"/>
      <c r="P22" s="327"/>
      <c r="Q22" s="327"/>
      <c r="R22" s="328">
        <f t="shared" si="1"/>
        <v>3442838</v>
      </c>
    </row>
    <row r="23" spans="1:20">
      <c r="A23" s="807" t="s">
        <v>63</v>
      </c>
      <c r="B23" s="808">
        <f t="shared" ref="B23:N23" si="2">SUM(B5:B22)</f>
        <v>197414677</v>
      </c>
      <c r="C23" s="808">
        <f t="shared" si="2"/>
        <v>52108957</v>
      </c>
      <c r="D23" s="808">
        <f t="shared" si="2"/>
        <v>4668021</v>
      </c>
      <c r="E23" s="808">
        <f t="shared" si="2"/>
        <v>1160766</v>
      </c>
      <c r="F23" s="808">
        <f t="shared" si="2"/>
        <v>364945</v>
      </c>
      <c r="G23" s="808">
        <f t="shared" si="2"/>
        <v>373713</v>
      </c>
      <c r="H23" s="808">
        <f t="shared" si="2"/>
        <v>7989</v>
      </c>
      <c r="I23" s="808">
        <f t="shared" si="2"/>
        <v>10000</v>
      </c>
      <c r="J23" s="808">
        <f t="shared" si="2"/>
        <v>1140</v>
      </c>
      <c r="K23" s="808">
        <f t="shared" si="2"/>
        <v>5000055</v>
      </c>
      <c r="L23" s="808">
        <f t="shared" si="2"/>
        <v>649029</v>
      </c>
      <c r="M23" s="808">
        <f t="shared" si="2"/>
        <v>444697</v>
      </c>
      <c r="N23" s="808">
        <f t="shared" si="2"/>
        <v>262203989</v>
      </c>
      <c r="O23" s="809"/>
      <c r="P23" s="808">
        <f>+SUM(P5:P22)</f>
        <v>5708925.0000000056</v>
      </c>
      <c r="Q23" s="808">
        <f>+SUM(Q5:Q22)</f>
        <v>60340028</v>
      </c>
      <c r="R23" s="808">
        <f>SUM(R5:R22)</f>
        <v>207572886</v>
      </c>
    </row>
    <row r="24" spans="1:20">
      <c r="A24" s="801" t="s">
        <v>64</v>
      </c>
      <c r="B24" s="327">
        <v>260402</v>
      </c>
      <c r="C24" s="810"/>
      <c r="D24" s="810"/>
      <c r="E24" s="810"/>
      <c r="F24" s="810"/>
      <c r="G24" s="810"/>
      <c r="H24" s="810"/>
      <c r="I24" s="810"/>
      <c r="J24" s="810"/>
      <c r="K24" s="810"/>
      <c r="L24" s="810"/>
      <c r="M24" s="810"/>
      <c r="N24" s="802">
        <f t="shared" ref="N24:N41" si="3">SUM(B24:M24)</f>
        <v>260402</v>
      </c>
      <c r="O24" s="803"/>
      <c r="P24" s="810">
        <v>0</v>
      </c>
      <c r="Q24" s="810">
        <v>0</v>
      </c>
      <c r="R24" s="811">
        <f t="shared" ref="R24:R41" si="4">N24-P24+Q24</f>
        <v>260402</v>
      </c>
    </row>
    <row r="25" spans="1:20">
      <c r="A25" s="801" t="s">
        <v>65</v>
      </c>
      <c r="B25" s="327">
        <v>13413675</v>
      </c>
      <c r="C25" s="327">
        <v>0</v>
      </c>
      <c r="D25" s="327">
        <v>0</v>
      </c>
      <c r="E25" s="327">
        <v>0</v>
      </c>
      <c r="F25" s="327">
        <v>0</v>
      </c>
      <c r="G25" s="327">
        <v>0</v>
      </c>
      <c r="H25" s="327">
        <v>0</v>
      </c>
      <c r="I25" s="327">
        <v>0</v>
      </c>
      <c r="J25" s="327">
        <v>0</v>
      </c>
      <c r="K25" s="327">
        <v>0</v>
      </c>
      <c r="L25" s="327">
        <v>0</v>
      </c>
      <c r="M25" s="327">
        <v>0</v>
      </c>
      <c r="N25" s="802">
        <f t="shared" si="3"/>
        <v>13413675</v>
      </c>
      <c r="O25" s="803"/>
      <c r="P25" s="327"/>
      <c r="Q25" s="327"/>
      <c r="R25" s="811">
        <f t="shared" si="4"/>
        <v>13413675</v>
      </c>
    </row>
    <row r="26" spans="1:20">
      <c r="A26" s="801" t="s">
        <v>66</v>
      </c>
      <c r="B26" s="327">
        <v>11459310</v>
      </c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802">
        <f t="shared" si="3"/>
        <v>11459310</v>
      </c>
      <c r="O26" s="803"/>
      <c r="P26" s="327"/>
      <c r="Q26" s="327"/>
      <c r="R26" s="811">
        <f t="shared" si="4"/>
        <v>11459310</v>
      </c>
    </row>
    <row r="27" spans="1:20" ht="15.75" customHeight="1">
      <c r="A27" s="801" t="s">
        <v>67</v>
      </c>
      <c r="B27" s="327">
        <v>18438625</v>
      </c>
      <c r="C27" s="327">
        <v>2041083</v>
      </c>
      <c r="D27" s="327">
        <v>42437</v>
      </c>
      <c r="E27" s="327">
        <v>0</v>
      </c>
      <c r="F27" s="327"/>
      <c r="G27" s="327">
        <v>0</v>
      </c>
      <c r="H27" s="327">
        <v>0</v>
      </c>
      <c r="I27" s="327">
        <v>0</v>
      </c>
      <c r="J27" s="327">
        <v>0</v>
      </c>
      <c r="K27" s="327">
        <v>24357</v>
      </c>
      <c r="L27" s="327">
        <v>10173</v>
      </c>
      <c r="M27" s="327">
        <v>55288</v>
      </c>
      <c r="N27" s="802">
        <f t="shared" si="3"/>
        <v>20611963</v>
      </c>
      <c r="O27" s="803" t="s">
        <v>39</v>
      </c>
      <c r="P27" s="327">
        <v>175918</v>
      </c>
      <c r="Q27" s="327"/>
      <c r="R27" s="811">
        <f t="shared" si="4"/>
        <v>20436045</v>
      </c>
    </row>
    <row r="28" spans="1:20" ht="15.75" customHeight="1">
      <c r="A28" s="801" t="s">
        <v>68</v>
      </c>
      <c r="B28" s="327">
        <v>1314903</v>
      </c>
      <c r="C28" s="327">
        <f>4733+865104+5397853+278023</f>
        <v>6545713</v>
      </c>
      <c r="D28" s="327">
        <v>0</v>
      </c>
      <c r="E28" s="327">
        <v>180603</v>
      </c>
      <c r="F28" s="327">
        <v>1296079</v>
      </c>
      <c r="G28" s="327">
        <v>0</v>
      </c>
      <c r="H28" s="327">
        <v>0</v>
      </c>
      <c r="I28" s="327">
        <v>0</v>
      </c>
      <c r="J28" s="327">
        <v>0</v>
      </c>
      <c r="K28" s="327">
        <v>0</v>
      </c>
      <c r="L28" s="327">
        <v>125748</v>
      </c>
      <c r="M28" s="327">
        <v>901340</v>
      </c>
      <c r="N28" s="802">
        <f t="shared" si="3"/>
        <v>10364386</v>
      </c>
      <c r="O28" s="803" t="s">
        <v>69</v>
      </c>
      <c r="P28" s="327">
        <f>8450783-26</f>
        <v>8450757</v>
      </c>
      <c r="Q28" s="327"/>
      <c r="R28" s="811">
        <f t="shared" si="4"/>
        <v>1913629</v>
      </c>
    </row>
    <row r="29" spans="1:20" ht="15.75" customHeight="1">
      <c r="A29" s="801" t="s">
        <v>71</v>
      </c>
      <c r="B29" s="327">
        <v>4228478</v>
      </c>
      <c r="C29" s="327">
        <v>0</v>
      </c>
      <c r="D29" s="327">
        <v>39874</v>
      </c>
      <c r="E29" s="327">
        <v>0</v>
      </c>
      <c r="F29" s="327">
        <v>0</v>
      </c>
      <c r="G29" s="327">
        <v>0</v>
      </c>
      <c r="H29" s="327">
        <v>0</v>
      </c>
      <c r="I29" s="327">
        <v>0</v>
      </c>
      <c r="J29" s="327">
        <v>0</v>
      </c>
      <c r="K29" s="327">
        <v>0</v>
      </c>
      <c r="L29" s="327">
        <v>6555</v>
      </c>
      <c r="M29" s="327">
        <v>0</v>
      </c>
      <c r="N29" s="802">
        <f t="shared" si="3"/>
        <v>4274907</v>
      </c>
      <c r="O29" s="803"/>
      <c r="P29" s="327"/>
      <c r="Q29" s="327"/>
      <c r="R29" s="811">
        <f t="shared" si="4"/>
        <v>4274907</v>
      </c>
    </row>
    <row r="30" spans="1:20" ht="15.75" customHeight="1">
      <c r="A30" s="801" t="s">
        <v>72</v>
      </c>
      <c r="B30" s="327">
        <v>4870701</v>
      </c>
      <c r="C30" s="327">
        <v>0</v>
      </c>
      <c r="D30" s="327">
        <v>19615</v>
      </c>
      <c r="E30" s="327">
        <v>0</v>
      </c>
      <c r="F30" s="327">
        <v>0</v>
      </c>
      <c r="G30" s="327">
        <v>0</v>
      </c>
      <c r="H30" s="327">
        <v>0</v>
      </c>
      <c r="I30" s="327">
        <v>0</v>
      </c>
      <c r="J30" s="327">
        <v>0</v>
      </c>
      <c r="K30" s="327">
        <v>551</v>
      </c>
      <c r="L30" s="327">
        <f>26629+15462+477</f>
        <v>42568</v>
      </c>
      <c r="M30" s="327">
        <v>22519</v>
      </c>
      <c r="N30" s="802">
        <f t="shared" si="3"/>
        <v>4955954</v>
      </c>
      <c r="O30" s="803" t="s">
        <v>73</v>
      </c>
      <c r="P30" s="327">
        <f>1380360+25</f>
        <v>1380385</v>
      </c>
      <c r="Q30" s="327" t="e">
        <f>+#REF!</f>
        <v>#REF!</v>
      </c>
      <c r="R30" s="811" t="e">
        <f t="shared" si="4"/>
        <v>#REF!</v>
      </c>
    </row>
    <row r="31" spans="1:20" ht="15.75" customHeight="1">
      <c r="A31" s="801" t="s">
        <v>74</v>
      </c>
      <c r="B31" s="327">
        <v>1953502</v>
      </c>
      <c r="C31" s="327">
        <f>6540980-865104-5397853-278023</f>
        <v>0</v>
      </c>
      <c r="D31" s="327">
        <v>0</v>
      </c>
      <c r="E31" s="327">
        <v>0</v>
      </c>
      <c r="F31" s="327">
        <v>0</v>
      </c>
      <c r="G31" s="327">
        <v>0</v>
      </c>
      <c r="H31" s="327">
        <v>0</v>
      </c>
      <c r="I31" s="327">
        <v>0</v>
      </c>
      <c r="J31" s="327">
        <v>0</v>
      </c>
      <c r="K31" s="327">
        <v>0</v>
      </c>
      <c r="L31" s="327">
        <v>0</v>
      </c>
      <c r="M31" s="327">
        <v>0</v>
      </c>
      <c r="N31" s="802">
        <f t="shared" si="3"/>
        <v>1953502</v>
      </c>
      <c r="O31" s="803"/>
      <c r="P31" s="327"/>
      <c r="Q31" s="327"/>
      <c r="R31" s="811">
        <f t="shared" si="4"/>
        <v>1953502</v>
      </c>
    </row>
    <row r="32" spans="1:20" ht="15.75" customHeight="1">
      <c r="A32" s="801" t="s">
        <v>75</v>
      </c>
      <c r="B32" s="327">
        <v>4524107</v>
      </c>
      <c r="C32" s="327">
        <v>0</v>
      </c>
      <c r="D32" s="327">
        <v>14447</v>
      </c>
      <c r="E32" s="327">
        <v>0</v>
      </c>
      <c r="F32" s="327">
        <v>0</v>
      </c>
      <c r="G32" s="327">
        <v>0</v>
      </c>
      <c r="H32" s="327">
        <v>0</v>
      </c>
      <c r="I32" s="327">
        <v>0</v>
      </c>
      <c r="J32" s="327">
        <v>0</v>
      </c>
      <c r="K32" s="327">
        <v>6596</v>
      </c>
      <c r="L32" s="327">
        <f>11535+2782</f>
        <v>14317</v>
      </c>
      <c r="M32" s="327">
        <v>0</v>
      </c>
      <c r="N32" s="802">
        <f t="shared" si="3"/>
        <v>4559467</v>
      </c>
      <c r="O32" s="803"/>
      <c r="P32" s="327"/>
      <c r="Q32" s="327"/>
      <c r="R32" s="811">
        <f t="shared" si="4"/>
        <v>4559467</v>
      </c>
    </row>
    <row r="33" spans="1:23" ht="15.75" customHeight="1">
      <c r="A33" s="801" t="s">
        <v>76</v>
      </c>
      <c r="B33" s="806">
        <v>4183053</v>
      </c>
      <c r="C33" s="327">
        <v>0</v>
      </c>
      <c r="D33" s="327">
        <v>0</v>
      </c>
      <c r="E33" s="327">
        <v>0</v>
      </c>
      <c r="F33" s="327">
        <v>0</v>
      </c>
      <c r="G33" s="327">
        <v>0</v>
      </c>
      <c r="H33" s="327">
        <v>0</v>
      </c>
      <c r="I33" s="327">
        <v>0</v>
      </c>
      <c r="J33" s="327">
        <v>0</v>
      </c>
      <c r="K33" s="327">
        <v>0</v>
      </c>
      <c r="L33" s="327">
        <v>0</v>
      </c>
      <c r="M33" s="327">
        <v>0</v>
      </c>
      <c r="N33" s="802">
        <f t="shared" si="3"/>
        <v>4183053</v>
      </c>
      <c r="O33" s="803"/>
      <c r="P33" s="327"/>
      <c r="Q33" s="327"/>
      <c r="R33" s="811">
        <f t="shared" si="4"/>
        <v>4183053</v>
      </c>
    </row>
    <row r="34" spans="1:23" ht="15.75" customHeight="1">
      <c r="A34" s="801" t="s">
        <v>77</v>
      </c>
      <c r="B34" s="806">
        <v>9674932</v>
      </c>
      <c r="C34" s="327">
        <v>0</v>
      </c>
      <c r="D34" s="327">
        <v>0</v>
      </c>
      <c r="E34" s="327">
        <v>0</v>
      </c>
      <c r="F34" s="327">
        <v>0</v>
      </c>
      <c r="G34" s="327">
        <v>0</v>
      </c>
      <c r="H34" s="327">
        <v>0</v>
      </c>
      <c r="I34" s="327">
        <v>0</v>
      </c>
      <c r="J34" s="327">
        <v>0</v>
      </c>
      <c r="K34" s="327">
        <v>0</v>
      </c>
      <c r="L34" s="327">
        <v>0</v>
      </c>
      <c r="M34" s="327">
        <v>0</v>
      </c>
      <c r="N34" s="802">
        <f t="shared" si="3"/>
        <v>9674932</v>
      </c>
      <c r="O34" s="803"/>
      <c r="P34" s="327"/>
      <c r="Q34" s="327"/>
      <c r="R34" s="811">
        <f t="shared" si="4"/>
        <v>9674932</v>
      </c>
    </row>
    <row r="35" spans="1:23" ht="15.75" customHeight="1">
      <c r="A35" s="801" t="s">
        <v>78</v>
      </c>
      <c r="B35" s="806">
        <v>6710516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802">
        <f t="shared" si="3"/>
        <v>6710516</v>
      </c>
      <c r="O35" s="803"/>
      <c r="P35" s="327"/>
      <c r="Q35" s="327"/>
      <c r="R35" s="811">
        <f t="shared" si="4"/>
        <v>6710516</v>
      </c>
    </row>
    <row r="36" spans="1:23" ht="15.75" customHeight="1">
      <c r="A36" s="801" t="s">
        <v>79</v>
      </c>
      <c r="B36" s="806">
        <v>2203673</v>
      </c>
      <c r="C36" s="327">
        <v>0</v>
      </c>
      <c r="D36" s="327">
        <v>0</v>
      </c>
      <c r="E36" s="327">
        <v>0</v>
      </c>
      <c r="F36" s="327">
        <v>0</v>
      </c>
      <c r="G36" s="327">
        <v>0</v>
      </c>
      <c r="H36" s="327">
        <v>0</v>
      </c>
      <c r="I36" s="327">
        <v>0</v>
      </c>
      <c r="J36" s="327">
        <v>0</v>
      </c>
      <c r="K36" s="327">
        <v>0</v>
      </c>
      <c r="L36" s="327">
        <v>0</v>
      </c>
      <c r="M36" s="327">
        <v>0</v>
      </c>
      <c r="N36" s="802">
        <f t="shared" si="3"/>
        <v>2203673</v>
      </c>
      <c r="O36" s="803"/>
      <c r="P36" s="327"/>
      <c r="Q36" s="327"/>
      <c r="R36" s="811">
        <f t="shared" si="4"/>
        <v>2203673</v>
      </c>
    </row>
    <row r="37" spans="1:23" ht="15.75" customHeight="1">
      <c r="A37" s="801" t="s">
        <v>80</v>
      </c>
      <c r="B37" s="806">
        <v>10628880</v>
      </c>
      <c r="C37" s="327">
        <v>0</v>
      </c>
      <c r="D37" s="806">
        <v>2566935</v>
      </c>
      <c r="E37" s="327">
        <v>0</v>
      </c>
      <c r="F37" s="327">
        <v>0</v>
      </c>
      <c r="G37" s="327">
        <v>0</v>
      </c>
      <c r="H37" s="327">
        <v>0</v>
      </c>
      <c r="I37" s="327">
        <v>0</v>
      </c>
      <c r="J37" s="327">
        <v>0</v>
      </c>
      <c r="K37" s="806">
        <v>3477854</v>
      </c>
      <c r="L37" s="327">
        <v>507600</v>
      </c>
      <c r="M37" s="327">
        <v>0</v>
      </c>
      <c r="N37" s="802">
        <f t="shared" si="3"/>
        <v>17181269</v>
      </c>
      <c r="O37" s="803" t="s">
        <v>39</v>
      </c>
      <c r="P37" s="327">
        <v>6552389</v>
      </c>
      <c r="Q37" s="327"/>
      <c r="R37" s="811">
        <f t="shared" si="4"/>
        <v>10628880</v>
      </c>
    </row>
    <row r="38" spans="1:23" ht="15.75" customHeight="1">
      <c r="A38" s="801" t="s">
        <v>81</v>
      </c>
      <c r="B38" s="806">
        <v>3182459</v>
      </c>
      <c r="C38" s="327">
        <v>0</v>
      </c>
      <c r="D38" s="327">
        <v>0</v>
      </c>
      <c r="E38" s="327">
        <v>0</v>
      </c>
      <c r="F38" s="327">
        <v>0</v>
      </c>
      <c r="G38" s="327">
        <v>0</v>
      </c>
      <c r="H38" s="327">
        <v>0</v>
      </c>
      <c r="I38" s="327">
        <v>0</v>
      </c>
      <c r="J38" s="327">
        <v>0</v>
      </c>
      <c r="K38" s="327">
        <v>16045</v>
      </c>
      <c r="L38" s="327">
        <v>0</v>
      </c>
      <c r="M38" s="327">
        <v>0</v>
      </c>
      <c r="N38" s="802">
        <f t="shared" si="3"/>
        <v>3198504</v>
      </c>
      <c r="O38" s="803" t="s">
        <v>39</v>
      </c>
      <c r="P38" s="327">
        <v>882525</v>
      </c>
      <c r="Q38" s="327"/>
      <c r="R38" s="811">
        <f t="shared" si="4"/>
        <v>2315979</v>
      </c>
    </row>
    <row r="39" spans="1:23" ht="15.75" customHeight="1">
      <c r="A39" s="801" t="s">
        <v>83</v>
      </c>
      <c r="B39" s="806">
        <v>5140510</v>
      </c>
      <c r="C39" s="327">
        <v>0</v>
      </c>
      <c r="D39" s="327">
        <v>0</v>
      </c>
      <c r="E39" s="327">
        <v>0</v>
      </c>
      <c r="F39" s="327">
        <v>0</v>
      </c>
      <c r="G39" s="327">
        <v>0</v>
      </c>
      <c r="H39" s="327">
        <v>0</v>
      </c>
      <c r="I39" s="327">
        <v>0</v>
      </c>
      <c r="J39" s="327">
        <v>0</v>
      </c>
      <c r="K39" s="806">
        <v>0</v>
      </c>
      <c r="L39" s="806">
        <v>45037</v>
      </c>
      <c r="M39" s="327">
        <v>0</v>
      </c>
      <c r="N39" s="802">
        <f t="shared" si="3"/>
        <v>5185547</v>
      </c>
      <c r="O39" s="803"/>
      <c r="P39" s="327"/>
      <c r="Q39" s="327"/>
      <c r="R39" s="811">
        <f t="shared" si="4"/>
        <v>5185547</v>
      </c>
    </row>
    <row r="40" spans="1:23" ht="15.75" customHeight="1">
      <c r="A40" s="801" t="s">
        <v>84</v>
      </c>
      <c r="B40" s="806">
        <v>20813206</v>
      </c>
      <c r="C40" s="327">
        <v>0</v>
      </c>
      <c r="D40" s="327">
        <v>0</v>
      </c>
      <c r="E40" s="327">
        <v>0</v>
      </c>
      <c r="F40" s="327">
        <v>0</v>
      </c>
      <c r="G40" s="327">
        <v>0</v>
      </c>
      <c r="H40" s="327">
        <v>0</v>
      </c>
      <c r="I40" s="327">
        <v>0</v>
      </c>
      <c r="J40" s="327">
        <v>0</v>
      </c>
      <c r="K40" s="806">
        <v>0</v>
      </c>
      <c r="L40" s="327">
        <v>0</v>
      </c>
      <c r="M40" s="327">
        <v>0</v>
      </c>
      <c r="N40" s="802">
        <f t="shared" si="3"/>
        <v>20813206</v>
      </c>
      <c r="O40" s="803"/>
      <c r="P40" s="327"/>
      <c r="Q40" s="327"/>
      <c r="R40" s="811">
        <f t="shared" si="4"/>
        <v>20813206</v>
      </c>
    </row>
    <row r="41" spans="1:23" ht="15.75" customHeight="1">
      <c r="A41" s="801" t="s">
        <v>85</v>
      </c>
      <c r="B41" s="812">
        <v>3572443</v>
      </c>
      <c r="C41" s="812">
        <v>0</v>
      </c>
      <c r="D41" s="812">
        <v>0</v>
      </c>
      <c r="E41" s="812">
        <v>0</v>
      </c>
      <c r="F41" s="812">
        <v>0</v>
      </c>
      <c r="G41" s="812">
        <v>0</v>
      </c>
      <c r="H41" s="812">
        <v>0</v>
      </c>
      <c r="I41" s="812">
        <v>0</v>
      </c>
      <c r="J41" s="812">
        <v>0</v>
      </c>
      <c r="K41" s="812">
        <v>0</v>
      </c>
      <c r="L41" s="812">
        <v>0</v>
      </c>
      <c r="M41" s="812">
        <v>0</v>
      </c>
      <c r="N41" s="813">
        <f t="shared" si="3"/>
        <v>3572443</v>
      </c>
      <c r="O41" s="803"/>
      <c r="P41" s="327"/>
      <c r="Q41" s="327"/>
      <c r="R41" s="814">
        <f t="shared" si="4"/>
        <v>3572443</v>
      </c>
    </row>
    <row r="42" spans="1:23">
      <c r="A42" s="807" t="s">
        <v>86</v>
      </c>
      <c r="B42" s="808">
        <f>SUM(B24:B41)</f>
        <v>126573375</v>
      </c>
      <c r="C42" s="808">
        <f t="shared" ref="C42:M42" si="5">SUM(C25:C41)</f>
        <v>8586796</v>
      </c>
      <c r="D42" s="808">
        <f t="shared" si="5"/>
        <v>2683308</v>
      </c>
      <c r="E42" s="808">
        <f t="shared" si="5"/>
        <v>180603</v>
      </c>
      <c r="F42" s="808">
        <f t="shared" si="5"/>
        <v>1296079</v>
      </c>
      <c r="G42" s="808">
        <f t="shared" si="5"/>
        <v>0</v>
      </c>
      <c r="H42" s="808">
        <f t="shared" si="5"/>
        <v>0</v>
      </c>
      <c r="I42" s="808">
        <f t="shared" si="5"/>
        <v>0</v>
      </c>
      <c r="J42" s="808">
        <f t="shared" si="5"/>
        <v>0</v>
      </c>
      <c r="K42" s="808">
        <f t="shared" si="5"/>
        <v>3525403</v>
      </c>
      <c r="L42" s="808">
        <f t="shared" si="5"/>
        <v>751998</v>
      </c>
      <c r="M42" s="808">
        <f t="shared" si="5"/>
        <v>979147</v>
      </c>
      <c r="N42" s="808">
        <f>SUM(N24:N41)</f>
        <v>144576709</v>
      </c>
      <c r="O42" s="809"/>
      <c r="P42" s="808"/>
      <c r="Q42" s="808"/>
      <c r="R42" s="808" t="e">
        <f>SUM(R24:R41)</f>
        <v>#REF!</v>
      </c>
    </row>
    <row r="43" spans="1:23" ht="15.75" customHeight="1">
      <c r="A43" s="801" t="s">
        <v>87</v>
      </c>
      <c r="B43" s="327">
        <v>30006697</v>
      </c>
      <c r="C43" s="815">
        <v>5000</v>
      </c>
      <c r="D43" s="815">
        <v>1105000</v>
      </c>
      <c r="E43" s="815">
        <v>10000</v>
      </c>
      <c r="F43" s="327">
        <v>1000</v>
      </c>
      <c r="G43" s="327">
        <v>1000</v>
      </c>
      <c r="H43" s="327">
        <v>5000</v>
      </c>
      <c r="I43" s="327">
        <v>10000</v>
      </c>
      <c r="J43" s="327">
        <v>800</v>
      </c>
      <c r="K43" s="327">
        <v>800</v>
      </c>
      <c r="L43" s="327">
        <v>3661400</v>
      </c>
      <c r="M43" s="327">
        <v>10000</v>
      </c>
      <c r="N43" s="802">
        <f t="shared" ref="N43:N50" si="6">SUM(B43:M43)</f>
        <v>34816697</v>
      </c>
      <c r="O43" s="803" t="s">
        <v>59</v>
      </c>
      <c r="P43" s="327">
        <f>-(-1104950-800-6800-500-750-4640-740-3751-6000-3624786-10000)</f>
        <v>4763717</v>
      </c>
      <c r="Q43" s="327"/>
      <c r="R43" s="811">
        <f t="shared" ref="R43:R50" si="7">N43-P43+Q43</f>
        <v>30052980</v>
      </c>
      <c r="S43" s="795"/>
    </row>
    <row r="44" spans="1:23" ht="15.75" customHeight="1">
      <c r="A44" s="801" t="s">
        <v>88</v>
      </c>
      <c r="B44" s="327">
        <v>920</v>
      </c>
      <c r="C44" s="815">
        <v>42340052</v>
      </c>
      <c r="D44" s="815">
        <v>877313</v>
      </c>
      <c r="E44" s="327">
        <v>0</v>
      </c>
      <c r="F44" s="327">
        <v>49015</v>
      </c>
      <c r="G44" s="327">
        <v>330450</v>
      </c>
      <c r="H44" s="327">
        <v>0</v>
      </c>
      <c r="I44" s="327">
        <v>0</v>
      </c>
      <c r="J44" s="327">
        <v>0</v>
      </c>
      <c r="K44" s="327">
        <v>1833417</v>
      </c>
      <c r="L44" s="327">
        <v>406800</v>
      </c>
      <c r="M44" s="327">
        <v>0</v>
      </c>
      <c r="N44" s="802">
        <f t="shared" si="6"/>
        <v>45837967</v>
      </c>
      <c r="O44" s="803" t="s">
        <v>59</v>
      </c>
      <c r="P44" s="327">
        <f>-(-877313-49015-330450-1833417-31546825-292500)</f>
        <v>34929520</v>
      </c>
      <c r="Q44" s="327"/>
      <c r="R44" s="811">
        <f t="shared" si="7"/>
        <v>10908447</v>
      </c>
      <c r="S44" s="795"/>
      <c r="V44" s="816"/>
    </row>
    <row r="45" spans="1:23" ht="15.75" customHeight="1">
      <c r="A45" s="801" t="s">
        <v>90</v>
      </c>
      <c r="B45" s="327">
        <v>4662954</v>
      </c>
      <c r="C45" s="327">
        <v>0</v>
      </c>
      <c r="D45" s="327">
        <v>0</v>
      </c>
      <c r="E45" s="815">
        <v>0</v>
      </c>
      <c r="F45" s="327">
        <v>500</v>
      </c>
      <c r="G45" s="327">
        <v>0</v>
      </c>
      <c r="H45" s="327">
        <v>0</v>
      </c>
      <c r="I45" s="327">
        <v>0</v>
      </c>
      <c r="J45" s="327">
        <v>340</v>
      </c>
      <c r="K45" s="327">
        <v>0</v>
      </c>
      <c r="L45" s="327">
        <v>0</v>
      </c>
      <c r="M45" s="327">
        <v>0</v>
      </c>
      <c r="N45" s="802">
        <f t="shared" si="6"/>
        <v>4663794</v>
      </c>
      <c r="O45" s="803" t="s">
        <v>52</v>
      </c>
      <c r="P45" s="327">
        <f>-(-500-340)</f>
        <v>840</v>
      </c>
      <c r="Q45" s="327"/>
      <c r="R45" s="811">
        <f t="shared" si="7"/>
        <v>4662954</v>
      </c>
      <c r="S45" s="795"/>
    </row>
    <row r="46" spans="1:23" ht="15.75" customHeight="1">
      <c r="A46" s="801" t="s">
        <v>91</v>
      </c>
      <c r="B46" s="327">
        <v>34797</v>
      </c>
      <c r="C46" s="327">
        <v>0</v>
      </c>
      <c r="D46" s="327">
        <v>0</v>
      </c>
      <c r="E46" s="327">
        <v>0</v>
      </c>
      <c r="F46" s="327">
        <v>0</v>
      </c>
      <c r="G46" s="327">
        <v>0</v>
      </c>
      <c r="H46" s="327">
        <v>0</v>
      </c>
      <c r="I46" s="327">
        <v>0</v>
      </c>
      <c r="J46" s="327">
        <v>0</v>
      </c>
      <c r="K46" s="327">
        <v>0</v>
      </c>
      <c r="L46" s="327">
        <v>0</v>
      </c>
      <c r="M46" s="327">
        <v>0</v>
      </c>
      <c r="N46" s="802">
        <f t="shared" si="6"/>
        <v>34797</v>
      </c>
      <c r="O46" s="803"/>
      <c r="P46" s="327"/>
      <c r="Q46" s="327"/>
      <c r="R46" s="811">
        <f t="shared" si="7"/>
        <v>34797</v>
      </c>
      <c r="S46" s="795"/>
    </row>
    <row r="47" spans="1:23" ht="15.75" customHeight="1">
      <c r="A47" s="801" t="s">
        <v>92</v>
      </c>
      <c r="B47" s="327">
        <v>227072</v>
      </c>
      <c r="C47" s="327">
        <v>0</v>
      </c>
      <c r="D47" s="327">
        <v>0</v>
      </c>
      <c r="E47" s="815">
        <v>74426</v>
      </c>
      <c r="F47" s="327">
        <v>0</v>
      </c>
      <c r="G47" s="327">
        <v>109633</v>
      </c>
      <c r="H47" s="327">
        <v>1226</v>
      </c>
      <c r="I47" s="327">
        <v>0</v>
      </c>
      <c r="J47" s="327">
        <v>0</v>
      </c>
      <c r="K47" s="327">
        <v>0</v>
      </c>
      <c r="L47" s="327">
        <v>274690</v>
      </c>
      <c r="M47" s="327">
        <v>0</v>
      </c>
      <c r="N47" s="802">
        <f t="shared" si="6"/>
        <v>687047</v>
      </c>
      <c r="O47" s="803" t="s">
        <v>52</v>
      </c>
      <c r="P47" s="327">
        <f>-(-74426-109633-1226-274690)</f>
        <v>459975</v>
      </c>
      <c r="Q47" s="327"/>
      <c r="R47" s="811">
        <f t="shared" si="7"/>
        <v>227072</v>
      </c>
      <c r="S47" s="795"/>
      <c r="V47" s="795"/>
    </row>
    <row r="48" spans="1:23" ht="15.75" customHeight="1">
      <c r="A48" s="801" t="s">
        <v>93</v>
      </c>
      <c r="B48" s="327">
        <v>-3202431</v>
      </c>
      <c r="C48" s="327">
        <v>0</v>
      </c>
      <c r="D48" s="327">
        <v>0</v>
      </c>
      <c r="E48" s="327">
        <v>0</v>
      </c>
      <c r="F48" s="327">
        <v>0</v>
      </c>
      <c r="G48" s="327">
        <v>0</v>
      </c>
      <c r="H48" s="327">
        <v>0</v>
      </c>
      <c r="I48" s="327">
        <v>0</v>
      </c>
      <c r="J48" s="327">
        <v>0</v>
      </c>
      <c r="K48" s="327">
        <v>0</v>
      </c>
      <c r="L48" s="327">
        <v>-56932</v>
      </c>
      <c r="M48" s="327">
        <v>0</v>
      </c>
      <c r="N48" s="802">
        <f t="shared" si="6"/>
        <v>-3259363</v>
      </c>
      <c r="O48" s="803" t="s">
        <v>59</v>
      </c>
      <c r="P48" s="327"/>
      <c r="Q48" s="327">
        <v>56932</v>
      </c>
      <c r="R48" s="811">
        <f t="shared" si="7"/>
        <v>-3202431</v>
      </c>
      <c r="S48" s="795"/>
      <c r="W48" s="797"/>
    </row>
    <row r="49" spans="1:23" ht="15.75" customHeight="1">
      <c r="A49" s="801" t="s">
        <v>94</v>
      </c>
      <c r="B49" s="327">
        <f>1849659-495802</f>
        <v>1353857</v>
      </c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802">
        <f t="shared" si="6"/>
        <v>1353857</v>
      </c>
      <c r="O49" s="803"/>
      <c r="P49" s="327"/>
      <c r="Q49" s="327"/>
      <c r="R49" s="811">
        <f t="shared" si="7"/>
        <v>1353857</v>
      </c>
      <c r="S49" s="795"/>
      <c r="W49" s="797"/>
    </row>
    <row r="50" spans="1:23" ht="15.75" customHeight="1">
      <c r="A50" s="801" t="s">
        <v>95</v>
      </c>
      <c r="B50" s="327">
        <f>31666289+495802-200+5595545</f>
        <v>37757436</v>
      </c>
      <c r="C50" s="815">
        <f>2254833-1077724</f>
        <v>1177109</v>
      </c>
      <c r="D50" s="815">
        <f>-16937+19337</f>
        <v>2400</v>
      </c>
      <c r="E50" s="815">
        <f>911628-15891</f>
        <v>895737</v>
      </c>
      <c r="F50" s="327">
        <f>-488265-493384</f>
        <v>-981649</v>
      </c>
      <c r="G50" s="327">
        <f>-53896-13474</f>
        <v>-67370</v>
      </c>
      <c r="H50" s="327">
        <v>1763</v>
      </c>
      <c r="I50" s="327">
        <v>0</v>
      </c>
      <c r="J50" s="327">
        <v>0</v>
      </c>
      <c r="K50" s="327">
        <f>-15422-344143</f>
        <v>-359565</v>
      </c>
      <c r="L50" s="327">
        <f>-3886526-502401</f>
        <v>-4388927</v>
      </c>
      <c r="M50" s="327">
        <f>-142959-401491</f>
        <v>-544450</v>
      </c>
      <c r="N50" s="802">
        <f t="shared" si="6"/>
        <v>33492484</v>
      </c>
      <c r="O50" s="803" t="s">
        <v>97</v>
      </c>
      <c r="P50" s="327">
        <f>-(-862233-97825-21667-1763-822437-266632-224942)</f>
        <v>2297499</v>
      </c>
      <c r="Q50" s="327">
        <f>3491044+394445+42502+1160144+4556</f>
        <v>5092691</v>
      </c>
      <c r="R50" s="327">
        <f t="shared" si="7"/>
        <v>36287676</v>
      </c>
      <c r="S50" s="795"/>
      <c r="T50" s="795"/>
      <c r="V50" s="795"/>
      <c r="W50" s="797"/>
    </row>
    <row r="51" spans="1:23">
      <c r="A51" s="807" t="s">
        <v>100</v>
      </c>
      <c r="B51" s="808">
        <f t="shared" ref="B51:N51" si="8">SUM(B43:B50)</f>
        <v>70841302</v>
      </c>
      <c r="C51" s="808">
        <f t="shared" si="8"/>
        <v>43522161</v>
      </c>
      <c r="D51" s="808">
        <f t="shared" si="8"/>
        <v>1984713</v>
      </c>
      <c r="E51" s="808">
        <f t="shared" si="8"/>
        <v>980163</v>
      </c>
      <c r="F51" s="808">
        <f t="shared" si="8"/>
        <v>-931134</v>
      </c>
      <c r="G51" s="808">
        <f t="shared" si="8"/>
        <v>373713</v>
      </c>
      <c r="H51" s="808">
        <f t="shared" si="8"/>
        <v>7989</v>
      </c>
      <c r="I51" s="808">
        <f t="shared" si="8"/>
        <v>10000</v>
      </c>
      <c r="J51" s="808">
        <f t="shared" si="8"/>
        <v>1140</v>
      </c>
      <c r="K51" s="808">
        <f t="shared" si="8"/>
        <v>1474652</v>
      </c>
      <c r="L51" s="808">
        <f t="shared" si="8"/>
        <v>-102969</v>
      </c>
      <c r="M51" s="808">
        <f t="shared" si="8"/>
        <v>-534450</v>
      </c>
      <c r="N51" s="808">
        <f t="shared" si="8"/>
        <v>117627280</v>
      </c>
      <c r="O51" s="809"/>
      <c r="P51" s="808">
        <f>+SUM(P24:P50)</f>
        <v>59893525</v>
      </c>
      <c r="Q51" s="808" t="e">
        <f>+SUM(Q24:Q50)</f>
        <v>#REF!</v>
      </c>
      <c r="R51" s="808">
        <f>SUM(R43:R50)</f>
        <v>80325352</v>
      </c>
    </row>
    <row r="52" spans="1:23" s="821" customFormat="1" ht="15.75" customHeight="1">
      <c r="A52" s="817"/>
      <c r="B52" s="818">
        <f t="shared" ref="B52:N52" si="9">B23-B42-B51</f>
        <v>0</v>
      </c>
      <c r="C52" s="818">
        <f t="shared" si="9"/>
        <v>0</v>
      </c>
      <c r="D52" s="818">
        <f t="shared" si="9"/>
        <v>0</v>
      </c>
      <c r="E52" s="818">
        <f t="shared" si="9"/>
        <v>0</v>
      </c>
      <c r="F52" s="818">
        <f t="shared" si="9"/>
        <v>0</v>
      </c>
      <c r="G52" s="818">
        <f t="shared" si="9"/>
        <v>0</v>
      </c>
      <c r="H52" s="818">
        <f t="shared" si="9"/>
        <v>0</v>
      </c>
      <c r="I52" s="818">
        <f t="shared" si="9"/>
        <v>0</v>
      </c>
      <c r="J52" s="818">
        <f t="shared" si="9"/>
        <v>0</v>
      </c>
      <c r="K52" s="818">
        <f t="shared" si="9"/>
        <v>0</v>
      </c>
      <c r="L52" s="818">
        <f t="shared" si="9"/>
        <v>0</v>
      </c>
      <c r="M52" s="818">
        <f t="shared" si="9"/>
        <v>0</v>
      </c>
      <c r="N52" s="818">
        <f t="shared" si="9"/>
        <v>0</v>
      </c>
      <c r="O52" s="819"/>
      <c r="P52" s="818">
        <f>P23-P42-P51</f>
        <v>-54184599.999999993</v>
      </c>
      <c r="Q52" s="818" t="e">
        <f>Q23-Q42-Q51</f>
        <v>#REF!</v>
      </c>
      <c r="R52" s="818" t="e">
        <f>R23-R42-R51</f>
        <v>#REF!</v>
      </c>
      <c r="S52" s="820" t="e">
        <f>+R51+R42</f>
        <v>#REF!</v>
      </c>
      <c r="T52" s="820" t="e">
        <f>+S52-R23</f>
        <v>#REF!</v>
      </c>
    </row>
    <row r="53" spans="1:23" s="821" customFormat="1" ht="15.75" customHeight="1">
      <c r="A53" s="817"/>
      <c r="B53" s="818"/>
      <c r="C53" s="818"/>
      <c r="D53" s="818"/>
      <c r="E53" s="818"/>
      <c r="F53" s="818"/>
      <c r="G53" s="818"/>
      <c r="H53" s="818"/>
      <c r="I53" s="818"/>
      <c r="J53" s="818"/>
      <c r="K53" s="818"/>
      <c r="L53" s="818"/>
      <c r="M53" s="818"/>
      <c r="N53" s="818"/>
      <c r="O53" s="819"/>
      <c r="P53" s="818">
        <f>+Q23-P23</f>
        <v>54631102.999999993</v>
      </c>
      <c r="Q53" s="822" t="e">
        <f>+P51-Q51</f>
        <v>#REF!</v>
      </c>
      <c r="R53" s="818"/>
      <c r="S53" s="820"/>
      <c r="T53" s="820"/>
    </row>
    <row r="54" spans="1:23" ht="78" customHeight="1">
      <c r="A54" s="799" t="s">
        <v>3</v>
      </c>
      <c r="B54" s="800" t="s">
        <v>804</v>
      </c>
      <c r="C54" s="800" t="s">
        <v>805</v>
      </c>
      <c r="D54" s="800" t="s">
        <v>806</v>
      </c>
      <c r="E54" s="800" t="s">
        <v>807</v>
      </c>
      <c r="F54" s="800" t="s">
        <v>808</v>
      </c>
      <c r="G54" s="800" t="s">
        <v>809</v>
      </c>
      <c r="H54" s="800" t="s">
        <v>810</v>
      </c>
      <c r="I54" s="800" t="s">
        <v>811</v>
      </c>
      <c r="J54" s="800" t="s">
        <v>812</v>
      </c>
      <c r="K54" s="800" t="s">
        <v>813</v>
      </c>
      <c r="L54" s="800" t="s">
        <v>814</v>
      </c>
      <c r="M54" s="800" t="s">
        <v>815</v>
      </c>
      <c r="N54" s="800" t="s">
        <v>259</v>
      </c>
      <c r="O54" s="800" t="s">
        <v>17</v>
      </c>
      <c r="P54" s="800" t="s">
        <v>18</v>
      </c>
      <c r="Q54" s="800" t="s">
        <v>19</v>
      </c>
      <c r="R54" s="800" t="s">
        <v>33</v>
      </c>
    </row>
    <row r="55" spans="1:23" ht="15.75" customHeight="1">
      <c r="A55" s="823" t="s">
        <v>101</v>
      </c>
      <c r="B55" s="824">
        <v>152924768</v>
      </c>
      <c r="C55" s="824">
        <v>1907995</v>
      </c>
      <c r="D55" s="824">
        <v>636407</v>
      </c>
      <c r="E55" s="824">
        <v>0</v>
      </c>
      <c r="F55" s="824">
        <v>0</v>
      </c>
      <c r="G55" s="824">
        <v>0</v>
      </c>
      <c r="H55" s="824">
        <v>0</v>
      </c>
      <c r="I55" s="824">
        <v>0</v>
      </c>
      <c r="J55" s="824">
        <v>0</v>
      </c>
      <c r="K55" s="824">
        <v>120923</v>
      </c>
      <c r="L55" s="824">
        <v>280002</v>
      </c>
      <c r="M55" s="824">
        <v>162445</v>
      </c>
      <c r="N55" s="825">
        <f>SUM(B55:M55)</f>
        <v>156032540</v>
      </c>
      <c r="O55" s="826" t="s">
        <v>41</v>
      </c>
      <c r="P55" s="824">
        <f>'Ventas-Compras (d)'!D26</f>
        <v>376468.58</v>
      </c>
      <c r="Q55" s="824"/>
      <c r="R55" s="827">
        <f>N55-P55+Q55</f>
        <v>155656071.41999999</v>
      </c>
    </row>
    <row r="56" spans="1:23" ht="15.75" customHeight="1">
      <c r="A56" s="801" t="s">
        <v>102</v>
      </c>
      <c r="B56" s="828">
        <v>-100189814</v>
      </c>
      <c r="C56" s="828">
        <v>-2677882</v>
      </c>
      <c r="D56" s="828">
        <v>-187557</v>
      </c>
      <c r="E56" s="828">
        <v>0</v>
      </c>
      <c r="F56" s="828">
        <v>0</v>
      </c>
      <c r="G56" s="828">
        <v>0</v>
      </c>
      <c r="H56" s="828">
        <v>0</v>
      </c>
      <c r="I56" s="828">
        <v>0</v>
      </c>
      <c r="J56" s="828">
        <v>0</v>
      </c>
      <c r="K56" s="828">
        <v>-299751</v>
      </c>
      <c r="L56" s="828">
        <v>-199020</v>
      </c>
      <c r="M56" s="828">
        <v>-118573</v>
      </c>
      <c r="N56" s="813">
        <f>SUM(B56:M56)</f>
        <v>-103672597</v>
      </c>
      <c r="O56" s="829" t="s">
        <v>41</v>
      </c>
      <c r="P56" s="828"/>
      <c r="Q56" s="828">
        <f>'Ventas-Compras (d)'!E27</f>
        <v>357344</v>
      </c>
      <c r="R56" s="812">
        <f>N56-P56+Q56</f>
        <v>-103315253</v>
      </c>
    </row>
    <row r="57" spans="1:23" ht="15.75" customHeight="1">
      <c r="A57" s="801" t="s">
        <v>103</v>
      </c>
      <c r="B57" s="830">
        <f t="shared" ref="B57:N57" si="10">SUM(B55:B56)</f>
        <v>52734954</v>
      </c>
      <c r="C57" s="830">
        <f t="shared" si="10"/>
        <v>-769887</v>
      </c>
      <c r="D57" s="830">
        <f t="shared" si="10"/>
        <v>448850</v>
      </c>
      <c r="E57" s="830">
        <f t="shared" si="10"/>
        <v>0</v>
      </c>
      <c r="F57" s="830">
        <f t="shared" si="10"/>
        <v>0</v>
      </c>
      <c r="G57" s="830">
        <f t="shared" si="10"/>
        <v>0</v>
      </c>
      <c r="H57" s="830">
        <f t="shared" si="10"/>
        <v>0</v>
      </c>
      <c r="I57" s="830">
        <f t="shared" si="10"/>
        <v>0</v>
      </c>
      <c r="J57" s="830">
        <f t="shared" si="10"/>
        <v>0</v>
      </c>
      <c r="K57" s="830">
        <f t="shared" si="10"/>
        <v>-178828</v>
      </c>
      <c r="L57" s="830">
        <f t="shared" si="10"/>
        <v>80982</v>
      </c>
      <c r="M57" s="830">
        <f t="shared" si="10"/>
        <v>43872</v>
      </c>
      <c r="N57" s="830">
        <f t="shared" si="10"/>
        <v>52359943</v>
      </c>
      <c r="O57" s="829"/>
      <c r="P57" s="830">
        <f>SUM(P55:P56)</f>
        <v>376468.58</v>
      </c>
      <c r="Q57" s="830">
        <f>SUM(Q55:Q56)</f>
        <v>357344</v>
      </c>
      <c r="R57" s="830">
        <f>SUM(R55:R56)</f>
        <v>52340818.419999987</v>
      </c>
    </row>
    <row r="58" spans="1:23" ht="15.75" customHeight="1">
      <c r="A58" s="831"/>
      <c r="B58" s="832"/>
      <c r="C58" s="832"/>
      <c r="D58" s="832"/>
      <c r="E58" s="832"/>
      <c r="F58" s="832"/>
      <c r="G58" s="832"/>
      <c r="H58" s="832"/>
      <c r="I58" s="832"/>
      <c r="J58" s="832"/>
      <c r="K58" s="832"/>
      <c r="L58" s="832"/>
      <c r="M58" s="832"/>
      <c r="N58" s="802"/>
      <c r="O58" s="829"/>
      <c r="P58" s="832"/>
      <c r="Q58" s="832"/>
      <c r="R58" s="327"/>
    </row>
    <row r="59" spans="1:23" ht="15.75" customHeight="1">
      <c r="A59" s="801" t="s">
        <v>104</v>
      </c>
      <c r="B59" s="832">
        <v>-33320786</v>
      </c>
      <c r="C59" s="832">
        <v>-306890</v>
      </c>
      <c r="D59" s="832">
        <f>-429513+54059</f>
        <v>-375454</v>
      </c>
      <c r="E59" s="832">
        <v>-15891</v>
      </c>
      <c r="F59" s="832">
        <v>-493384</v>
      </c>
      <c r="G59" s="832">
        <v>-13474</v>
      </c>
      <c r="H59" s="832">
        <v>0</v>
      </c>
      <c r="I59" s="832">
        <v>0</v>
      </c>
      <c r="J59" s="832">
        <v>0</v>
      </c>
      <c r="K59" s="832">
        <f>-165338+23</f>
        <v>-165315</v>
      </c>
      <c r="L59" s="832">
        <v>-586188</v>
      </c>
      <c r="M59" s="832">
        <v>-444288</v>
      </c>
      <c r="N59" s="802">
        <f>SUM(B59:M59)</f>
        <v>-35721670</v>
      </c>
      <c r="O59" s="829"/>
      <c r="P59" s="832"/>
      <c r="Q59" s="832">
        <f>'Ventas-Compras (d)'!E28</f>
        <v>7818.58</v>
      </c>
      <c r="R59" s="327">
        <f>N59-P59+Q59</f>
        <v>-35713851.420000002</v>
      </c>
    </row>
    <row r="60" spans="1:23" ht="15.75" customHeight="1">
      <c r="A60" s="833" t="s">
        <v>105</v>
      </c>
      <c r="B60" s="828">
        <v>-3618624</v>
      </c>
      <c r="C60" s="828">
        <v>-947</v>
      </c>
      <c r="D60" s="828">
        <v>0</v>
      </c>
      <c r="E60" s="828">
        <v>0</v>
      </c>
      <c r="F60" s="828">
        <v>0</v>
      </c>
      <c r="G60" s="828">
        <v>0</v>
      </c>
      <c r="H60" s="828">
        <v>0</v>
      </c>
      <c r="I60" s="828">
        <v>0</v>
      </c>
      <c r="J60" s="828">
        <v>0</v>
      </c>
      <c r="K60" s="828">
        <v>0</v>
      </c>
      <c r="L60" s="828">
        <v>17690</v>
      </c>
      <c r="M60" s="828">
        <v>4857</v>
      </c>
      <c r="N60" s="813">
        <f>SUM(B60:M60)</f>
        <v>-3597024</v>
      </c>
      <c r="O60" s="829" t="s">
        <v>51</v>
      </c>
      <c r="P60" s="828" t="e">
        <f>#REF!</f>
        <v>#REF!</v>
      </c>
      <c r="Q60" s="828" t="e">
        <f>#REF!</f>
        <v>#REF!</v>
      </c>
      <c r="R60" s="812" t="e">
        <f>N60-P60+Q60</f>
        <v>#REF!</v>
      </c>
    </row>
    <row r="61" spans="1:23" ht="15.75" customHeight="1">
      <c r="A61" s="833" t="s">
        <v>107</v>
      </c>
      <c r="B61" s="830">
        <f t="shared" ref="B61:N61" si="11">SUM(B57:B60)</f>
        <v>15795544</v>
      </c>
      <c r="C61" s="830">
        <f t="shared" si="11"/>
        <v>-1077724</v>
      </c>
      <c r="D61" s="830">
        <f t="shared" si="11"/>
        <v>73396</v>
      </c>
      <c r="E61" s="830">
        <f t="shared" si="11"/>
        <v>-15891</v>
      </c>
      <c r="F61" s="830">
        <f t="shared" si="11"/>
        <v>-493384</v>
      </c>
      <c r="G61" s="830">
        <f t="shared" si="11"/>
        <v>-13474</v>
      </c>
      <c r="H61" s="830">
        <f t="shared" si="11"/>
        <v>0</v>
      </c>
      <c r="I61" s="830">
        <f t="shared" si="11"/>
        <v>0</v>
      </c>
      <c r="J61" s="830">
        <f t="shared" si="11"/>
        <v>0</v>
      </c>
      <c r="K61" s="830">
        <f t="shared" si="11"/>
        <v>-344143</v>
      </c>
      <c r="L61" s="830">
        <f t="shared" si="11"/>
        <v>-487516</v>
      </c>
      <c r="M61" s="830">
        <f t="shared" si="11"/>
        <v>-395559</v>
      </c>
      <c r="N61" s="830">
        <f t="shared" si="11"/>
        <v>13041249</v>
      </c>
      <c r="O61" s="829"/>
      <c r="P61" s="830" t="e">
        <f>SUM(P57:P60)</f>
        <v>#REF!</v>
      </c>
      <c r="Q61" s="830" t="e">
        <f>SUM(Q57:Q60)</f>
        <v>#REF!</v>
      </c>
      <c r="R61" s="830" t="e">
        <f>SUM(R57:R60)</f>
        <v>#REF!</v>
      </c>
    </row>
    <row r="62" spans="1:23" ht="15.75" customHeight="1">
      <c r="A62" s="833"/>
      <c r="B62" s="832"/>
      <c r="C62" s="832"/>
      <c r="D62" s="832"/>
      <c r="E62" s="832"/>
      <c r="F62" s="832"/>
      <c r="G62" s="832"/>
      <c r="H62" s="832"/>
      <c r="I62" s="832"/>
      <c r="J62" s="832"/>
      <c r="K62" s="832"/>
      <c r="L62" s="832"/>
      <c r="M62" s="832"/>
      <c r="N62" s="802"/>
      <c r="O62" s="829"/>
      <c r="P62" s="832"/>
      <c r="Q62" s="832"/>
      <c r="R62" s="327"/>
      <c r="S62" s="795" t="e">
        <f>Q60+Q59+Q56</f>
        <v>#REF!</v>
      </c>
    </row>
    <row r="63" spans="1:23" ht="15.75" customHeight="1">
      <c r="A63" s="833" t="s">
        <v>108</v>
      </c>
      <c r="B63" s="828">
        <f>-5186848</f>
        <v>-5186848</v>
      </c>
      <c r="C63" s="828">
        <v>0</v>
      </c>
      <c r="D63" s="828">
        <v>0</v>
      </c>
      <c r="E63" s="828">
        <v>0</v>
      </c>
      <c r="F63" s="828">
        <v>0</v>
      </c>
      <c r="G63" s="828">
        <v>0</v>
      </c>
      <c r="H63" s="828">
        <v>0</v>
      </c>
      <c r="I63" s="828">
        <v>0</v>
      </c>
      <c r="J63" s="828">
        <v>0</v>
      </c>
      <c r="K63" s="828">
        <v>0</v>
      </c>
      <c r="L63" s="828">
        <v>-14885</v>
      </c>
      <c r="M63" s="828">
        <v>0</v>
      </c>
      <c r="N63" s="813">
        <f>SUM(B63:M63)</f>
        <v>-5201733</v>
      </c>
      <c r="O63" s="829"/>
      <c r="P63" s="828"/>
      <c r="Q63" s="828"/>
      <c r="R63" s="812">
        <f>N63-P63+Q63</f>
        <v>-5201733</v>
      </c>
      <c r="S63" s="795">
        <f>P55</f>
        <v>376468.58</v>
      </c>
    </row>
    <row r="64" spans="1:23" ht="15.75" customHeight="1">
      <c r="A64" s="833" t="s">
        <v>109</v>
      </c>
      <c r="B64" s="830">
        <f t="shared" ref="B64:N64" si="12">+B61+B63</f>
        <v>10608696</v>
      </c>
      <c r="C64" s="830">
        <f t="shared" si="12"/>
        <v>-1077724</v>
      </c>
      <c r="D64" s="830">
        <f t="shared" si="12"/>
        <v>73396</v>
      </c>
      <c r="E64" s="830">
        <f t="shared" si="12"/>
        <v>-15891</v>
      </c>
      <c r="F64" s="830">
        <f t="shared" si="12"/>
        <v>-493384</v>
      </c>
      <c r="G64" s="830">
        <f t="shared" si="12"/>
        <v>-13474</v>
      </c>
      <c r="H64" s="830">
        <f t="shared" si="12"/>
        <v>0</v>
      </c>
      <c r="I64" s="830">
        <f t="shared" si="12"/>
        <v>0</v>
      </c>
      <c r="J64" s="830">
        <f t="shared" si="12"/>
        <v>0</v>
      </c>
      <c r="K64" s="830">
        <f t="shared" si="12"/>
        <v>-344143</v>
      </c>
      <c r="L64" s="830">
        <f t="shared" si="12"/>
        <v>-502401</v>
      </c>
      <c r="M64" s="830">
        <f t="shared" si="12"/>
        <v>-395559</v>
      </c>
      <c r="N64" s="830">
        <f t="shared" si="12"/>
        <v>7839516</v>
      </c>
      <c r="O64" s="829"/>
      <c r="P64" s="830" t="e">
        <f>+P61+P63</f>
        <v>#REF!</v>
      </c>
      <c r="Q64" s="830" t="e">
        <f>+Q61+Q63</f>
        <v>#REF!</v>
      </c>
      <c r="R64" s="830" t="e">
        <f>+R61+R63</f>
        <v>#REF!</v>
      </c>
      <c r="S64" s="795" t="e">
        <f>S63-S62</f>
        <v>#REF!</v>
      </c>
    </row>
    <row r="65" spans="1:22" ht="15.75" customHeight="1">
      <c r="A65" s="833"/>
      <c r="B65" s="830"/>
      <c r="C65" s="830"/>
      <c r="D65" s="830"/>
      <c r="E65" s="830"/>
      <c r="F65" s="830"/>
      <c r="G65" s="830"/>
      <c r="H65" s="830"/>
      <c r="I65" s="830"/>
      <c r="J65" s="830"/>
      <c r="K65" s="830"/>
      <c r="L65" s="830"/>
      <c r="M65" s="830"/>
      <c r="N65" s="830"/>
      <c r="O65" s="829"/>
      <c r="P65" s="832"/>
      <c r="Q65" s="832"/>
      <c r="R65" s="830"/>
    </row>
    <row r="66" spans="1:22" ht="15.75" customHeight="1">
      <c r="A66" s="833" t="s">
        <v>110</v>
      </c>
      <c r="B66" s="832">
        <v>-1591304</v>
      </c>
      <c r="C66" s="832"/>
      <c r="D66" s="832"/>
      <c r="E66" s="832"/>
      <c r="F66" s="832"/>
      <c r="G66" s="832"/>
      <c r="H66" s="832"/>
      <c r="I66" s="832"/>
      <c r="J66" s="832"/>
      <c r="K66" s="832"/>
      <c r="L66" s="832"/>
      <c r="M66" s="832"/>
      <c r="N66" s="802">
        <f>SUM(B66:M66)</f>
        <v>-1591304</v>
      </c>
      <c r="O66" s="829"/>
      <c r="P66" s="832"/>
      <c r="Q66" s="832"/>
      <c r="R66" s="327">
        <f>N66-P66+Q66</f>
        <v>-1591304</v>
      </c>
    </row>
    <row r="67" spans="1:22" ht="15.75" customHeight="1">
      <c r="A67" s="801" t="s">
        <v>111</v>
      </c>
      <c r="B67" s="327">
        <v>-3421847</v>
      </c>
      <c r="C67" s="327">
        <v>0</v>
      </c>
      <c r="D67" s="327">
        <v>-54059</v>
      </c>
      <c r="E67" s="327"/>
      <c r="F67" s="812">
        <v>0</v>
      </c>
      <c r="G67" s="812">
        <v>0</v>
      </c>
      <c r="H67" s="812">
        <v>0</v>
      </c>
      <c r="I67" s="812">
        <v>0</v>
      </c>
      <c r="J67" s="812">
        <v>0</v>
      </c>
      <c r="K67" s="812">
        <v>0</v>
      </c>
      <c r="L67" s="812">
        <v>0</v>
      </c>
      <c r="M67" s="812">
        <v>0</v>
      </c>
      <c r="N67" s="813">
        <f>SUM(B67:M67)</f>
        <v>-3475906</v>
      </c>
      <c r="O67" s="803"/>
      <c r="P67" s="812"/>
      <c r="Q67" s="828"/>
      <c r="R67" s="812">
        <f>N67-P67+Q67</f>
        <v>-3475906</v>
      </c>
    </row>
    <row r="68" spans="1:22">
      <c r="A68" s="801" t="s">
        <v>112</v>
      </c>
      <c r="B68" s="810">
        <f t="shared" ref="B68:G68" si="13">+B64+B66+B67</f>
        <v>5595545</v>
      </c>
      <c r="C68" s="810">
        <f t="shared" si="13"/>
        <v>-1077724</v>
      </c>
      <c r="D68" s="810">
        <f t="shared" si="13"/>
        <v>19337</v>
      </c>
      <c r="E68" s="810">
        <f t="shared" si="13"/>
        <v>-15891</v>
      </c>
      <c r="F68" s="834">
        <f t="shared" si="13"/>
        <v>-493384</v>
      </c>
      <c r="G68" s="834">
        <f t="shared" si="13"/>
        <v>-13474</v>
      </c>
      <c r="H68" s="834">
        <f>+H64+H67</f>
        <v>0</v>
      </c>
      <c r="I68" s="834">
        <f>+I64+I67</f>
        <v>0</v>
      </c>
      <c r="J68" s="834">
        <f>+J64+J67</f>
        <v>0</v>
      </c>
      <c r="K68" s="834">
        <f>+K64+K66+K67</f>
        <v>-344143</v>
      </c>
      <c r="L68" s="834">
        <f>+L64+L66+L67</f>
        <v>-502401</v>
      </c>
      <c r="M68" s="834">
        <f>+M64+M66+M67</f>
        <v>-395559</v>
      </c>
      <c r="N68" s="834">
        <f>+N64+N66+N67</f>
        <v>2772306</v>
      </c>
      <c r="O68" s="803"/>
      <c r="P68" s="834" t="e">
        <f>+P64+P66+P67</f>
        <v>#REF!</v>
      </c>
      <c r="Q68" s="834" t="e">
        <f>+Q64+Q66+Q67</f>
        <v>#REF!</v>
      </c>
      <c r="R68" s="834" t="e">
        <f>+R64+R66+R67</f>
        <v>#REF!</v>
      </c>
    </row>
    <row r="69" spans="1:22">
      <c r="A69" s="801"/>
      <c r="B69" s="810"/>
      <c r="C69" s="810"/>
      <c r="D69" s="810"/>
      <c r="E69" s="810"/>
      <c r="F69" s="810"/>
      <c r="G69" s="810"/>
      <c r="H69" s="810"/>
      <c r="I69" s="810"/>
      <c r="J69" s="810"/>
      <c r="K69" s="810"/>
      <c r="L69" s="810"/>
      <c r="M69" s="810"/>
      <c r="N69" s="810"/>
      <c r="O69" s="803"/>
      <c r="P69" s="810"/>
      <c r="Q69" s="810"/>
      <c r="R69" s="810"/>
    </row>
    <row r="70" spans="1:22">
      <c r="A70" s="801" t="s">
        <v>113</v>
      </c>
      <c r="B70" s="327">
        <f>'ECP20'!J29</f>
        <v>1849659</v>
      </c>
      <c r="C70" s="810"/>
      <c r="D70" s="810"/>
      <c r="E70" s="810"/>
      <c r="F70" s="810"/>
      <c r="G70" s="810"/>
      <c r="H70" s="810"/>
      <c r="I70" s="810"/>
      <c r="J70" s="810"/>
      <c r="K70" s="810"/>
      <c r="L70" s="810"/>
      <c r="M70" s="810"/>
      <c r="N70" s="802">
        <f>SUM(B70:M70)</f>
        <v>1849659</v>
      </c>
      <c r="O70" s="803"/>
      <c r="P70" s="810"/>
      <c r="Q70" s="810"/>
      <c r="R70" s="327">
        <f>N70-P70+Q70</f>
        <v>1849659</v>
      </c>
    </row>
    <row r="71" spans="1:22">
      <c r="A71" s="807" t="s">
        <v>98</v>
      </c>
      <c r="B71" s="808">
        <f t="shared" ref="B71:N71" si="14">B68+B70</f>
        <v>7445204</v>
      </c>
      <c r="C71" s="808">
        <f t="shared" si="14"/>
        <v>-1077724</v>
      </c>
      <c r="D71" s="808">
        <f t="shared" si="14"/>
        <v>19337</v>
      </c>
      <c r="E71" s="808">
        <f t="shared" si="14"/>
        <v>-15891</v>
      </c>
      <c r="F71" s="808">
        <f t="shared" si="14"/>
        <v>-493384</v>
      </c>
      <c r="G71" s="808">
        <f t="shared" si="14"/>
        <v>-13474</v>
      </c>
      <c r="H71" s="808">
        <f t="shared" si="14"/>
        <v>0</v>
      </c>
      <c r="I71" s="808">
        <f t="shared" si="14"/>
        <v>0</v>
      </c>
      <c r="J71" s="808">
        <f t="shared" si="14"/>
        <v>0</v>
      </c>
      <c r="K71" s="808">
        <f t="shared" si="14"/>
        <v>-344143</v>
      </c>
      <c r="L71" s="808">
        <f t="shared" si="14"/>
        <v>-502401</v>
      </c>
      <c r="M71" s="808">
        <f t="shared" si="14"/>
        <v>-395559</v>
      </c>
      <c r="N71" s="808">
        <f t="shared" si="14"/>
        <v>4621965</v>
      </c>
      <c r="O71" s="809"/>
      <c r="P71" s="808" t="e">
        <f>P68+P70</f>
        <v>#REF!</v>
      </c>
      <c r="Q71" s="808" t="e">
        <f>Q68+Q70</f>
        <v>#REF!</v>
      </c>
      <c r="R71" s="808" t="e">
        <f>R68+R70</f>
        <v>#REF!</v>
      </c>
    </row>
    <row r="72" spans="1:22">
      <c r="A72" s="817"/>
      <c r="B72" s="835"/>
      <c r="C72" s="835"/>
      <c r="D72" s="835"/>
      <c r="E72" s="836"/>
      <c r="F72" s="835"/>
      <c r="G72" s="835"/>
      <c r="H72" s="835"/>
      <c r="I72" s="835"/>
      <c r="J72" s="835"/>
      <c r="K72" s="835"/>
      <c r="L72" s="835"/>
      <c r="M72" s="835"/>
      <c r="N72" s="835"/>
      <c r="O72" s="837"/>
      <c r="P72" s="835"/>
      <c r="Q72" s="835"/>
      <c r="R72" s="835"/>
    </row>
    <row r="73" spans="1:22" ht="21.75" customHeight="1">
      <c r="A73" s="838"/>
      <c r="B73" s="795"/>
    </row>
    <row r="74" spans="1:22" ht="21.75" customHeight="1">
      <c r="A74" s="839"/>
      <c r="B74" s="840">
        <f t="shared" ref="B74:N74" si="15">+B51+B42-B23</f>
        <v>0</v>
      </c>
      <c r="C74" s="840">
        <f t="shared" si="15"/>
        <v>0</v>
      </c>
      <c r="D74" s="840">
        <f t="shared" si="15"/>
        <v>0</v>
      </c>
      <c r="E74" s="840">
        <f t="shared" si="15"/>
        <v>0</v>
      </c>
      <c r="F74" s="840">
        <f t="shared" si="15"/>
        <v>0</v>
      </c>
      <c r="G74" s="840">
        <f t="shared" si="15"/>
        <v>0</v>
      </c>
      <c r="H74" s="840">
        <f t="shared" si="15"/>
        <v>0</v>
      </c>
      <c r="I74" s="840">
        <f t="shared" si="15"/>
        <v>0</v>
      </c>
      <c r="J74" s="840">
        <f t="shared" si="15"/>
        <v>0</v>
      </c>
      <c r="K74" s="840">
        <f t="shared" si="15"/>
        <v>0</v>
      </c>
      <c r="L74" s="840">
        <f t="shared" si="15"/>
        <v>0</v>
      </c>
      <c r="M74" s="840">
        <f t="shared" si="15"/>
        <v>0</v>
      </c>
      <c r="N74" s="840">
        <f t="shared" si="15"/>
        <v>0</v>
      </c>
      <c r="P74" s="795" t="e">
        <f>SUM(P5:P73)</f>
        <v>#REF!</v>
      </c>
      <c r="Q74" s="795" t="e">
        <f>SUM(Q5:Q73)</f>
        <v>#REF!</v>
      </c>
      <c r="R74" s="840" t="e">
        <f>+R51+R42-R23</f>
        <v>#REF!</v>
      </c>
    </row>
    <row r="75" spans="1:22"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Q75" s="795"/>
      <c r="T75" s="795"/>
    </row>
    <row r="76" spans="1:22">
      <c r="A76" s="841" t="s">
        <v>115</v>
      </c>
      <c r="B76" s="797">
        <f>+B71*100%</f>
        <v>7445204</v>
      </c>
      <c r="C76" s="797">
        <f>+C71*'Variación Patrimonio 2017-2016'!L4</f>
        <v>-808508.54480000003</v>
      </c>
      <c r="D76" s="797">
        <f>+D71*'Variación Patrimonio 2017-2016'!L21</f>
        <v>19336.125022624434</v>
      </c>
      <c r="E76" s="795">
        <f>+E71*'Variación Patrimonio 2017-2016'!L40</f>
        <v>-10805.880000000001</v>
      </c>
      <c r="F76" s="795">
        <f>+F71*'Variación Patrimonio 2017-2016'!L56</f>
        <v>-246692</v>
      </c>
      <c r="G76" s="795">
        <f>+G71*'Variación Patrimonio 2017-2016'!L74</f>
        <v>-10105.5</v>
      </c>
      <c r="H76" s="797">
        <v>0</v>
      </c>
      <c r="I76" s="797">
        <v>0</v>
      </c>
      <c r="J76" s="797">
        <v>0</v>
      </c>
      <c r="K76" s="797">
        <f>+K71*'Variación Patrimonio 2017-2016'!L143</f>
        <v>-318332.27500000002</v>
      </c>
      <c r="L76" s="797">
        <f>+L71*'Variación Patrimonio 2017-2016'!L160</f>
        <v>-492352.98</v>
      </c>
      <c r="M76" s="797">
        <f>+M71*'Variación Patrimonio 2017-2016'!L185</f>
        <v>-395559</v>
      </c>
      <c r="N76" s="842">
        <f>SUM(B76:M76)</f>
        <v>5182183.9452226236</v>
      </c>
      <c r="P76" s="795" t="e">
        <f>+P60+P55</f>
        <v>#REF!</v>
      </c>
      <c r="Q76" s="842" t="e">
        <f>Q56+Q60+Q59</f>
        <v>#REF!</v>
      </c>
      <c r="R76" s="842" t="e">
        <f>+N76-P76+Q76</f>
        <v>#REF!</v>
      </c>
      <c r="S76" s="843"/>
    </row>
    <row r="77" spans="1:22">
      <c r="A77" s="841" t="s">
        <v>117</v>
      </c>
      <c r="B77" s="797">
        <f t="shared" ref="B77:M77" si="16">+B71-B76</f>
        <v>0</v>
      </c>
      <c r="C77" s="816">
        <f t="shared" si="16"/>
        <v>-269215.45519999997</v>
      </c>
      <c r="D77" s="816">
        <f t="shared" si="16"/>
        <v>0.87497737556623179</v>
      </c>
      <c r="E77" s="797">
        <f t="shared" si="16"/>
        <v>-5085.119999999999</v>
      </c>
      <c r="F77" s="797">
        <f t="shared" si="16"/>
        <v>-246692</v>
      </c>
      <c r="G77" s="797">
        <f t="shared" si="16"/>
        <v>-3368.5</v>
      </c>
      <c r="H77" s="797">
        <f t="shared" si="16"/>
        <v>0</v>
      </c>
      <c r="I77" s="797">
        <f t="shared" si="16"/>
        <v>0</v>
      </c>
      <c r="J77" s="797">
        <f t="shared" si="16"/>
        <v>0</v>
      </c>
      <c r="K77" s="816">
        <f t="shared" si="16"/>
        <v>-25810.724999999977</v>
      </c>
      <c r="L77" s="816">
        <f t="shared" si="16"/>
        <v>-10048.020000000019</v>
      </c>
      <c r="M77" s="797">
        <f t="shared" si="16"/>
        <v>0</v>
      </c>
      <c r="N77" s="842">
        <f>SUM(B77:M77)</f>
        <v>-560218.94522262446</v>
      </c>
      <c r="Q77" s="842"/>
      <c r="R77" s="842">
        <f>+N77-P77+Q77</f>
        <v>-560218.94522262446</v>
      </c>
      <c r="U77" s="797"/>
      <c r="V77" s="842"/>
    </row>
    <row r="78" spans="1:22">
      <c r="C78" s="843">
        <f>+C76+C77</f>
        <v>-1077724</v>
      </c>
      <c r="D78" s="843">
        <f>+D76+D77</f>
        <v>19337</v>
      </c>
      <c r="E78" s="843">
        <f>+E76+E77</f>
        <v>-15891</v>
      </c>
      <c r="F78" s="843">
        <f>+F76+F77</f>
        <v>-493384</v>
      </c>
      <c r="G78" s="843">
        <f>+G76+G77</f>
        <v>-13474</v>
      </c>
      <c r="K78" s="843">
        <f>+K76+K77</f>
        <v>-344143</v>
      </c>
      <c r="L78" s="843">
        <f>+L76+L77</f>
        <v>-502401</v>
      </c>
      <c r="M78" s="843">
        <f>+M76+M77</f>
        <v>-395559</v>
      </c>
    </row>
    <row r="80" spans="1:22">
      <c r="Q80" s="816" t="e">
        <f>'Diario 2015 (a)'!F15</f>
        <v>#REF!</v>
      </c>
    </row>
  </sheetData>
  <mergeCells count="1">
    <mergeCell ref="P3:Q3"/>
  </mergeCell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215968"/>
    <pageSetUpPr fitToPage="1"/>
  </sheetPr>
  <dimension ref="A1:AMJ44"/>
  <sheetViews>
    <sheetView showGridLines="0" zoomScale="90" zoomScaleNormal="90" workbookViewId="0">
      <pane xSplit="2" ySplit="1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ColWidth="11.42578125" defaultRowHeight="15"/>
  <cols>
    <col min="1" max="1" width="28" style="355" customWidth="1"/>
    <col min="2" max="2" width="1.7109375" style="355" customWidth="1"/>
    <col min="3" max="3" width="11" style="355" customWidth="1"/>
    <col min="4" max="4" width="1.7109375" style="355" customWidth="1"/>
    <col min="5" max="5" width="11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9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3" spans="1:35">
      <c r="A3" s="358" t="s">
        <v>172</v>
      </c>
      <c r="B3" s="358"/>
      <c r="C3" s="359">
        <v>30006697</v>
      </c>
      <c r="D3" s="360"/>
      <c r="E3" s="359">
        <v>5000</v>
      </c>
      <c r="F3" s="360"/>
      <c r="G3" s="359">
        <v>1105000</v>
      </c>
      <c r="H3" s="360"/>
      <c r="I3" s="359">
        <v>10000</v>
      </c>
      <c r="J3" s="360"/>
      <c r="K3" s="359">
        <v>1000</v>
      </c>
      <c r="L3" s="360"/>
      <c r="M3" s="359">
        <v>1000</v>
      </c>
      <c r="N3" s="360"/>
      <c r="O3" s="359">
        <v>5000</v>
      </c>
      <c r="P3" s="360"/>
      <c r="Q3" s="359">
        <v>10000</v>
      </c>
      <c r="R3" s="360"/>
      <c r="S3" s="359">
        <v>800</v>
      </c>
      <c r="T3" s="360"/>
      <c r="U3" s="359">
        <v>800</v>
      </c>
      <c r="V3" s="361"/>
      <c r="W3" s="359">
        <v>3661400</v>
      </c>
      <c r="X3" s="361"/>
      <c r="Y3" s="359">
        <v>10000</v>
      </c>
      <c r="Z3" s="360"/>
      <c r="AA3" s="360">
        <f t="shared" ref="AA3:AA11" si="0">+SUM(C3:Y3)</f>
        <v>34816697</v>
      </c>
      <c r="AB3" s="360"/>
      <c r="AC3" s="360">
        <f>-1104950-800-6800-500-750-4640-740-3751-6000-3624786-10000</f>
        <v>-4763717</v>
      </c>
      <c r="AD3" s="360"/>
      <c r="AE3" s="360"/>
      <c r="AF3" s="360"/>
      <c r="AG3" s="362">
        <f t="shared" ref="AG3:AG11" si="1">+AA3+AC3+AE3</f>
        <v>30052980</v>
      </c>
      <c r="AI3" s="363"/>
    </row>
    <row r="4" spans="1:35">
      <c r="A4" s="358" t="s">
        <v>435</v>
      </c>
      <c r="B4" s="358"/>
      <c r="C4" s="360">
        <v>920</v>
      </c>
      <c r="D4" s="360"/>
      <c r="E4" s="360">
        <v>42340052</v>
      </c>
      <c r="F4" s="360"/>
      <c r="G4" s="360">
        <v>877313</v>
      </c>
      <c r="H4" s="360"/>
      <c r="I4" s="360">
        <v>0</v>
      </c>
      <c r="J4" s="360"/>
      <c r="K4" s="360">
        <v>49015</v>
      </c>
      <c r="L4" s="360"/>
      <c r="M4" s="360">
        <v>330450</v>
      </c>
      <c r="N4" s="360"/>
      <c r="O4" s="360">
        <v>0</v>
      </c>
      <c r="P4" s="360"/>
      <c r="Q4" s="360">
        <v>0</v>
      </c>
      <c r="R4" s="360"/>
      <c r="S4" s="360">
        <v>0</v>
      </c>
      <c r="T4" s="360"/>
      <c r="U4" s="360">
        <v>1833417</v>
      </c>
      <c r="V4" s="361"/>
      <c r="W4" s="360">
        <v>406800</v>
      </c>
      <c r="X4" s="361"/>
      <c r="Y4" s="360">
        <v>0</v>
      </c>
      <c r="Z4" s="360"/>
      <c r="AA4" s="360">
        <f t="shared" si="0"/>
        <v>45837967</v>
      </c>
      <c r="AB4" s="360"/>
      <c r="AC4" s="360">
        <f>-877313-49015-330450-1833417-31546825-292500</f>
        <v>-34929520</v>
      </c>
      <c r="AD4" s="360"/>
      <c r="AE4" s="360"/>
      <c r="AF4" s="360"/>
      <c r="AG4" s="362">
        <f t="shared" si="1"/>
        <v>10908447</v>
      </c>
    </row>
    <row r="5" spans="1:35">
      <c r="A5" s="358" t="s">
        <v>90</v>
      </c>
      <c r="B5" s="364"/>
      <c r="C5" s="360">
        <v>4662954</v>
      </c>
      <c r="D5" s="360"/>
      <c r="E5" s="360">
        <v>0</v>
      </c>
      <c r="F5" s="360"/>
      <c r="G5" s="360">
        <v>0</v>
      </c>
      <c r="H5" s="360"/>
      <c r="I5" s="360">
        <v>0</v>
      </c>
      <c r="J5" s="360"/>
      <c r="K5" s="360">
        <v>500</v>
      </c>
      <c r="L5" s="360"/>
      <c r="M5" s="360">
        <v>0</v>
      </c>
      <c r="N5" s="360"/>
      <c r="O5" s="360">
        <v>0</v>
      </c>
      <c r="P5" s="360"/>
      <c r="Q5" s="360">
        <v>0</v>
      </c>
      <c r="R5" s="360"/>
      <c r="S5" s="360">
        <v>340</v>
      </c>
      <c r="T5" s="360"/>
      <c r="U5" s="360">
        <v>0</v>
      </c>
      <c r="V5" s="361"/>
      <c r="W5" s="360">
        <v>0</v>
      </c>
      <c r="X5" s="361"/>
      <c r="Y5" s="360">
        <v>0</v>
      </c>
      <c r="Z5" s="360"/>
      <c r="AA5" s="360">
        <f t="shared" si="0"/>
        <v>4663794</v>
      </c>
      <c r="AB5" s="360"/>
      <c r="AC5" s="360">
        <f>-500-340</f>
        <v>-840</v>
      </c>
      <c r="AD5" s="360"/>
      <c r="AE5" s="360"/>
      <c r="AF5" s="360"/>
      <c r="AG5" s="362">
        <f t="shared" si="1"/>
        <v>4662954</v>
      </c>
    </row>
    <row r="6" spans="1:35">
      <c r="A6" s="358" t="s">
        <v>91</v>
      </c>
      <c r="B6" s="364"/>
      <c r="C6" s="360">
        <v>34797</v>
      </c>
      <c r="D6" s="360"/>
      <c r="E6" s="360">
        <v>0</v>
      </c>
      <c r="F6" s="360"/>
      <c r="G6" s="360">
        <v>0</v>
      </c>
      <c r="H6" s="360"/>
      <c r="I6" s="360">
        <v>0</v>
      </c>
      <c r="J6" s="360"/>
      <c r="K6" s="360">
        <v>0</v>
      </c>
      <c r="L6" s="360"/>
      <c r="M6" s="360">
        <v>0</v>
      </c>
      <c r="N6" s="360"/>
      <c r="O6" s="360">
        <v>0</v>
      </c>
      <c r="P6" s="360"/>
      <c r="Q6" s="360">
        <v>0</v>
      </c>
      <c r="R6" s="360"/>
      <c r="S6" s="360">
        <v>0</v>
      </c>
      <c r="T6" s="360"/>
      <c r="U6" s="360">
        <v>0</v>
      </c>
      <c r="V6" s="361"/>
      <c r="W6" s="360">
        <v>0</v>
      </c>
      <c r="X6" s="361"/>
      <c r="Y6" s="360">
        <v>0</v>
      </c>
      <c r="Z6" s="360"/>
      <c r="AA6" s="360">
        <f t="shared" si="0"/>
        <v>34797</v>
      </c>
      <c r="AB6" s="360"/>
      <c r="AC6" s="360">
        <v>0</v>
      </c>
      <c r="AD6" s="360"/>
      <c r="AE6" s="360"/>
      <c r="AF6" s="360"/>
      <c r="AG6" s="362">
        <f t="shared" si="1"/>
        <v>34797</v>
      </c>
    </row>
    <row r="7" spans="1:35">
      <c r="A7" s="358" t="s">
        <v>437</v>
      </c>
      <c r="B7" s="364"/>
      <c r="C7" s="360">
        <v>1353857</v>
      </c>
      <c r="D7" s="360"/>
      <c r="E7" s="360">
        <v>0</v>
      </c>
      <c r="F7" s="360"/>
      <c r="G7" s="360">
        <v>0</v>
      </c>
      <c r="H7" s="360"/>
      <c r="I7" s="360">
        <v>0</v>
      </c>
      <c r="J7" s="360"/>
      <c r="K7" s="360">
        <v>0</v>
      </c>
      <c r="L7" s="360"/>
      <c r="M7" s="360">
        <v>0</v>
      </c>
      <c r="N7" s="360"/>
      <c r="O7" s="360">
        <v>0</v>
      </c>
      <c r="P7" s="360"/>
      <c r="Q7" s="360">
        <v>0</v>
      </c>
      <c r="R7" s="360"/>
      <c r="S7" s="360">
        <v>0</v>
      </c>
      <c r="T7" s="360"/>
      <c r="U7" s="360">
        <v>0</v>
      </c>
      <c r="V7" s="361"/>
      <c r="W7" s="360">
        <v>0</v>
      </c>
      <c r="X7" s="361"/>
      <c r="Y7" s="360">
        <v>0</v>
      </c>
      <c r="Z7" s="360"/>
      <c r="AA7" s="360">
        <f t="shared" si="0"/>
        <v>1353857</v>
      </c>
      <c r="AB7" s="360"/>
      <c r="AC7" s="360">
        <v>0</v>
      </c>
      <c r="AD7" s="360"/>
      <c r="AE7" s="360"/>
      <c r="AF7" s="360"/>
      <c r="AG7" s="362">
        <f t="shared" si="1"/>
        <v>1353857</v>
      </c>
    </row>
    <row r="8" spans="1:35">
      <c r="A8" s="358" t="s">
        <v>436</v>
      </c>
      <c r="B8" s="364"/>
      <c r="C8" s="360">
        <v>227072</v>
      </c>
      <c r="D8" s="360"/>
      <c r="E8" s="360">
        <v>0</v>
      </c>
      <c r="F8" s="360"/>
      <c r="G8" s="360">
        <v>0</v>
      </c>
      <c r="H8" s="360"/>
      <c r="I8" s="360">
        <v>74426</v>
      </c>
      <c r="J8" s="360"/>
      <c r="K8" s="360">
        <v>0</v>
      </c>
      <c r="L8" s="360"/>
      <c r="M8" s="360">
        <v>109633</v>
      </c>
      <c r="N8" s="360"/>
      <c r="O8" s="360">
        <v>1226</v>
      </c>
      <c r="P8" s="360"/>
      <c r="Q8" s="360">
        <v>0</v>
      </c>
      <c r="R8" s="360"/>
      <c r="S8" s="360">
        <v>0</v>
      </c>
      <c r="T8" s="360"/>
      <c r="U8" s="360">
        <v>0</v>
      </c>
      <c r="V8" s="361"/>
      <c r="W8" s="360">
        <v>0</v>
      </c>
      <c r="X8" s="361"/>
      <c r="Y8" s="360">
        <v>0</v>
      </c>
      <c r="Z8" s="360"/>
      <c r="AA8" s="360">
        <f t="shared" si="0"/>
        <v>412357</v>
      </c>
      <c r="AB8" s="360"/>
      <c r="AC8" s="360">
        <f>-74426-109633-1226</f>
        <v>-185285</v>
      </c>
      <c r="AD8" s="360"/>
      <c r="AE8" s="360"/>
      <c r="AF8" s="360"/>
      <c r="AG8" s="362">
        <f t="shared" si="1"/>
        <v>227072</v>
      </c>
    </row>
    <row r="9" spans="1:35">
      <c r="A9" s="358" t="s">
        <v>439</v>
      </c>
      <c r="B9" s="364"/>
      <c r="C9" s="360">
        <v>-3202431</v>
      </c>
      <c r="D9" s="360"/>
      <c r="E9" s="360">
        <v>0</v>
      </c>
      <c r="F9" s="360"/>
      <c r="G9" s="360">
        <v>0</v>
      </c>
      <c r="H9" s="360"/>
      <c r="I9" s="360">
        <v>0</v>
      </c>
      <c r="J9" s="360"/>
      <c r="K9" s="360">
        <v>0</v>
      </c>
      <c r="L9" s="360"/>
      <c r="M9" s="360">
        <v>0</v>
      </c>
      <c r="N9" s="360"/>
      <c r="O9" s="360">
        <v>0</v>
      </c>
      <c r="P9" s="360"/>
      <c r="Q9" s="360">
        <v>0</v>
      </c>
      <c r="R9" s="360"/>
      <c r="S9" s="360">
        <v>0</v>
      </c>
      <c r="T9" s="360"/>
      <c r="U9" s="360">
        <v>0</v>
      </c>
      <c r="V9" s="361"/>
      <c r="W9" s="360">
        <v>-56932</v>
      </c>
      <c r="X9" s="361"/>
      <c r="Y9" s="360">
        <v>0</v>
      </c>
      <c r="Z9" s="360"/>
      <c r="AA9" s="360">
        <f t="shared" si="0"/>
        <v>-3259363</v>
      </c>
      <c r="AB9" s="360"/>
      <c r="AC9" s="360">
        <v>0</v>
      </c>
      <c r="AD9" s="360"/>
      <c r="AE9" s="360">
        <v>56932</v>
      </c>
      <c r="AF9" s="360"/>
      <c r="AG9" s="362">
        <f t="shared" si="1"/>
        <v>-3202431</v>
      </c>
    </row>
    <row r="10" spans="1:35">
      <c r="A10" s="358" t="s">
        <v>816</v>
      </c>
      <c r="B10" s="364"/>
      <c r="C10" s="360">
        <v>0</v>
      </c>
      <c r="D10" s="360"/>
      <c r="E10" s="360">
        <v>0</v>
      </c>
      <c r="F10" s="360"/>
      <c r="G10" s="360">
        <v>0</v>
      </c>
      <c r="H10" s="360"/>
      <c r="I10" s="360">
        <v>0</v>
      </c>
      <c r="J10" s="360"/>
      <c r="K10" s="360">
        <v>0</v>
      </c>
      <c r="L10" s="360"/>
      <c r="M10" s="360">
        <v>0</v>
      </c>
      <c r="N10" s="360"/>
      <c r="O10" s="360">
        <v>0</v>
      </c>
      <c r="P10" s="360"/>
      <c r="Q10" s="360">
        <v>0</v>
      </c>
      <c r="R10" s="360"/>
      <c r="S10" s="360">
        <v>0</v>
      </c>
      <c r="T10" s="360"/>
      <c r="U10" s="360">
        <v>0</v>
      </c>
      <c r="V10" s="361"/>
      <c r="W10" s="360">
        <v>274690</v>
      </c>
      <c r="X10" s="361"/>
      <c r="Y10" s="360">
        <v>0</v>
      </c>
      <c r="Z10" s="360"/>
      <c r="AA10" s="360">
        <f t="shared" si="0"/>
        <v>274690</v>
      </c>
      <c r="AB10" s="360"/>
      <c r="AC10" s="360">
        <v>-274690</v>
      </c>
      <c r="AD10" s="360"/>
      <c r="AE10" s="360"/>
      <c r="AF10" s="360"/>
      <c r="AG10" s="362">
        <f t="shared" si="1"/>
        <v>0</v>
      </c>
    </row>
    <row r="11" spans="1:35">
      <c r="A11" s="358" t="s">
        <v>149</v>
      </c>
      <c r="B11" s="364"/>
      <c r="C11" s="360">
        <v>37757436</v>
      </c>
      <c r="D11" s="360"/>
      <c r="E11" s="360">
        <f>2254833-1077724</f>
        <v>1177109</v>
      </c>
      <c r="F11" s="360"/>
      <c r="G11" s="360">
        <f>-16938+19337+1</f>
        <v>2400</v>
      </c>
      <c r="H11" s="360"/>
      <c r="I11" s="360">
        <f>911628-15891</f>
        <v>895737</v>
      </c>
      <c r="J11" s="360"/>
      <c r="K11" s="360">
        <f>-488265-493384</f>
        <v>-981649</v>
      </c>
      <c r="L11" s="360"/>
      <c r="M11" s="360">
        <f>-53896-13474</f>
        <v>-67370</v>
      </c>
      <c r="N11" s="360"/>
      <c r="O11" s="360">
        <v>1763</v>
      </c>
      <c r="P11" s="360"/>
      <c r="Q11" s="360">
        <v>0</v>
      </c>
      <c r="R11" s="360"/>
      <c r="S11" s="360">
        <v>0</v>
      </c>
      <c r="T11" s="360"/>
      <c r="U11" s="360">
        <v>-359565</v>
      </c>
      <c r="V11" s="361"/>
      <c r="W11" s="360">
        <v>-4388927</v>
      </c>
      <c r="X11" s="361"/>
      <c r="Y11" s="360">
        <f>-(142959+401491)</f>
        <v>-544450</v>
      </c>
      <c r="Z11" s="360"/>
      <c r="AA11" s="360">
        <f t="shared" si="0"/>
        <v>33492484</v>
      </c>
      <c r="AB11" s="360"/>
      <c r="AC11" s="360">
        <f>-862233-97825-21667-1763-822437-266632-224942</f>
        <v>-2297499</v>
      </c>
      <c r="AD11" s="360"/>
      <c r="AE11" s="360">
        <f>3491044+394445+42502+1160144+4556</f>
        <v>5092691</v>
      </c>
      <c r="AF11" s="360"/>
      <c r="AG11" s="362">
        <f t="shared" si="1"/>
        <v>36287676</v>
      </c>
    </row>
    <row r="12" spans="1:35" ht="5.0999999999999996" customHeight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>
      <c r="A13" s="355" t="s">
        <v>817</v>
      </c>
      <c r="C13" s="365">
        <f>+SUM(C3:C11)</f>
        <v>70841302</v>
      </c>
      <c r="D13" s="360"/>
      <c r="E13" s="365">
        <f>+SUM(E3:E11)</f>
        <v>43522161</v>
      </c>
      <c r="F13" s="360"/>
      <c r="G13" s="365">
        <f>+SUM(G3:G11)</f>
        <v>1984713</v>
      </c>
      <c r="H13" s="360"/>
      <c r="I13" s="365">
        <f>+SUM(I3:I11)</f>
        <v>980163</v>
      </c>
      <c r="J13" s="360"/>
      <c r="K13" s="365">
        <f>+SUM(K3:K11)</f>
        <v>-931134</v>
      </c>
      <c r="L13" s="360"/>
      <c r="M13" s="365">
        <f>+SUM(M3:M11)</f>
        <v>373713</v>
      </c>
      <c r="N13" s="360"/>
      <c r="O13" s="365">
        <f>+SUM(O3:O11)</f>
        <v>7989</v>
      </c>
      <c r="P13" s="360"/>
      <c r="Q13" s="365">
        <f>+SUM(Q3:Q11)</f>
        <v>10000</v>
      </c>
      <c r="R13" s="360"/>
      <c r="S13" s="365">
        <f>+SUM(S3:S11)</f>
        <v>1140</v>
      </c>
      <c r="T13" s="360"/>
      <c r="U13" s="365">
        <f>+SUM(U3:U11)</f>
        <v>1474652</v>
      </c>
      <c r="V13" s="361"/>
      <c r="W13" s="365">
        <f>+SUM(W3:W11)</f>
        <v>-102969</v>
      </c>
      <c r="X13" s="361"/>
      <c r="Y13" s="365">
        <f>+SUM(Y3:Y11)</f>
        <v>-534450</v>
      </c>
      <c r="Z13" s="360"/>
      <c r="AA13" s="365">
        <f>+SUM(AA3:AA11)</f>
        <v>117627280</v>
      </c>
      <c r="AB13" s="360"/>
      <c r="AC13" s="365">
        <f>+SUM(AC3:AC11)</f>
        <v>-42451551</v>
      </c>
      <c r="AD13" s="360"/>
      <c r="AE13" s="365">
        <f>+SUM(AE3:AE11)</f>
        <v>5149623</v>
      </c>
      <c r="AF13" s="360"/>
      <c r="AG13" s="366">
        <f>+SUM(AG3:AG11)</f>
        <v>80325352</v>
      </c>
    </row>
    <row r="14" spans="1:35" ht="5.0999999999999996" customHeight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customHeight="1">
      <c r="V15" s="367"/>
      <c r="X15" s="367"/>
      <c r="AC15" s="368"/>
      <c r="AE15" s="368"/>
    </row>
    <row r="16" spans="1:35" s="369" customFormat="1" ht="9.75">
      <c r="A16" s="369" t="s">
        <v>440</v>
      </c>
      <c r="C16" s="369">
        <v>1</v>
      </c>
      <c r="E16" s="369">
        <v>0.75019999999999998</v>
      </c>
      <c r="G16" s="369">
        <f>+(1104950/1105000)</f>
        <v>0.99995475113122168</v>
      </c>
      <c r="I16" s="369">
        <f>+(0.68)*100%</f>
        <v>0.68</v>
      </c>
      <c r="K16" s="369">
        <v>0.5</v>
      </c>
      <c r="M16" s="369">
        <v>0.75</v>
      </c>
      <c r="O16" s="369">
        <f>+(0.928)*100%</f>
        <v>0.92800000000000005</v>
      </c>
      <c r="Q16" s="369">
        <v>0.6</v>
      </c>
      <c r="S16" s="369">
        <f>+(799.96/800)*100%</f>
        <v>0.99995000000000001</v>
      </c>
      <c r="U16" s="369">
        <v>0.92500000000000004</v>
      </c>
      <c r="V16" s="372"/>
      <c r="W16" s="369">
        <v>0.99</v>
      </c>
      <c r="X16" s="372"/>
      <c r="Y16" s="369">
        <v>1</v>
      </c>
      <c r="AE16" s="373"/>
      <c r="AG16" s="374"/>
    </row>
    <row r="17" spans="1:33" ht="5.0999999999999996" customHeight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>
      <c r="A19" s="358" t="s">
        <v>172</v>
      </c>
      <c r="C19" s="360">
        <f t="shared" ref="C19:C25" si="2">+C3*C$16</f>
        <v>30006697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6800.0000000000009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5" si="3">+Q3*Q$16</f>
        <v>6000</v>
      </c>
      <c r="R19" s="360"/>
      <c r="S19" s="360">
        <f t="shared" ref="S19:S25" si="4">+S3*S$16</f>
        <v>799.96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5" si="5">+Y3*Y$16</f>
        <v>10000</v>
      </c>
      <c r="Z19" s="360"/>
      <c r="AA19" s="360">
        <f t="shared" ref="AA19:AA25" si="6">+SUM(C19:Z19)</f>
        <v>34770413.960000001</v>
      </c>
      <c r="AC19" s="368">
        <f t="shared" ref="AC19:AC25" si="7">+AC3</f>
        <v>-4763717</v>
      </c>
      <c r="AE19" s="377">
        <f t="shared" ref="AE19:AE25" si="8">+AE3</f>
        <v>0</v>
      </c>
      <c r="AG19" s="362">
        <f t="shared" ref="AG19:AG27" si="9">+AA19+AC19+AE19</f>
        <v>30006696.960000001</v>
      </c>
    </row>
    <row r="20" spans="1:33">
      <c r="A20" s="358" t="s">
        <v>435</v>
      </c>
      <c r="C20" s="360">
        <f t="shared" si="2"/>
        <v>920</v>
      </c>
      <c r="D20" s="360"/>
      <c r="E20" s="360">
        <v>31546825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 t="shared" si="4"/>
        <v>0</v>
      </c>
      <c r="T20" s="360"/>
      <c r="U20" s="360">
        <v>1833417</v>
      </c>
      <c r="V20" s="361"/>
      <c r="W20" s="360">
        <v>292500</v>
      </c>
      <c r="X20" s="361"/>
      <c r="Y20" s="360">
        <f t="shared" si="5"/>
        <v>0</v>
      </c>
      <c r="Z20" s="360"/>
      <c r="AA20" s="360">
        <f t="shared" si="6"/>
        <v>34930440</v>
      </c>
      <c r="AC20" s="368">
        <f t="shared" si="7"/>
        <v>-34929520</v>
      </c>
      <c r="AE20" s="377">
        <f t="shared" si="8"/>
        <v>0</v>
      </c>
      <c r="AG20" s="362">
        <f t="shared" si="9"/>
        <v>920</v>
      </c>
    </row>
    <row r="21" spans="1:33">
      <c r="A21" s="358" t="s">
        <v>90</v>
      </c>
      <c r="C21" s="360">
        <f t="shared" si="2"/>
        <v>4662954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f>+I5*I$16</f>
        <v>0</v>
      </c>
      <c r="J21" s="360"/>
      <c r="K21" s="360">
        <v>500</v>
      </c>
      <c r="L21" s="360"/>
      <c r="M21" s="360">
        <f>+M5*M$16</f>
        <v>0</v>
      </c>
      <c r="N21" s="360"/>
      <c r="O21" s="360">
        <f>+O5*O$16</f>
        <v>0</v>
      </c>
      <c r="P21" s="360"/>
      <c r="Q21" s="360">
        <f t="shared" si="3"/>
        <v>0</v>
      </c>
      <c r="R21" s="360"/>
      <c r="S21" s="360">
        <f t="shared" si="4"/>
        <v>339.983</v>
      </c>
      <c r="T21" s="360"/>
      <c r="U21" s="360">
        <f>+U5*U$16</f>
        <v>0</v>
      </c>
      <c r="V21" s="361"/>
      <c r="W21" s="360">
        <f>+W5*W$16</f>
        <v>0</v>
      </c>
      <c r="X21" s="361"/>
      <c r="Y21" s="360">
        <f t="shared" si="5"/>
        <v>0</v>
      </c>
      <c r="Z21" s="360"/>
      <c r="AA21" s="360">
        <f t="shared" si="6"/>
        <v>4663793.983</v>
      </c>
      <c r="AC21" s="368">
        <f t="shared" si="7"/>
        <v>-840</v>
      </c>
      <c r="AE21" s="377">
        <f t="shared" si="8"/>
        <v>0</v>
      </c>
      <c r="AG21" s="362">
        <f t="shared" si="9"/>
        <v>4662953.983</v>
      </c>
    </row>
    <row r="22" spans="1:33">
      <c r="A22" s="358" t="s">
        <v>438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 t="shared" si="4"/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5"/>
        <v>0</v>
      </c>
      <c r="Z22" s="360"/>
      <c r="AA22" s="360">
        <f t="shared" si="6"/>
        <v>34797</v>
      </c>
      <c r="AC22" s="368">
        <f t="shared" si="7"/>
        <v>0</v>
      </c>
      <c r="AE22" s="377">
        <f t="shared" si="8"/>
        <v>0</v>
      </c>
      <c r="AG22" s="362">
        <f t="shared" si="9"/>
        <v>34797</v>
      </c>
    </row>
    <row r="23" spans="1:33">
      <c r="A23" s="358" t="s">
        <v>437</v>
      </c>
      <c r="C23" s="360">
        <f t="shared" si="2"/>
        <v>1353857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f>+M7*M$16</f>
        <v>0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f t="shared" si="4"/>
        <v>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5"/>
        <v>0</v>
      </c>
      <c r="Z23" s="360"/>
      <c r="AA23" s="360">
        <f t="shared" si="6"/>
        <v>1353857</v>
      </c>
      <c r="AC23" s="368">
        <f t="shared" si="7"/>
        <v>0</v>
      </c>
      <c r="AE23" s="377">
        <f t="shared" si="8"/>
        <v>0</v>
      </c>
      <c r="AG23" s="362">
        <f t="shared" si="9"/>
        <v>1353857</v>
      </c>
    </row>
    <row r="24" spans="1:33">
      <c r="A24" s="358" t="s">
        <v>436</v>
      </c>
      <c r="C24" s="360">
        <f t="shared" si="2"/>
        <v>227072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v>74426</v>
      </c>
      <c r="J24" s="360"/>
      <c r="K24" s="360">
        <f>+K8*K$16</f>
        <v>0</v>
      </c>
      <c r="L24" s="360"/>
      <c r="M24" s="360">
        <v>109633</v>
      </c>
      <c r="N24" s="360"/>
      <c r="O24" s="360">
        <v>1226</v>
      </c>
      <c r="P24" s="360"/>
      <c r="Q24" s="360">
        <f t="shared" si="3"/>
        <v>0</v>
      </c>
      <c r="R24" s="360"/>
      <c r="S24" s="360">
        <f t="shared" si="4"/>
        <v>0</v>
      </c>
      <c r="T24" s="360"/>
      <c r="U24" s="360">
        <f>+U8*U$16</f>
        <v>0</v>
      </c>
      <c r="V24" s="361"/>
      <c r="W24" s="360">
        <f>+W8*W$16</f>
        <v>0</v>
      </c>
      <c r="X24" s="361"/>
      <c r="Y24" s="360">
        <f t="shared" si="5"/>
        <v>0</v>
      </c>
      <c r="Z24" s="360"/>
      <c r="AA24" s="360">
        <f t="shared" si="6"/>
        <v>412357</v>
      </c>
      <c r="AC24" s="368">
        <f t="shared" si="7"/>
        <v>-185285</v>
      </c>
      <c r="AE24" s="377">
        <f t="shared" si="8"/>
        <v>0</v>
      </c>
      <c r="AG24" s="362">
        <f t="shared" si="9"/>
        <v>227072</v>
      </c>
    </row>
    <row r="25" spans="1:33">
      <c r="A25" s="358" t="s">
        <v>442</v>
      </c>
      <c r="C25" s="360">
        <f t="shared" si="2"/>
        <v>-3202431</v>
      </c>
      <c r="D25" s="360"/>
      <c r="E25" s="360">
        <f>+E9*E$16</f>
        <v>0</v>
      </c>
      <c r="F25" s="360"/>
      <c r="G25" s="360">
        <f>+G9*G$16</f>
        <v>0</v>
      </c>
      <c r="H25" s="360"/>
      <c r="I25" s="360">
        <f>+I9*I$16</f>
        <v>0</v>
      </c>
      <c r="J25" s="360"/>
      <c r="K25" s="360">
        <f>+K9*K$16</f>
        <v>0</v>
      </c>
      <c r="L25" s="360"/>
      <c r="M25" s="360">
        <f>+M9*M$16</f>
        <v>0</v>
      </c>
      <c r="N25" s="360"/>
      <c r="O25" s="360">
        <f>+O9*O$16</f>
        <v>0</v>
      </c>
      <c r="P25" s="360"/>
      <c r="Q25" s="360">
        <f t="shared" si="3"/>
        <v>0</v>
      </c>
      <c r="R25" s="360"/>
      <c r="S25" s="360">
        <f t="shared" si="4"/>
        <v>0</v>
      </c>
      <c r="T25" s="360"/>
      <c r="U25" s="360">
        <f>+U9*U$16</f>
        <v>0</v>
      </c>
      <c r="V25" s="361"/>
      <c r="W25" s="360">
        <v>-56932</v>
      </c>
      <c r="X25" s="361"/>
      <c r="Y25" s="360">
        <f t="shared" si="5"/>
        <v>0</v>
      </c>
      <c r="Z25" s="360"/>
      <c r="AA25" s="360">
        <f t="shared" si="6"/>
        <v>-3259363</v>
      </c>
      <c r="AC25" s="368">
        <f t="shared" si="7"/>
        <v>0</v>
      </c>
      <c r="AE25" s="360">
        <f t="shared" si="8"/>
        <v>56932</v>
      </c>
      <c r="AG25" s="362">
        <f t="shared" si="9"/>
        <v>-3202431</v>
      </c>
    </row>
    <row r="26" spans="1:33">
      <c r="A26" s="358" t="s">
        <v>816</v>
      </c>
      <c r="B26" s="364"/>
      <c r="C26" s="360">
        <v>0</v>
      </c>
      <c r="D26" s="360"/>
      <c r="E26" s="360">
        <v>0</v>
      </c>
      <c r="F26" s="360"/>
      <c r="G26" s="360">
        <v>0</v>
      </c>
      <c r="H26" s="360"/>
      <c r="I26" s="360">
        <v>0</v>
      </c>
      <c r="J26" s="360"/>
      <c r="K26" s="360">
        <v>0</v>
      </c>
      <c r="L26" s="360"/>
      <c r="M26" s="360">
        <v>0</v>
      </c>
      <c r="N26" s="360"/>
      <c r="O26" s="360">
        <v>0</v>
      </c>
      <c r="P26" s="360"/>
      <c r="Q26" s="360">
        <v>0</v>
      </c>
      <c r="R26" s="360"/>
      <c r="S26" s="360">
        <v>0</v>
      </c>
      <c r="T26" s="360"/>
      <c r="U26" s="360">
        <v>0</v>
      </c>
      <c r="V26" s="361"/>
      <c r="W26" s="360">
        <v>274690</v>
      </c>
      <c r="X26" s="361"/>
      <c r="Y26" s="360">
        <v>0</v>
      </c>
      <c r="Z26" s="360"/>
      <c r="AA26" s="360">
        <f>+SUM(C26:Y26)</f>
        <v>274690</v>
      </c>
      <c r="AB26" s="360"/>
      <c r="AC26" s="360">
        <v>-274690</v>
      </c>
      <c r="AD26" s="360"/>
      <c r="AE26" s="360">
        <v>0</v>
      </c>
      <c r="AF26" s="360"/>
      <c r="AG26" s="362">
        <f t="shared" si="9"/>
        <v>0</v>
      </c>
    </row>
    <row r="27" spans="1:33">
      <c r="A27" s="358" t="s">
        <v>149</v>
      </c>
      <c r="C27" s="378">
        <f>+C11*C$16</f>
        <v>37757436</v>
      </c>
      <c r="D27" s="360"/>
      <c r="E27" s="378">
        <f>+E11*E$16</f>
        <v>883067.17180000001</v>
      </c>
      <c r="F27" s="360"/>
      <c r="G27" s="378">
        <f>+G11*G$16</f>
        <v>2399.8914027149322</v>
      </c>
      <c r="H27" s="360"/>
      <c r="I27" s="378">
        <f>+I11*I$16</f>
        <v>609101.16</v>
      </c>
      <c r="J27" s="360"/>
      <c r="K27" s="378">
        <f>+K11*K$16</f>
        <v>-490824.5</v>
      </c>
      <c r="L27" s="360"/>
      <c r="M27" s="378">
        <f>+M11*M$16</f>
        <v>-50527.5</v>
      </c>
      <c r="N27" s="360"/>
      <c r="O27" s="378">
        <f>+O11*O$16</f>
        <v>1636.0640000000001</v>
      </c>
      <c r="P27" s="360"/>
      <c r="Q27" s="378">
        <f>+Q11*Q$16</f>
        <v>0</v>
      </c>
      <c r="R27" s="360"/>
      <c r="S27" s="378">
        <f>+S11*S$16</f>
        <v>0</v>
      </c>
      <c r="T27" s="360"/>
      <c r="U27" s="378">
        <f>+U11*U$16</f>
        <v>-332597.625</v>
      </c>
      <c r="V27" s="361"/>
      <c r="W27" s="378">
        <f>+W11*W$16</f>
        <v>-4345037.7299999995</v>
      </c>
      <c r="X27" s="361"/>
      <c r="Y27" s="378">
        <f>+Y11*Y$16</f>
        <v>-544450</v>
      </c>
      <c r="Z27" s="360"/>
      <c r="AA27" s="378">
        <f>+SUM(C27:Z27)</f>
        <v>33490202.932202719</v>
      </c>
      <c r="AC27" s="368">
        <f>+AC11+560219</f>
        <v>-1737280</v>
      </c>
      <c r="AE27" s="360">
        <f>+AE11-205175</f>
        <v>4887516</v>
      </c>
      <c r="AG27" s="381">
        <f t="shared" si="9"/>
        <v>36640438.932202719</v>
      </c>
    </row>
    <row r="28" spans="1:33">
      <c r="A28" s="358"/>
      <c r="C28" s="368">
        <f>+SUM(C19:C27)</f>
        <v>70841302</v>
      </c>
      <c r="E28" s="368">
        <f>+SUM(E19:E27)</f>
        <v>32433643.171799999</v>
      </c>
      <c r="G28" s="368">
        <f>+SUM(G19:G27)</f>
        <v>1984662.8914027149</v>
      </c>
      <c r="I28" s="368">
        <f>+SUM(I19:I27)</f>
        <v>690327.16</v>
      </c>
      <c r="K28" s="368">
        <f>+SUM(K19:K27)</f>
        <v>-440809.5</v>
      </c>
      <c r="M28" s="368">
        <f>+SUM(M19:M27)</f>
        <v>390305.5</v>
      </c>
      <c r="O28" s="368">
        <f>+SUM(O19:O27)</f>
        <v>7502.0640000000003</v>
      </c>
      <c r="Q28" s="368">
        <f>+SUM(Q19:Q27)</f>
        <v>6000</v>
      </c>
      <c r="S28" s="368">
        <f>+SUM(S19:S27)</f>
        <v>1139.943</v>
      </c>
      <c r="U28" s="368">
        <f>+SUM(U19:U27)</f>
        <v>1501559.375</v>
      </c>
      <c r="V28" s="367"/>
      <c r="W28" s="368">
        <f>+SUM(W19:W27)</f>
        <v>-209993.72999999952</v>
      </c>
      <c r="X28" s="367"/>
      <c r="Y28" s="368">
        <f>+SUM(Y19:Y27)</f>
        <v>-534450</v>
      </c>
      <c r="AA28" s="368">
        <f>+SUM(AA19:AA27)</f>
        <v>106671188.87520272</v>
      </c>
      <c r="AC28" s="368"/>
      <c r="AG28" s="362">
        <f>+SUM(AG19:AG27)</f>
        <v>69724304.875202715</v>
      </c>
    </row>
    <row r="29" spans="1:33" ht="5.0999999999999996" customHeight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>
      <c r="A31" s="358" t="s">
        <v>172</v>
      </c>
      <c r="C31" s="368">
        <f t="shared" ref="C31:C37" si="10">+C3-C19</f>
        <v>0</v>
      </c>
      <c r="E31" s="368">
        <f t="shared" ref="E31:E37" si="11">+E3-E19</f>
        <v>1249</v>
      </c>
      <c r="G31" s="368">
        <f t="shared" ref="G31:G37" si="12">+G3-G19</f>
        <v>50</v>
      </c>
      <c r="I31" s="368">
        <f t="shared" ref="I31:I37" si="13">+I3-I19</f>
        <v>3199.9999999999991</v>
      </c>
      <c r="K31" s="368">
        <f t="shared" ref="K31:K37" si="14">+K3-K19</f>
        <v>500</v>
      </c>
      <c r="M31" s="368">
        <f t="shared" ref="M31:M37" si="15">+M3-M19</f>
        <v>250</v>
      </c>
      <c r="O31" s="368">
        <f t="shared" ref="O31:O37" si="16">+O3-O19</f>
        <v>360</v>
      </c>
      <c r="Q31" s="368">
        <f t="shared" ref="Q31:Q37" si="17">+Q3-Q19</f>
        <v>4000</v>
      </c>
      <c r="S31" s="368">
        <f t="shared" ref="S31:S37" si="18">+S3-S19</f>
        <v>3.999999999996362E-2</v>
      </c>
      <c r="U31" s="368">
        <f t="shared" ref="U31:U37" si="19">+U3-U19</f>
        <v>60</v>
      </c>
      <c r="V31" s="367"/>
      <c r="W31" s="368">
        <f t="shared" ref="W31:W37" si="20">+W3-W19</f>
        <v>36614</v>
      </c>
      <c r="X31" s="367"/>
      <c r="Y31" s="368">
        <f t="shared" ref="Y31:Y37" si="21">+Y3-Y19</f>
        <v>0</v>
      </c>
      <c r="AA31" s="360">
        <f t="shared" ref="AA31:AA37" si="22">+SUM(C31:Z31)</f>
        <v>46283.040000000001</v>
      </c>
      <c r="AC31" s="368">
        <v>0</v>
      </c>
      <c r="AE31" s="368">
        <v>0</v>
      </c>
      <c r="AG31" s="362">
        <f t="shared" ref="AG31:AG39" si="23">+AA31+AC31+AE31</f>
        <v>46283.040000000001</v>
      </c>
    </row>
    <row r="32" spans="1:33">
      <c r="A32" s="358" t="s">
        <v>435</v>
      </c>
      <c r="C32" s="368">
        <f t="shared" si="10"/>
        <v>0</v>
      </c>
      <c r="E32" s="368">
        <f t="shared" si="11"/>
        <v>10793227</v>
      </c>
      <c r="G32" s="368">
        <f t="shared" si="12"/>
        <v>0</v>
      </c>
      <c r="I32" s="368">
        <f t="shared" si="13"/>
        <v>0</v>
      </c>
      <c r="K32" s="368">
        <f t="shared" si="14"/>
        <v>0</v>
      </c>
      <c r="M32" s="368">
        <f t="shared" si="15"/>
        <v>0</v>
      </c>
      <c r="O32" s="368">
        <f t="shared" si="16"/>
        <v>0</v>
      </c>
      <c r="Q32" s="368">
        <f t="shared" si="17"/>
        <v>0</v>
      </c>
      <c r="S32" s="368">
        <f t="shared" si="18"/>
        <v>0</v>
      </c>
      <c r="U32" s="368">
        <f t="shared" si="19"/>
        <v>0</v>
      </c>
      <c r="V32" s="367"/>
      <c r="W32" s="368">
        <f t="shared" si="20"/>
        <v>114300</v>
      </c>
      <c r="X32" s="367"/>
      <c r="Y32" s="368">
        <f t="shared" si="21"/>
        <v>0</v>
      </c>
      <c r="AA32" s="360">
        <f t="shared" si="22"/>
        <v>10907527</v>
      </c>
      <c r="AC32" s="368">
        <v>0</v>
      </c>
      <c r="AE32" s="368">
        <v>0</v>
      </c>
      <c r="AG32" s="362">
        <f t="shared" si="23"/>
        <v>10907527</v>
      </c>
    </row>
    <row r="33" spans="1:34">
      <c r="A33" s="358" t="s">
        <v>90</v>
      </c>
      <c r="C33" s="368">
        <f t="shared" si="10"/>
        <v>0</v>
      </c>
      <c r="E33" s="368">
        <f t="shared" si="11"/>
        <v>0</v>
      </c>
      <c r="G33" s="368">
        <f t="shared" si="12"/>
        <v>0</v>
      </c>
      <c r="I33" s="368">
        <f t="shared" si="13"/>
        <v>0</v>
      </c>
      <c r="K33" s="368">
        <f t="shared" si="14"/>
        <v>0</v>
      </c>
      <c r="M33" s="368">
        <f t="shared" si="15"/>
        <v>0</v>
      </c>
      <c r="O33" s="368">
        <f t="shared" si="16"/>
        <v>0</v>
      </c>
      <c r="Q33" s="368">
        <f t="shared" si="17"/>
        <v>0</v>
      </c>
      <c r="S33" s="368">
        <f t="shared" si="18"/>
        <v>1.6999999999995907E-2</v>
      </c>
      <c r="U33" s="368">
        <f t="shared" si="19"/>
        <v>0</v>
      </c>
      <c r="V33" s="367"/>
      <c r="W33" s="368">
        <f t="shared" si="20"/>
        <v>0</v>
      </c>
      <c r="X33" s="367"/>
      <c r="Y33" s="368">
        <f t="shared" si="21"/>
        <v>0</v>
      </c>
      <c r="AA33" s="360">
        <f t="shared" si="22"/>
        <v>1.6999999999995907E-2</v>
      </c>
      <c r="AC33" s="368">
        <v>0</v>
      </c>
      <c r="AE33" s="368">
        <v>0</v>
      </c>
      <c r="AG33" s="362">
        <f t="shared" si="23"/>
        <v>1.6999999999995907E-2</v>
      </c>
    </row>
    <row r="34" spans="1:34">
      <c r="A34" s="358" t="s">
        <v>438</v>
      </c>
      <c r="C34" s="368">
        <f t="shared" si="10"/>
        <v>0</v>
      </c>
      <c r="E34" s="368">
        <f t="shared" si="11"/>
        <v>0</v>
      </c>
      <c r="G34" s="368">
        <f t="shared" si="12"/>
        <v>0</v>
      </c>
      <c r="I34" s="368">
        <f t="shared" si="13"/>
        <v>0</v>
      </c>
      <c r="K34" s="368">
        <f t="shared" si="14"/>
        <v>0</v>
      </c>
      <c r="M34" s="368">
        <f t="shared" si="15"/>
        <v>0</v>
      </c>
      <c r="O34" s="368">
        <f t="shared" si="16"/>
        <v>0</v>
      </c>
      <c r="Q34" s="368">
        <f t="shared" si="17"/>
        <v>0</v>
      </c>
      <c r="S34" s="368">
        <f t="shared" si="18"/>
        <v>0</v>
      </c>
      <c r="U34" s="368">
        <f t="shared" si="19"/>
        <v>0</v>
      </c>
      <c r="V34" s="367"/>
      <c r="W34" s="368">
        <f t="shared" si="20"/>
        <v>0</v>
      </c>
      <c r="X34" s="367"/>
      <c r="Y34" s="368">
        <f t="shared" si="21"/>
        <v>0</v>
      </c>
      <c r="AA34" s="360">
        <f t="shared" si="22"/>
        <v>0</v>
      </c>
      <c r="AC34" s="368">
        <v>0</v>
      </c>
      <c r="AE34" s="368">
        <v>0</v>
      </c>
      <c r="AG34" s="362">
        <f t="shared" si="23"/>
        <v>0</v>
      </c>
    </row>
    <row r="35" spans="1:34">
      <c r="A35" s="358" t="s">
        <v>437</v>
      </c>
      <c r="C35" s="368">
        <f t="shared" si="10"/>
        <v>0</v>
      </c>
      <c r="E35" s="368">
        <f t="shared" si="11"/>
        <v>0</v>
      </c>
      <c r="G35" s="368">
        <f t="shared" si="12"/>
        <v>0</v>
      </c>
      <c r="I35" s="368">
        <f t="shared" si="13"/>
        <v>0</v>
      </c>
      <c r="K35" s="368">
        <f t="shared" si="14"/>
        <v>0</v>
      </c>
      <c r="M35" s="368">
        <f t="shared" si="15"/>
        <v>0</v>
      </c>
      <c r="O35" s="368">
        <f t="shared" si="16"/>
        <v>0</v>
      </c>
      <c r="Q35" s="368">
        <f t="shared" si="17"/>
        <v>0</v>
      </c>
      <c r="S35" s="368">
        <f t="shared" si="18"/>
        <v>0</v>
      </c>
      <c r="U35" s="368">
        <f t="shared" si="19"/>
        <v>0</v>
      </c>
      <c r="V35" s="367"/>
      <c r="W35" s="368">
        <f t="shared" si="20"/>
        <v>0</v>
      </c>
      <c r="X35" s="367"/>
      <c r="Y35" s="368">
        <f t="shared" si="21"/>
        <v>0</v>
      </c>
      <c r="AA35" s="360">
        <f t="shared" si="22"/>
        <v>0</v>
      </c>
      <c r="AC35" s="368">
        <v>0</v>
      </c>
      <c r="AE35" s="368">
        <v>0</v>
      </c>
      <c r="AG35" s="362">
        <f t="shared" si="23"/>
        <v>0</v>
      </c>
    </row>
    <row r="36" spans="1:34">
      <c r="A36" s="358" t="s">
        <v>436</v>
      </c>
      <c r="C36" s="368">
        <f t="shared" si="10"/>
        <v>0</v>
      </c>
      <c r="E36" s="368">
        <f t="shared" si="11"/>
        <v>0</v>
      </c>
      <c r="G36" s="368">
        <f t="shared" si="12"/>
        <v>0</v>
      </c>
      <c r="I36" s="368">
        <f t="shared" si="13"/>
        <v>0</v>
      </c>
      <c r="K36" s="368">
        <f t="shared" si="14"/>
        <v>0</v>
      </c>
      <c r="M36" s="368">
        <f t="shared" si="15"/>
        <v>0</v>
      </c>
      <c r="O36" s="368">
        <f t="shared" si="16"/>
        <v>0</v>
      </c>
      <c r="Q36" s="368">
        <f t="shared" si="17"/>
        <v>0</v>
      </c>
      <c r="S36" s="368">
        <f t="shared" si="18"/>
        <v>0</v>
      </c>
      <c r="U36" s="368">
        <f t="shared" si="19"/>
        <v>0</v>
      </c>
      <c r="V36" s="367"/>
      <c r="W36" s="368">
        <f t="shared" si="20"/>
        <v>0</v>
      </c>
      <c r="X36" s="367"/>
      <c r="Y36" s="368">
        <f t="shared" si="21"/>
        <v>0</v>
      </c>
      <c r="AA36" s="360">
        <f t="shared" si="22"/>
        <v>0</v>
      </c>
      <c r="AC36" s="368">
        <v>0</v>
      </c>
      <c r="AE36" s="368">
        <v>0</v>
      </c>
      <c r="AG36" s="362">
        <f t="shared" si="23"/>
        <v>0</v>
      </c>
    </row>
    <row r="37" spans="1:34">
      <c r="A37" s="358" t="s">
        <v>442</v>
      </c>
      <c r="C37" s="368">
        <f t="shared" si="10"/>
        <v>0</v>
      </c>
      <c r="E37" s="368">
        <f t="shared" si="11"/>
        <v>0</v>
      </c>
      <c r="G37" s="368">
        <f t="shared" si="12"/>
        <v>0</v>
      </c>
      <c r="I37" s="368">
        <f t="shared" si="13"/>
        <v>0</v>
      </c>
      <c r="K37" s="368">
        <f t="shared" si="14"/>
        <v>0</v>
      </c>
      <c r="M37" s="368">
        <f t="shared" si="15"/>
        <v>0</v>
      </c>
      <c r="O37" s="368">
        <f t="shared" si="16"/>
        <v>0</v>
      </c>
      <c r="Q37" s="368">
        <f t="shared" si="17"/>
        <v>0</v>
      </c>
      <c r="S37" s="368">
        <f t="shared" si="18"/>
        <v>0</v>
      </c>
      <c r="U37" s="368">
        <f t="shared" si="19"/>
        <v>0</v>
      </c>
      <c r="V37" s="367"/>
      <c r="W37" s="368">
        <f t="shared" si="20"/>
        <v>0</v>
      </c>
      <c r="X37" s="367"/>
      <c r="Y37" s="368">
        <f t="shared" si="21"/>
        <v>0</v>
      </c>
      <c r="AA37" s="360">
        <f t="shared" si="22"/>
        <v>0</v>
      </c>
      <c r="AC37" s="368">
        <v>0</v>
      </c>
      <c r="AE37" s="368">
        <v>0</v>
      </c>
      <c r="AG37" s="362">
        <f t="shared" si="23"/>
        <v>0</v>
      </c>
    </row>
    <row r="38" spans="1:34">
      <c r="A38" s="358" t="s">
        <v>816</v>
      </c>
      <c r="B38" s="364"/>
      <c r="C38" s="360">
        <v>0</v>
      </c>
      <c r="D38" s="360"/>
      <c r="E38" s="360">
        <v>0</v>
      </c>
      <c r="F38" s="360"/>
      <c r="G38" s="360">
        <v>0</v>
      </c>
      <c r="H38" s="360"/>
      <c r="I38" s="360">
        <v>0</v>
      </c>
      <c r="J38" s="360"/>
      <c r="K38" s="360">
        <v>0</v>
      </c>
      <c r="L38" s="360"/>
      <c r="M38" s="360">
        <v>0</v>
      </c>
      <c r="N38" s="360"/>
      <c r="O38" s="360">
        <v>0</v>
      </c>
      <c r="P38" s="360"/>
      <c r="Q38" s="360">
        <v>0</v>
      </c>
      <c r="R38" s="360"/>
      <c r="S38" s="360">
        <v>0</v>
      </c>
      <c r="T38" s="360"/>
      <c r="U38" s="360">
        <v>0</v>
      </c>
      <c r="V38" s="361"/>
      <c r="W38" s="360">
        <v>0</v>
      </c>
      <c r="X38" s="361"/>
      <c r="Y38" s="360">
        <v>0</v>
      </c>
      <c r="Z38" s="360"/>
      <c r="AA38" s="360">
        <f>+SUM(C38:Y38)</f>
        <v>0</v>
      </c>
      <c r="AB38" s="360"/>
      <c r="AC38" s="360">
        <v>0</v>
      </c>
      <c r="AD38" s="360"/>
      <c r="AE38" s="360">
        <v>0</v>
      </c>
      <c r="AF38" s="360"/>
      <c r="AG38" s="362">
        <f t="shared" si="23"/>
        <v>0</v>
      </c>
    </row>
    <row r="39" spans="1:34">
      <c r="A39" s="358" t="s">
        <v>149</v>
      </c>
      <c r="C39" s="379">
        <f>+C11-C27</f>
        <v>0</v>
      </c>
      <c r="E39" s="379">
        <f>+E11-E27</f>
        <v>294041.82819999999</v>
      </c>
      <c r="G39" s="379">
        <f>+G11-G27</f>
        <v>0.1085972850678445</v>
      </c>
      <c r="I39" s="379">
        <f>+I11-I27</f>
        <v>286635.83999999997</v>
      </c>
      <c r="K39" s="379">
        <f>+K11-K27</f>
        <v>-490824.5</v>
      </c>
      <c r="M39" s="379">
        <f>+M11-M27</f>
        <v>-16842.5</v>
      </c>
      <c r="O39" s="379">
        <f>+O11-O27</f>
        <v>126.93599999999992</v>
      </c>
      <c r="Q39" s="379">
        <f>+Q11-Q27</f>
        <v>0</v>
      </c>
      <c r="S39" s="379">
        <f>+S11-S27</f>
        <v>0</v>
      </c>
      <c r="U39" s="379">
        <f>+U11-U27</f>
        <v>-26967.375</v>
      </c>
      <c r="V39" s="367"/>
      <c r="W39" s="379">
        <f>+W11-W27</f>
        <v>-43889.270000000484</v>
      </c>
      <c r="X39" s="367"/>
      <c r="Y39" s="379">
        <f>+Y11-Y27</f>
        <v>0</v>
      </c>
      <c r="AA39" s="378">
        <f>+SUM(C39:Z39)</f>
        <v>2281.0677972845879</v>
      </c>
      <c r="AC39" s="368">
        <v>-560219</v>
      </c>
      <c r="AE39" s="368">
        <v>205175</v>
      </c>
      <c r="AG39" s="381">
        <f t="shared" si="23"/>
        <v>-352762.93220271543</v>
      </c>
    </row>
    <row r="40" spans="1:34">
      <c r="C40" s="368">
        <f>+SUM(C31:C39)</f>
        <v>0</v>
      </c>
      <c r="E40" s="368">
        <f>+SUM(E31:E39)</f>
        <v>11088517.828199999</v>
      </c>
      <c r="G40" s="368">
        <f>+SUM(G31:G39)</f>
        <v>50.108597285067844</v>
      </c>
      <c r="I40" s="368">
        <f>+SUM(I31:I39)</f>
        <v>289835.83999999997</v>
      </c>
      <c r="K40" s="368">
        <f>+SUM(K31:K39)</f>
        <v>-490324.5</v>
      </c>
      <c r="M40" s="368">
        <f>+SUM(M31:M39)</f>
        <v>-16592.5</v>
      </c>
      <c r="O40" s="368">
        <f>+SUM(O31:O39)</f>
        <v>486.93599999999992</v>
      </c>
      <c r="Q40" s="368">
        <f>+SUM(Q31:Q39)</f>
        <v>4000</v>
      </c>
      <c r="S40" s="368">
        <f>+SUM(S31:S39)</f>
        <v>5.6999999999959527E-2</v>
      </c>
      <c r="U40" s="368">
        <f>+SUM(U31:U39)</f>
        <v>-26907.375</v>
      </c>
      <c r="V40" s="367"/>
      <c r="W40" s="368">
        <f>+SUM(W31:W39)</f>
        <v>107024.72999999952</v>
      </c>
      <c r="X40" s="367"/>
      <c r="Y40" s="368">
        <f>+SUM(Y31:Y39)</f>
        <v>0</v>
      </c>
      <c r="AA40" s="368">
        <f>+SUM(AA31:AA39)</f>
        <v>10956091.124797285</v>
      </c>
      <c r="AG40" s="375">
        <f>+SUM(AG31:AG39)</f>
        <v>10601047.124797285</v>
      </c>
      <c r="AH40" s="368"/>
    </row>
    <row r="41" spans="1:34" ht="5.0999999999999996" customHeight="1">
      <c r="V41" s="367"/>
      <c r="X41" s="367"/>
    </row>
    <row r="42" spans="1:34">
      <c r="A42" s="355" t="s">
        <v>259</v>
      </c>
      <c r="C42" s="368">
        <f>+C40+C28</f>
        <v>70841302</v>
      </c>
      <c r="E42" s="368">
        <f>+E40+E28</f>
        <v>43522161</v>
      </c>
      <c r="G42" s="368">
        <f>+G40+G28</f>
        <v>1984713</v>
      </c>
      <c r="I42" s="368">
        <f>+I40+I28</f>
        <v>980163</v>
      </c>
      <c r="K42" s="368">
        <f>+K40+K28</f>
        <v>-931134</v>
      </c>
      <c r="M42" s="368">
        <f>+M40+M28</f>
        <v>373713</v>
      </c>
      <c r="O42" s="368">
        <f>+O40+O28</f>
        <v>7989</v>
      </c>
      <c r="Q42" s="368">
        <f>+Q40+Q28</f>
        <v>10000</v>
      </c>
      <c r="S42" s="368">
        <f>+S40+S28</f>
        <v>1140</v>
      </c>
      <c r="U42" s="368">
        <f>+U40+U28</f>
        <v>1474652</v>
      </c>
      <c r="V42" s="367"/>
      <c r="W42" s="368">
        <f>+W40+W28</f>
        <v>-102969</v>
      </c>
      <c r="X42" s="367"/>
      <c r="Y42" s="368">
        <f>+Y40+Y28</f>
        <v>-534450</v>
      </c>
    </row>
    <row r="43" spans="1:34" ht="5.0999999999999996" customHeight="1">
      <c r="V43" s="367"/>
      <c r="X43" s="367"/>
    </row>
    <row r="44" spans="1:34" s="382" customFormat="1" ht="9.75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0</v>
      </c>
      <c r="U44" s="383">
        <f>+SUM(U3:U11)-U42</f>
        <v>0</v>
      </c>
      <c r="V44" s="384"/>
      <c r="W44" s="383">
        <f>+SUM(W3:W11)-W42</f>
        <v>0</v>
      </c>
      <c r="X44" s="384"/>
      <c r="Y44" s="383">
        <f>+SUM(Y3:Y11)-Y42</f>
        <v>0</v>
      </c>
      <c r="AG44" s="844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0"/>
  <sheetViews>
    <sheetView zoomScaleNormal="100" workbookViewId="0">
      <selection activeCell="E5" sqref="E5"/>
    </sheetView>
  </sheetViews>
  <sheetFormatPr defaultColWidth="9.140625" defaultRowHeight="15"/>
  <cols>
    <col min="1" max="1" width="54.140625" style="123" customWidth="1"/>
    <col min="2" max="2" width="4.85546875" style="123" customWidth="1"/>
    <col min="3" max="3" width="7" style="123" customWidth="1"/>
    <col min="4" max="4" width="15" style="123" customWidth="1"/>
    <col min="5" max="5" width="4.140625" style="123" customWidth="1"/>
    <col min="6" max="6" width="15" style="123" customWidth="1"/>
    <col min="7" max="7" width="2.7109375" style="123" customWidth="1"/>
    <col min="8" max="8" width="12.42578125" customWidth="1"/>
    <col min="9" max="9" width="2.7109375" style="123" customWidth="1"/>
    <col min="10" max="10" width="16.7109375" style="123" customWidth="1"/>
    <col min="11" max="1024" width="9.140625" style="123"/>
  </cols>
  <sheetData>
    <row r="1" spans="1:10" s="123" customFormat="1" ht="11.25">
      <c r="B1" s="126"/>
      <c r="C1" s="126"/>
      <c r="D1" s="126"/>
      <c r="E1" s="126"/>
      <c r="F1" s="127" t="s">
        <v>152</v>
      </c>
    </row>
    <row r="2" spans="1:10" s="123" customFormat="1" ht="11.25">
      <c r="A2" s="128"/>
      <c r="B2" s="129" t="s">
        <v>120</v>
      </c>
      <c r="C2" s="130"/>
      <c r="D2" s="131">
        <v>2016</v>
      </c>
      <c r="E2" s="130"/>
      <c r="F2" s="131">
        <v>2015</v>
      </c>
      <c r="G2" s="132"/>
      <c r="I2" s="132"/>
      <c r="J2" s="132"/>
    </row>
    <row r="3" spans="1:10" s="123" customFormat="1" ht="3" customHeight="1">
      <c r="A3" s="133"/>
      <c r="B3" s="133"/>
      <c r="C3" s="133"/>
      <c r="D3" s="132"/>
      <c r="E3" s="133"/>
      <c r="F3" s="132"/>
      <c r="G3" s="132"/>
      <c r="I3" s="132"/>
      <c r="J3" s="132"/>
    </row>
    <row r="4" spans="1:10" s="123" customFormat="1" ht="15" customHeight="1">
      <c r="A4" s="134" t="s">
        <v>101</v>
      </c>
      <c r="B4" s="135">
        <v>32</v>
      </c>
      <c r="C4" s="134"/>
      <c r="D4" s="136">
        <v>146570644</v>
      </c>
      <c r="E4" s="137"/>
      <c r="F4" s="136">
        <v>124212687</v>
      </c>
      <c r="G4" s="138"/>
      <c r="I4" s="138"/>
      <c r="J4" s="139"/>
    </row>
    <row r="5" spans="1:10" s="77" customFormat="1" ht="11.25">
      <c r="A5" s="140" t="s">
        <v>153</v>
      </c>
      <c r="B5" s="141">
        <v>29</v>
      </c>
      <c r="C5" s="142"/>
      <c r="D5" s="143">
        <v>-96891637</v>
      </c>
      <c r="E5" s="144"/>
      <c r="F5" s="143">
        <v>-89061601</v>
      </c>
      <c r="G5" s="145"/>
      <c r="I5" s="145"/>
      <c r="J5" s="146"/>
    </row>
    <row r="6" spans="1:10" s="123" customFormat="1" ht="7.5" customHeight="1">
      <c r="A6" s="147"/>
      <c r="B6" s="147"/>
      <c r="C6" s="147"/>
      <c r="D6" s="138"/>
      <c r="E6" s="137"/>
      <c r="F6" s="138"/>
      <c r="G6" s="138"/>
      <c r="I6" s="138"/>
      <c r="J6" s="132"/>
    </row>
    <row r="7" spans="1:10" s="123" customFormat="1" ht="11.25">
      <c r="A7" s="134" t="s">
        <v>154</v>
      </c>
      <c r="B7" s="147"/>
      <c r="C7" s="147"/>
      <c r="D7" s="148">
        <f>+D4+D5</f>
        <v>49679007</v>
      </c>
      <c r="E7" s="137"/>
      <c r="F7" s="148">
        <f>+F4+F5</f>
        <v>35151086</v>
      </c>
      <c r="G7" s="138"/>
      <c r="I7" s="138"/>
      <c r="J7" s="132"/>
    </row>
    <row r="8" spans="1:10" s="123" customFormat="1" ht="6" customHeight="1">
      <c r="A8" s="147"/>
      <c r="B8" s="147"/>
      <c r="C8" s="147"/>
      <c r="D8" s="138"/>
      <c r="E8" s="137"/>
      <c r="F8" s="138"/>
      <c r="G8" s="138"/>
      <c r="I8" s="138"/>
      <c r="J8" s="132"/>
    </row>
    <row r="9" spans="1:10" s="77" customFormat="1" ht="13.5" customHeight="1">
      <c r="A9" s="140" t="s">
        <v>155</v>
      </c>
      <c r="B9" s="141">
        <v>29</v>
      </c>
      <c r="C9" s="142"/>
      <c r="D9" s="149">
        <v>-33364185</v>
      </c>
      <c r="E9" s="144"/>
      <c r="F9" s="149">
        <v>-32040164</v>
      </c>
      <c r="G9" s="145"/>
      <c r="I9" s="145"/>
      <c r="J9" s="150"/>
    </row>
    <row r="10" spans="1:10" s="123" customFormat="1" ht="13.5" customHeight="1">
      <c r="A10" s="134" t="s">
        <v>156</v>
      </c>
      <c r="B10" s="135">
        <v>30</v>
      </c>
      <c r="C10" s="147"/>
      <c r="D10" s="151">
        <v>-102671</v>
      </c>
      <c r="E10" s="137"/>
      <c r="F10" s="151">
        <v>14615520</v>
      </c>
      <c r="G10" s="138"/>
      <c r="I10" s="138"/>
      <c r="J10" s="132"/>
    </row>
    <row r="11" spans="1:10" s="123" customFormat="1" ht="7.5" customHeight="1">
      <c r="A11" s="147"/>
      <c r="B11" s="147"/>
      <c r="C11" s="147"/>
      <c r="D11" s="138"/>
      <c r="E11" s="137"/>
      <c r="F11" s="138"/>
      <c r="G11" s="138"/>
      <c r="I11" s="138"/>
      <c r="J11" s="132"/>
    </row>
    <row r="12" spans="1:10" s="123" customFormat="1" ht="11.25">
      <c r="A12" s="134" t="s">
        <v>157</v>
      </c>
      <c r="B12" s="147"/>
      <c r="C12" s="147"/>
      <c r="D12" s="152">
        <f>SUM(D7:D10)</f>
        <v>16212151</v>
      </c>
      <c r="E12" s="137"/>
      <c r="F12" s="152">
        <f>SUM(F7:F10)</f>
        <v>17726442</v>
      </c>
      <c r="G12" s="138"/>
      <c r="I12" s="138"/>
      <c r="J12" s="132"/>
    </row>
    <row r="13" spans="1:10" s="123" customFormat="1" ht="5.25" customHeight="1">
      <c r="A13" s="147"/>
      <c r="B13" s="147"/>
      <c r="C13" s="147"/>
      <c r="D13" s="138"/>
      <c r="E13" s="136"/>
      <c r="F13" s="138"/>
      <c r="G13" s="138"/>
      <c r="I13" s="138"/>
      <c r="J13" s="132"/>
    </row>
    <row r="14" spans="1:10" s="123" customFormat="1" ht="11.25" customHeight="1">
      <c r="A14" s="134" t="s">
        <v>108</v>
      </c>
      <c r="B14" s="135">
        <v>31</v>
      </c>
      <c r="C14" s="147"/>
      <c r="D14" s="151">
        <v>-4584126</v>
      </c>
      <c r="E14" s="137"/>
      <c r="F14" s="151">
        <v>-3999363</v>
      </c>
      <c r="G14" s="138"/>
      <c r="I14" s="138"/>
      <c r="J14" s="132"/>
    </row>
    <row r="15" spans="1:10" s="123" customFormat="1" ht="11.25">
      <c r="A15" s="134"/>
      <c r="B15" s="134"/>
      <c r="C15" s="147"/>
      <c r="D15" s="153"/>
      <c r="E15" s="137"/>
      <c r="F15" s="153"/>
      <c r="G15" s="138"/>
      <c r="I15" s="138"/>
      <c r="J15" s="132"/>
    </row>
    <row r="16" spans="1:10" s="123" customFormat="1" ht="11.25">
      <c r="A16" s="134" t="s">
        <v>158</v>
      </c>
      <c r="B16" s="134"/>
      <c r="C16" s="147"/>
      <c r="D16" s="152">
        <f>SUM(D12:D14)</f>
        <v>11628025</v>
      </c>
      <c r="E16" s="137"/>
      <c r="F16" s="152">
        <f>SUM(F12:F14)</f>
        <v>13727079</v>
      </c>
      <c r="G16" s="138"/>
      <c r="I16" s="138"/>
      <c r="J16" s="154"/>
    </row>
    <row r="17" spans="1:10" s="123" customFormat="1" ht="5.25" customHeight="1">
      <c r="A17" s="147"/>
      <c r="B17" s="134"/>
      <c r="C17" s="147"/>
      <c r="D17" s="138"/>
      <c r="E17" s="137"/>
      <c r="F17" s="138"/>
      <c r="G17" s="138"/>
      <c r="I17" s="138"/>
      <c r="J17" s="155"/>
    </row>
    <row r="18" spans="1:10" s="123" customFormat="1" ht="11.25">
      <c r="A18" s="134" t="s">
        <v>159</v>
      </c>
      <c r="B18" s="135">
        <v>22</v>
      </c>
      <c r="C18" s="147"/>
      <c r="D18" s="151">
        <v>-3198548</v>
      </c>
      <c r="E18" s="137"/>
      <c r="F18" s="151">
        <v>-1573103</v>
      </c>
      <c r="G18" s="138"/>
      <c r="I18" s="138"/>
      <c r="J18" s="155"/>
    </row>
    <row r="19" spans="1:10" s="123" customFormat="1" ht="11.25">
      <c r="A19" s="147"/>
      <c r="B19" s="147"/>
      <c r="C19" s="147"/>
      <c r="D19" s="138"/>
      <c r="E19" s="137"/>
      <c r="F19" s="138"/>
      <c r="G19" s="138"/>
      <c r="I19" s="138"/>
    </row>
    <row r="20" spans="1:10" s="123" customFormat="1" ht="11.25">
      <c r="A20" s="134" t="s">
        <v>160</v>
      </c>
      <c r="B20" s="147"/>
      <c r="C20" s="156"/>
      <c r="D20" s="152">
        <f>SUM(D16:D18)</f>
        <v>8429477</v>
      </c>
      <c r="E20" s="136"/>
      <c r="F20" s="152">
        <f>SUM(F16:F18)</f>
        <v>12153976</v>
      </c>
      <c r="G20" s="138"/>
      <c r="I20" s="138"/>
      <c r="J20" s="155"/>
    </row>
    <row r="21" spans="1:10" s="123" customFormat="1" ht="5.25" customHeight="1">
      <c r="A21" s="134"/>
      <c r="B21" s="147"/>
      <c r="C21" s="156"/>
      <c r="D21" s="152"/>
      <c r="E21" s="136"/>
      <c r="F21" s="152"/>
      <c r="G21" s="138"/>
      <c r="I21" s="138"/>
      <c r="J21" s="155"/>
    </row>
    <row r="22" spans="1:10" s="123" customFormat="1" ht="11.25">
      <c r="A22" s="134" t="s">
        <v>161</v>
      </c>
      <c r="B22" s="147"/>
      <c r="C22" s="156"/>
      <c r="D22" s="152"/>
      <c r="E22" s="136"/>
      <c r="F22" s="152"/>
      <c r="G22" s="138"/>
      <c r="I22" s="138"/>
      <c r="J22" s="155"/>
    </row>
    <row r="23" spans="1:10" s="123" customFormat="1" ht="11.25">
      <c r="A23" s="134" t="s">
        <v>162</v>
      </c>
      <c r="B23" s="147"/>
      <c r="C23" s="156"/>
      <c r="D23" s="152"/>
      <c r="E23" s="136"/>
      <c r="F23" s="152"/>
      <c r="G23" s="138"/>
      <c r="I23" s="138"/>
      <c r="J23" s="155"/>
    </row>
    <row r="24" spans="1:10" s="123" customFormat="1" ht="11.25">
      <c r="A24" s="134" t="s">
        <v>163</v>
      </c>
      <c r="B24" s="147"/>
      <c r="C24" s="156"/>
      <c r="D24" s="152"/>
      <c r="E24" s="136"/>
      <c r="F24" s="152"/>
      <c r="G24" s="138"/>
      <c r="I24" s="138"/>
      <c r="J24" s="155"/>
    </row>
    <row r="25" spans="1:10" s="123" customFormat="1" ht="9" customHeight="1">
      <c r="A25" s="134"/>
      <c r="B25" s="147"/>
      <c r="C25" s="156"/>
      <c r="D25" s="152"/>
      <c r="E25" s="136"/>
      <c r="F25" s="152"/>
      <c r="G25" s="138"/>
      <c r="I25" s="138"/>
      <c r="J25" s="155"/>
    </row>
    <row r="26" spans="1:10" s="123" customFormat="1" ht="11.25">
      <c r="A26" s="134" t="s">
        <v>164</v>
      </c>
      <c r="B26" s="147">
        <v>25</v>
      </c>
      <c r="C26" s="156"/>
      <c r="D26" s="148">
        <v>-495802</v>
      </c>
      <c r="E26" s="136"/>
      <c r="F26" s="148">
        <v>14390</v>
      </c>
      <c r="G26" s="138"/>
      <c r="I26" s="138"/>
      <c r="J26" s="155"/>
    </row>
    <row r="27" spans="1:10" s="123" customFormat="1" ht="5.25" customHeight="1">
      <c r="A27" s="134"/>
      <c r="B27" s="147"/>
      <c r="C27" s="156"/>
      <c r="D27" s="152"/>
      <c r="E27" s="136"/>
      <c r="F27" s="152"/>
      <c r="G27" s="138"/>
      <c r="I27" s="138"/>
      <c r="J27" s="155"/>
    </row>
    <row r="28" spans="1:10" s="123" customFormat="1" ht="11.25">
      <c r="A28" s="134" t="s">
        <v>98</v>
      </c>
      <c r="B28" s="147"/>
      <c r="C28" s="156"/>
      <c r="D28" s="157">
        <f>+D20+D26</f>
        <v>7933675</v>
      </c>
      <c r="E28" s="136"/>
      <c r="F28" s="157">
        <f>+F20+F26</f>
        <v>12168366</v>
      </c>
      <c r="G28" s="138"/>
      <c r="I28" s="138"/>
      <c r="J28" s="155"/>
    </row>
    <row r="29" spans="1:10" s="123" customFormat="1" ht="11.25">
      <c r="A29" s="147"/>
      <c r="B29" s="147"/>
      <c r="C29" s="147"/>
      <c r="D29" s="138"/>
      <c r="E29" s="158"/>
      <c r="F29" s="138"/>
      <c r="G29" s="138"/>
      <c r="I29" s="138"/>
      <c r="J29" s="155"/>
    </row>
    <row r="30" spans="1:10" s="123" customFormat="1" ht="11.25">
      <c r="A30" s="123" t="s">
        <v>165</v>
      </c>
      <c r="B30" s="147"/>
      <c r="C30" s="147"/>
      <c r="D30" s="138"/>
      <c r="E30" s="158"/>
      <c r="F30" s="138"/>
      <c r="G30" s="138"/>
      <c r="I30" s="138"/>
      <c r="J30" s="155"/>
    </row>
    <row r="31" spans="1:10" s="123" customFormat="1" ht="11.25">
      <c r="B31" s="147"/>
      <c r="C31" s="147"/>
      <c r="D31" s="138"/>
      <c r="E31" s="158"/>
      <c r="F31" s="138"/>
      <c r="G31" s="138"/>
      <c r="I31" s="138"/>
      <c r="J31" s="155"/>
    </row>
    <row r="32" spans="1:10">
      <c r="A32" s="123" t="s">
        <v>166</v>
      </c>
      <c r="B32" s="147"/>
      <c r="C32" s="147"/>
      <c r="D32" s="122">
        <v>7615423</v>
      </c>
      <c r="E32" s="158"/>
      <c r="F32" s="122">
        <f>F28-F33</f>
        <v>12546363</v>
      </c>
      <c r="G32" s="138"/>
      <c r="H32" s="159">
        <f>F32-F26</f>
        <v>12531973</v>
      </c>
      <c r="I32" s="138"/>
      <c r="J32" s="155"/>
    </row>
    <row r="33" spans="1:10" s="123" customFormat="1" ht="11.25">
      <c r="A33" s="123" t="s">
        <v>150</v>
      </c>
      <c r="B33" s="147"/>
      <c r="C33" s="147"/>
      <c r="D33" s="101">
        <v>318252</v>
      </c>
      <c r="E33" s="158"/>
      <c r="F33" s="101">
        <v>-377997</v>
      </c>
      <c r="G33" s="138"/>
      <c r="I33" s="138"/>
      <c r="J33" s="155"/>
    </row>
    <row r="34" spans="1:10" s="123" customFormat="1" ht="11.25">
      <c r="A34" s="147"/>
      <c r="B34" s="147"/>
      <c r="C34" s="147"/>
      <c r="D34" s="160">
        <f>SUM(D32:D33)</f>
        <v>7933675</v>
      </c>
      <c r="E34" s="158"/>
      <c r="F34" s="160">
        <f>SUM(F32:F33)</f>
        <v>12168366</v>
      </c>
      <c r="G34" s="138"/>
      <c r="I34" s="138"/>
      <c r="J34" s="155"/>
    </row>
    <row r="35" spans="1:10" s="123" customFormat="1" ht="11.25">
      <c r="A35" s="147"/>
      <c r="B35" s="147"/>
      <c r="C35" s="147"/>
      <c r="D35" s="138"/>
      <c r="E35" s="158"/>
      <c r="F35" s="138"/>
      <c r="G35" s="138"/>
      <c r="I35" s="138"/>
      <c r="J35" s="155"/>
    </row>
    <row r="36" spans="1:10" s="123" customFormat="1" ht="6" customHeight="1"/>
    <row r="37" spans="1:10" s="123" customFormat="1" ht="11.25"/>
    <row r="38" spans="1:10" s="123" customFormat="1" ht="11.25"/>
    <row r="39" spans="1:10" s="123" customFormat="1" ht="11.25"/>
    <row r="40" spans="1:10" s="123" customFormat="1" ht="11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42"/>
  <sheetViews>
    <sheetView topLeftCell="A13" zoomScale="90" zoomScaleNormal="90" workbookViewId="0">
      <selection activeCell="D8" sqref="D8"/>
    </sheetView>
  </sheetViews>
  <sheetFormatPr defaultColWidth="11.42578125" defaultRowHeight="15"/>
  <cols>
    <col min="1" max="1" width="49.7109375" style="77" customWidth="1"/>
    <col min="2" max="2" width="12.7109375" style="77" customWidth="1"/>
    <col min="3" max="3" width="1.28515625" style="77" customWidth="1"/>
    <col min="4" max="4" width="15.140625" style="77" customWidth="1"/>
    <col min="5" max="5" width="1.140625" style="77" customWidth="1"/>
    <col min="6" max="6" width="11.5703125" style="77" customWidth="1"/>
    <col min="7" max="7" width="1.140625" style="77" customWidth="1"/>
    <col min="8" max="8" width="10.7109375" style="77" customWidth="1"/>
    <col min="9" max="9" width="1.140625" style="77" customWidth="1"/>
    <col min="10" max="10" width="9.85546875" style="77" customWidth="1"/>
    <col min="11" max="11" width="1.28515625" style="77" customWidth="1"/>
    <col min="12" max="12" width="12.5703125" style="77" customWidth="1"/>
    <col min="13" max="13" width="1.28515625" style="77" customWidth="1"/>
    <col min="14" max="14" width="15.5703125" style="77" customWidth="1"/>
    <col min="15" max="15" width="1.28515625" style="77" customWidth="1"/>
    <col min="16" max="16" width="14.42578125" style="77" customWidth="1"/>
    <col min="17" max="17" width="1.140625" style="77" customWidth="1"/>
    <col min="18" max="18" width="12.7109375" style="77" customWidth="1"/>
    <col min="19" max="19" width="11.42578125" style="77"/>
    <col min="20" max="20" width="12.7109375" style="77" customWidth="1"/>
    <col min="21" max="1024" width="11.42578125" style="77"/>
  </cols>
  <sheetData>
    <row r="2" spans="1:21">
      <c r="B2" s="161"/>
      <c r="D2" s="162"/>
      <c r="F2" s="1061" t="s">
        <v>148</v>
      </c>
      <c r="G2" s="1061"/>
      <c r="H2" s="1061"/>
      <c r="J2" s="1061" t="s">
        <v>149</v>
      </c>
      <c r="K2" s="1061"/>
      <c r="L2" s="1061"/>
      <c r="M2" s="1061"/>
      <c r="N2" s="1061"/>
      <c r="O2" s="164"/>
      <c r="P2" s="164"/>
      <c r="U2" s="165"/>
    </row>
    <row r="3" spans="1:21">
      <c r="B3" s="166"/>
      <c r="D3" s="79" t="s">
        <v>167</v>
      </c>
      <c r="F3" s="161"/>
      <c r="G3" s="161"/>
      <c r="H3" s="161"/>
      <c r="J3" s="161" t="s">
        <v>168</v>
      </c>
      <c r="K3" s="161"/>
      <c r="L3" s="161" t="s">
        <v>169</v>
      </c>
      <c r="N3" s="79" t="s">
        <v>170</v>
      </c>
      <c r="P3" s="79" t="s">
        <v>171</v>
      </c>
      <c r="U3" s="165"/>
    </row>
    <row r="4" spans="1:21">
      <c r="B4" s="163" t="s">
        <v>172</v>
      </c>
      <c r="D4" s="167" t="s">
        <v>173</v>
      </c>
      <c r="F4" s="163" t="s">
        <v>174</v>
      </c>
      <c r="H4" s="163" t="s">
        <v>175</v>
      </c>
      <c r="J4" s="163" t="s">
        <v>176</v>
      </c>
      <c r="L4" s="163" t="s">
        <v>177</v>
      </c>
      <c r="N4" s="163" t="s">
        <v>178</v>
      </c>
      <c r="P4" s="168" t="s">
        <v>179</v>
      </c>
      <c r="R4" s="168" t="s">
        <v>180</v>
      </c>
    </row>
    <row r="6" spans="1:21">
      <c r="A6" s="169" t="s">
        <v>181</v>
      </c>
      <c r="B6" s="170">
        <v>11061874</v>
      </c>
      <c r="C6" s="117"/>
      <c r="D6" s="170">
        <v>10877339</v>
      </c>
      <c r="E6" s="117"/>
      <c r="F6" s="170">
        <v>929450</v>
      </c>
      <c r="G6" s="117"/>
      <c r="H6" s="170">
        <v>34797</v>
      </c>
      <c r="I6" s="117"/>
      <c r="J6" s="170">
        <v>227072</v>
      </c>
      <c r="K6" s="117"/>
      <c r="L6" s="170">
        <v>-3202431</v>
      </c>
      <c r="M6" s="117"/>
      <c r="N6" s="170">
        <v>35430659</v>
      </c>
      <c r="O6" s="117"/>
      <c r="P6" s="170">
        <v>9731456</v>
      </c>
      <c r="Q6" s="117"/>
      <c r="R6" s="170">
        <f>SUM(B6:P6)</f>
        <v>65090216</v>
      </c>
    </row>
    <row r="7" spans="1:21">
      <c r="A7" s="171"/>
      <c r="B7" s="170"/>
      <c r="C7" s="117"/>
      <c r="D7" s="170"/>
      <c r="E7" s="117"/>
      <c r="F7" s="170"/>
      <c r="G7" s="117"/>
      <c r="H7" s="170"/>
      <c r="I7" s="117"/>
      <c r="J7" s="170"/>
      <c r="K7" s="117"/>
      <c r="L7" s="170"/>
      <c r="M7" s="117"/>
      <c r="N7" s="170"/>
      <c r="O7" s="117"/>
      <c r="P7" s="170"/>
      <c r="Q7" s="117"/>
      <c r="R7" s="170"/>
    </row>
    <row r="8" spans="1:21" ht="23.25">
      <c r="A8" s="172" t="s">
        <v>182</v>
      </c>
      <c r="B8" s="170">
        <v>0</v>
      </c>
      <c r="C8" s="117"/>
      <c r="D8" s="170">
        <v>-3094403</v>
      </c>
      <c r="E8" s="117"/>
      <c r="F8" s="170">
        <v>0</v>
      </c>
      <c r="G8" s="117"/>
      <c r="H8" s="170">
        <v>0</v>
      </c>
      <c r="I8" s="117"/>
      <c r="J8" s="170">
        <v>0</v>
      </c>
      <c r="K8" s="117"/>
      <c r="L8" s="173">
        <v>0</v>
      </c>
      <c r="M8" s="117"/>
      <c r="N8" s="174">
        <v>0</v>
      </c>
      <c r="O8" s="117"/>
      <c r="P8" s="174">
        <v>0</v>
      </c>
      <c r="Q8" s="117"/>
      <c r="R8" s="100">
        <f>+SUM(B8:P8)</f>
        <v>-3094403</v>
      </c>
    </row>
    <row r="9" spans="1:21">
      <c r="A9" s="166"/>
      <c r="B9" s="170"/>
      <c r="C9" s="117"/>
      <c r="D9" s="170"/>
      <c r="E9" s="117"/>
      <c r="F9" s="170"/>
      <c r="G9" s="117"/>
      <c r="H9" s="170"/>
      <c r="I9" s="117"/>
      <c r="J9" s="170"/>
      <c r="K9" s="117"/>
      <c r="L9" s="173"/>
      <c r="M9" s="117"/>
      <c r="N9" s="174"/>
      <c r="O9" s="117"/>
      <c r="P9" s="174"/>
      <c r="Q9" s="117"/>
      <c r="R9" s="100"/>
    </row>
    <row r="10" spans="1:21" ht="23.25">
      <c r="A10" s="175" t="s">
        <v>183</v>
      </c>
      <c r="B10" s="170">
        <v>7077000</v>
      </c>
      <c r="C10" s="117"/>
      <c r="D10" s="170">
        <v>-7077000</v>
      </c>
      <c r="E10" s="117"/>
      <c r="F10" s="170">
        <v>0</v>
      </c>
      <c r="G10" s="117"/>
      <c r="H10" s="170">
        <v>0</v>
      </c>
      <c r="I10" s="117"/>
      <c r="J10" s="170">
        <v>0</v>
      </c>
      <c r="K10" s="117"/>
      <c r="L10" s="173">
        <v>0</v>
      </c>
      <c r="M10" s="117"/>
      <c r="N10" s="174">
        <v>0</v>
      </c>
      <c r="O10" s="117"/>
      <c r="P10" s="174">
        <v>0</v>
      </c>
      <c r="Q10" s="117"/>
      <c r="R10" s="100">
        <f>+SUM(B10:P10)</f>
        <v>0</v>
      </c>
    </row>
    <row r="11" spans="1:21">
      <c r="A11" s="106"/>
      <c r="B11" s="170"/>
      <c r="C11" s="117"/>
      <c r="D11" s="170"/>
      <c r="E11" s="117"/>
      <c r="F11" s="170"/>
      <c r="G11" s="117"/>
      <c r="H11" s="170"/>
      <c r="I11" s="117"/>
      <c r="J11" s="170"/>
      <c r="K11" s="117"/>
      <c r="L11" s="173"/>
      <c r="M11" s="117"/>
      <c r="N11" s="174"/>
      <c r="O11" s="117"/>
      <c r="P11" s="174"/>
      <c r="Q11" s="117"/>
      <c r="R11" s="100"/>
    </row>
    <row r="12" spans="1:21" ht="23.25">
      <c r="A12" s="175" t="s">
        <v>184</v>
      </c>
      <c r="B12" s="170">
        <v>5470478</v>
      </c>
      <c r="C12" s="117"/>
      <c r="D12" s="170">
        <v>0</v>
      </c>
      <c r="E12" s="117"/>
      <c r="F12" s="170">
        <v>0</v>
      </c>
      <c r="G12" s="117"/>
      <c r="H12" s="170">
        <v>0</v>
      </c>
      <c r="I12" s="117"/>
      <c r="J12" s="170">
        <v>0</v>
      </c>
      <c r="K12" s="117"/>
      <c r="L12" s="173">
        <v>0</v>
      </c>
      <c r="M12" s="117"/>
      <c r="N12" s="174">
        <v>-5470478</v>
      </c>
      <c r="O12" s="117"/>
      <c r="P12" s="174">
        <v>0</v>
      </c>
      <c r="Q12" s="117"/>
      <c r="R12" s="100">
        <f>+SUM(B12:P12)</f>
        <v>0</v>
      </c>
    </row>
    <row r="13" spans="1:21">
      <c r="A13" s="166"/>
      <c r="B13" s="170"/>
      <c r="C13" s="117"/>
      <c r="D13" s="170"/>
      <c r="E13" s="117"/>
      <c r="F13" s="170"/>
      <c r="G13" s="117"/>
      <c r="H13" s="170"/>
      <c r="I13" s="117"/>
      <c r="J13" s="170"/>
      <c r="K13" s="117"/>
      <c r="L13" s="173"/>
      <c r="M13" s="117"/>
      <c r="N13" s="174"/>
      <c r="O13" s="117"/>
      <c r="P13" s="174"/>
      <c r="Q13" s="117"/>
      <c r="R13" s="100"/>
    </row>
    <row r="14" spans="1:21" ht="23.25">
      <c r="A14" s="175" t="s">
        <v>185</v>
      </c>
      <c r="B14" s="170">
        <v>270000</v>
      </c>
      <c r="C14" s="117"/>
      <c r="D14" s="170">
        <v>0</v>
      </c>
      <c r="E14" s="117"/>
      <c r="F14" s="170">
        <v>0</v>
      </c>
      <c r="G14" s="117"/>
      <c r="H14" s="170">
        <v>0</v>
      </c>
      <c r="I14" s="117"/>
      <c r="J14" s="170">
        <v>0</v>
      </c>
      <c r="K14" s="117"/>
      <c r="L14" s="173">
        <v>0</v>
      </c>
      <c r="M14" s="117"/>
      <c r="N14" s="174">
        <v>-270000</v>
      </c>
      <c r="O14" s="117"/>
      <c r="P14" s="174">
        <v>0</v>
      </c>
      <c r="Q14" s="117"/>
      <c r="R14" s="100">
        <f>+SUM(B14:P14)</f>
        <v>0</v>
      </c>
    </row>
    <row r="15" spans="1:21">
      <c r="B15" s="92"/>
      <c r="C15" s="117"/>
      <c r="D15" s="92"/>
      <c r="E15" s="117"/>
      <c r="F15" s="92"/>
      <c r="G15" s="117"/>
      <c r="H15" s="92"/>
      <c r="I15" s="117"/>
      <c r="J15" s="92"/>
      <c r="K15" s="117"/>
      <c r="L15" s="92"/>
      <c r="M15" s="117"/>
      <c r="N15" s="92"/>
      <c r="O15" s="117"/>
      <c r="P15" s="92"/>
      <c r="Q15" s="117"/>
      <c r="R15" s="92"/>
    </row>
    <row r="16" spans="1:21" ht="34.5">
      <c r="A16" s="175" t="s">
        <v>186</v>
      </c>
      <c r="B16" s="170">
        <v>0</v>
      </c>
      <c r="C16" s="117"/>
      <c r="D16" s="170">
        <v>0</v>
      </c>
      <c r="E16" s="117"/>
      <c r="F16" s="170">
        <v>1710803</v>
      </c>
      <c r="G16" s="117"/>
      <c r="H16" s="170">
        <v>0</v>
      </c>
      <c r="I16" s="117"/>
      <c r="J16" s="170">
        <v>0</v>
      </c>
      <c r="K16" s="117"/>
      <c r="L16" s="173">
        <v>0</v>
      </c>
      <c r="M16" s="117"/>
      <c r="N16" s="174">
        <v>-1710803</v>
      </c>
      <c r="O16" s="117"/>
      <c r="P16" s="174">
        <v>0</v>
      </c>
      <c r="Q16" s="117"/>
      <c r="R16" s="100">
        <f>+SUM(B16:P16)</f>
        <v>0</v>
      </c>
    </row>
    <row r="17" spans="1:20">
      <c r="A17" s="166"/>
      <c r="B17" s="170"/>
      <c r="C17" s="117"/>
      <c r="D17" s="170"/>
      <c r="E17" s="117"/>
      <c r="F17" s="170"/>
      <c r="G17" s="117"/>
      <c r="H17" s="170"/>
      <c r="I17" s="117"/>
      <c r="J17" s="170"/>
      <c r="K17" s="117"/>
      <c r="L17" s="173"/>
      <c r="M17" s="117"/>
      <c r="N17" s="174"/>
      <c r="O17" s="117"/>
      <c r="P17" s="174"/>
      <c r="Q17" s="117"/>
      <c r="R17" s="100"/>
    </row>
    <row r="18" spans="1:20">
      <c r="A18" s="162" t="s">
        <v>187</v>
      </c>
      <c r="B18" s="170">
        <v>0</v>
      </c>
      <c r="C18" s="117"/>
      <c r="D18" s="170">
        <v>0</v>
      </c>
      <c r="E18" s="117"/>
      <c r="F18" s="170">
        <v>0</v>
      </c>
      <c r="G18" s="117"/>
      <c r="H18" s="170">
        <v>0</v>
      </c>
      <c r="I18" s="117"/>
      <c r="J18" s="170">
        <v>0</v>
      </c>
      <c r="K18" s="117"/>
      <c r="L18" s="173">
        <v>0</v>
      </c>
      <c r="M18" s="117"/>
      <c r="N18" s="176">
        <v>12531973</v>
      </c>
      <c r="O18" s="117"/>
      <c r="P18" s="176">
        <v>-377997</v>
      </c>
      <c r="Q18" s="117"/>
      <c r="R18" s="100">
        <f>+SUM(B18:P18)</f>
        <v>12153976</v>
      </c>
    </row>
    <row r="19" spans="1:20">
      <c r="A19" s="162"/>
      <c r="B19" s="170"/>
      <c r="C19" s="117"/>
      <c r="D19" s="170"/>
      <c r="E19" s="117"/>
      <c r="F19" s="170"/>
      <c r="G19" s="117"/>
      <c r="H19" s="170"/>
      <c r="I19" s="117"/>
      <c r="J19" s="170"/>
      <c r="K19" s="117"/>
      <c r="L19" s="173"/>
      <c r="M19" s="117"/>
      <c r="N19" s="176"/>
      <c r="O19" s="117"/>
      <c r="P19" s="176"/>
      <c r="Q19" s="117"/>
      <c r="R19" s="100"/>
      <c r="T19" s="117"/>
    </row>
    <row r="20" spans="1:20">
      <c r="A20" s="162" t="s">
        <v>188</v>
      </c>
      <c r="B20" s="170">
        <v>0</v>
      </c>
      <c r="C20" s="117"/>
      <c r="D20" s="170">
        <v>0</v>
      </c>
      <c r="E20" s="117"/>
      <c r="F20" s="170">
        <v>0</v>
      </c>
      <c r="G20" s="117"/>
      <c r="H20" s="170">
        <v>0</v>
      </c>
      <c r="I20" s="117"/>
      <c r="J20" s="170">
        <v>0</v>
      </c>
      <c r="K20" s="117"/>
      <c r="L20" s="173">
        <v>0</v>
      </c>
      <c r="M20" s="117"/>
      <c r="N20" s="176">
        <v>0</v>
      </c>
      <c r="O20" s="117"/>
      <c r="P20" s="176">
        <f>+'[1]Flujo consolidado'!P55</f>
        <v>4060</v>
      </c>
      <c r="Q20" s="117"/>
      <c r="R20" s="100">
        <f>+SUM(B20:P20)</f>
        <v>4060</v>
      </c>
    </row>
    <row r="21" spans="1:20">
      <c r="A21" s="162"/>
      <c r="B21" s="170"/>
      <c r="C21" s="117"/>
      <c r="D21" s="170"/>
      <c r="E21" s="117"/>
      <c r="F21" s="170"/>
      <c r="G21" s="117"/>
      <c r="H21" s="170"/>
      <c r="I21" s="117"/>
      <c r="J21" s="170"/>
      <c r="K21" s="117"/>
      <c r="L21" s="173"/>
      <c r="M21" s="117"/>
      <c r="N21" s="176"/>
      <c r="O21" s="117"/>
      <c r="P21" s="176"/>
      <c r="Q21" s="117"/>
      <c r="R21" s="100"/>
    </row>
    <row r="22" spans="1:20">
      <c r="A22" s="177" t="s">
        <v>189</v>
      </c>
      <c r="B22" s="170"/>
      <c r="C22" s="117"/>
      <c r="D22" s="170"/>
      <c r="E22" s="117"/>
      <c r="F22" s="170"/>
      <c r="G22" s="117"/>
      <c r="H22" s="170"/>
      <c r="I22" s="117"/>
      <c r="J22" s="170"/>
      <c r="K22" s="117"/>
      <c r="L22" s="173"/>
      <c r="M22" s="117"/>
      <c r="N22" s="176">
        <v>14390</v>
      </c>
      <c r="O22" s="117"/>
      <c r="P22" s="176"/>
      <c r="Q22" s="117"/>
      <c r="R22" s="100">
        <f>+SUM(B22:P22)</f>
        <v>14390</v>
      </c>
    </row>
    <row r="23" spans="1:20">
      <c r="A23" s="177"/>
      <c r="B23" s="170"/>
      <c r="C23" s="117"/>
      <c r="D23" s="170"/>
      <c r="E23" s="117"/>
      <c r="F23" s="170"/>
      <c r="G23" s="117"/>
      <c r="H23" s="170"/>
      <c r="I23" s="117"/>
      <c r="J23" s="170"/>
      <c r="K23" s="117"/>
      <c r="L23" s="173"/>
      <c r="M23" s="117"/>
      <c r="N23" s="176"/>
      <c r="O23" s="117"/>
      <c r="P23" s="176"/>
      <c r="Q23" s="117"/>
      <c r="R23" s="100"/>
    </row>
    <row r="24" spans="1:20">
      <c r="A24" s="177" t="s">
        <v>190</v>
      </c>
      <c r="B24" s="170"/>
      <c r="C24" s="117"/>
      <c r="D24" s="170"/>
      <c r="E24" s="117"/>
      <c r="F24" s="170"/>
      <c r="G24" s="117"/>
      <c r="H24" s="170"/>
      <c r="I24" s="117"/>
      <c r="J24" s="170"/>
      <c r="K24" s="117"/>
      <c r="L24" s="173"/>
      <c r="M24" s="117"/>
      <c r="N24" s="176">
        <v>-5585599</v>
      </c>
      <c r="O24" s="117"/>
      <c r="P24" s="176"/>
      <c r="Q24" s="117"/>
      <c r="R24" s="100">
        <f>+SUM(B24:P24)</f>
        <v>-5585599</v>
      </c>
    </row>
    <row r="25" spans="1:20">
      <c r="A25" s="162"/>
      <c r="B25" s="178"/>
      <c r="C25" s="117"/>
      <c r="D25" s="178"/>
      <c r="E25" s="117"/>
      <c r="F25" s="179"/>
      <c r="G25" s="117"/>
      <c r="H25" s="179"/>
      <c r="I25" s="117"/>
      <c r="J25" s="179"/>
      <c r="K25" s="117"/>
      <c r="L25" s="179"/>
      <c r="M25" s="117"/>
      <c r="N25" s="178"/>
      <c r="O25" s="117"/>
      <c r="P25" s="178"/>
      <c r="Q25" s="117"/>
      <c r="R25" s="121"/>
    </row>
    <row r="26" spans="1:20">
      <c r="A26" s="166" t="s">
        <v>191</v>
      </c>
      <c r="B26" s="180">
        <f>+SUM(B6:B21)</f>
        <v>23879352</v>
      </c>
      <c r="C26" s="117"/>
      <c r="D26" s="180">
        <f>+SUM(D6:D21)</f>
        <v>705936</v>
      </c>
      <c r="E26" s="117"/>
      <c r="F26" s="180">
        <f>+SUM(F6:F21)</f>
        <v>2640253</v>
      </c>
      <c r="G26" s="117"/>
      <c r="H26" s="180">
        <f>+SUM(H6:H21)</f>
        <v>34797</v>
      </c>
      <c r="I26" s="117"/>
      <c r="J26" s="180">
        <f>+SUM(J6:J21)</f>
        <v>227072</v>
      </c>
      <c r="K26" s="117"/>
      <c r="L26" s="180">
        <f>+SUM(L6:L21)</f>
        <v>-3202431</v>
      </c>
      <c r="M26" s="117"/>
      <c r="N26" s="180">
        <f>+SUM(N6:N25)</f>
        <v>34940142</v>
      </c>
      <c r="O26" s="117"/>
      <c r="P26" s="180">
        <f>+SUM(P6:P24)</f>
        <v>9357519</v>
      </c>
      <c r="Q26" s="117"/>
      <c r="R26" s="180">
        <f>+SUM(R6:R24)</f>
        <v>68582640</v>
      </c>
      <c r="S26" s="117"/>
    </row>
    <row r="28" spans="1:20">
      <c r="A28" s="166" t="s">
        <v>192</v>
      </c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</row>
    <row r="29" spans="1:20">
      <c r="A29" s="166" t="s">
        <v>193</v>
      </c>
      <c r="B29" s="170"/>
      <c r="C29" s="170"/>
      <c r="D29" s="170"/>
      <c r="E29" s="170"/>
      <c r="F29" s="170">
        <v>1341885</v>
      </c>
      <c r="G29" s="170"/>
      <c r="H29" s="170"/>
      <c r="I29" s="170"/>
      <c r="J29" s="170"/>
      <c r="K29" s="170"/>
      <c r="L29" s="170"/>
      <c r="M29" s="170"/>
      <c r="N29" s="170">
        <v>-1341885</v>
      </c>
      <c r="O29" s="170"/>
      <c r="P29" s="170"/>
      <c r="Q29" s="170"/>
      <c r="R29" s="100">
        <f>+SUM(B29:P29)</f>
        <v>0</v>
      </c>
    </row>
    <row r="30" spans="1:20">
      <c r="A30" s="166"/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</row>
    <row r="31" spans="1:20">
      <c r="A31" s="166" t="s">
        <v>194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>
        <f>8429477-P31</f>
        <v>8111225</v>
      </c>
      <c r="O31" s="170"/>
      <c r="P31" s="170">
        <v>318252</v>
      </c>
      <c r="Q31" s="170"/>
      <c r="R31" s="100">
        <f>+SUM(B31:P31)</f>
        <v>8429477</v>
      </c>
    </row>
    <row r="32" spans="1:20">
      <c r="A32" s="166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</row>
    <row r="33" spans="1:18">
      <c r="A33" s="181" t="s">
        <v>195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>
        <v>-528533.43435999996</v>
      </c>
      <c r="O33" s="173"/>
      <c r="P33" s="173">
        <f>1803740-P31</f>
        <v>1485488</v>
      </c>
      <c r="Q33" s="173"/>
      <c r="R33" s="100">
        <f>+SUM(B33:P33)</f>
        <v>956954.56564000004</v>
      </c>
    </row>
    <row r="34" spans="1:18">
      <c r="A34" s="182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</row>
    <row r="35" spans="1:18">
      <c r="A35" s="182" t="s">
        <v>196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>
        <f>-3647+17313</f>
        <v>13666</v>
      </c>
      <c r="O35" s="173"/>
      <c r="P35" s="173"/>
      <c r="Q35" s="173"/>
      <c r="R35" s="100">
        <f>+SUM(B35:P35)</f>
        <v>13666</v>
      </c>
    </row>
    <row r="36" spans="1:18">
      <c r="A36" s="166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</row>
    <row r="37" spans="1:18">
      <c r="A37" s="166" t="s">
        <v>161</v>
      </c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>
        <v>-495802</v>
      </c>
      <c r="O37" s="170"/>
      <c r="P37" s="170"/>
      <c r="Q37" s="170"/>
      <c r="R37" s="100">
        <f>+SUM(B37:P37)</f>
        <v>-495802</v>
      </c>
    </row>
    <row r="38" spans="1:18">
      <c r="A38" s="166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</row>
    <row r="39" spans="1:18">
      <c r="A39" s="166" t="s">
        <v>197</v>
      </c>
      <c r="B39" s="180">
        <f>+SUM(B26:B38)</f>
        <v>23879352</v>
      </c>
      <c r="C39" s="117"/>
      <c r="D39" s="180">
        <f>+SUM(D26:D38)</f>
        <v>705936</v>
      </c>
      <c r="E39" s="117"/>
      <c r="F39" s="180">
        <f>+SUM(F26:F38)</f>
        <v>3982138</v>
      </c>
      <c r="G39" s="117"/>
      <c r="H39" s="180">
        <f>+SUM(H26:H38)</f>
        <v>34797</v>
      </c>
      <c r="I39" s="117"/>
      <c r="J39" s="180">
        <f>+SUM(J26:J38)</f>
        <v>227072</v>
      </c>
      <c r="K39" s="117"/>
      <c r="L39" s="180">
        <f>+SUM(L26:L38)</f>
        <v>-3202431</v>
      </c>
      <c r="M39" s="117"/>
      <c r="N39" s="180">
        <f>+SUM(N26:N38)</f>
        <v>40698812.565640002</v>
      </c>
      <c r="O39" s="117"/>
      <c r="P39" s="180">
        <f>+SUM(P26:P38)</f>
        <v>11161259</v>
      </c>
      <c r="Q39" s="117"/>
      <c r="R39" s="180">
        <f>+SUM(R26:R38)</f>
        <v>77486935.565640002</v>
      </c>
    </row>
    <row r="40" spans="1:18">
      <c r="A40" s="166"/>
    </row>
    <row r="41" spans="1:18">
      <c r="A41" s="166"/>
      <c r="N41" s="99"/>
      <c r="R41" s="117"/>
    </row>
    <row r="42" spans="1:18">
      <c r="N42" s="117"/>
    </row>
  </sheetData>
  <mergeCells count="2">
    <mergeCell ref="F2:H2"/>
    <mergeCell ref="J2:N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zoomScaleNormal="100" workbookViewId="0">
      <selection activeCell="J18" sqref="J18"/>
    </sheetView>
  </sheetViews>
  <sheetFormatPr defaultColWidth="11.7109375" defaultRowHeight="15"/>
  <cols>
    <col min="1" max="1" width="60" customWidth="1"/>
    <col min="2" max="2" width="17.85546875" customWidth="1"/>
    <col min="3" max="3" width="14" customWidth="1"/>
    <col min="4" max="4" width="15.5703125" customWidth="1"/>
  </cols>
  <sheetData>
    <row r="1" spans="1:6">
      <c r="A1" s="183" t="s">
        <v>198</v>
      </c>
      <c r="B1" s="184" t="s">
        <v>199</v>
      </c>
      <c r="C1" s="185" t="s">
        <v>200</v>
      </c>
      <c r="D1" s="185" t="s">
        <v>201</v>
      </c>
    </row>
    <row r="2" spans="1:6">
      <c r="A2" s="186" t="s">
        <v>202</v>
      </c>
      <c r="B2" s="187" t="s">
        <v>203</v>
      </c>
      <c r="C2" s="188">
        <v>138600</v>
      </c>
      <c r="D2" s="189"/>
    </row>
    <row r="3" spans="1:6">
      <c r="A3" s="190" t="s">
        <v>204</v>
      </c>
      <c r="B3" s="187" t="s">
        <v>203</v>
      </c>
      <c r="C3" s="191">
        <v>9477384</v>
      </c>
      <c r="D3" s="192"/>
    </row>
    <row r="4" spans="1:6">
      <c r="A4" s="190" t="s">
        <v>205</v>
      </c>
      <c r="B4" s="187" t="s">
        <v>203</v>
      </c>
      <c r="C4" s="191">
        <v>184560.05</v>
      </c>
      <c r="D4" s="192"/>
    </row>
    <row r="5" spans="1:6">
      <c r="A5" s="190" t="s">
        <v>206</v>
      </c>
      <c r="B5" s="187" t="s">
        <v>203</v>
      </c>
      <c r="C5" s="191">
        <v>1566.29</v>
      </c>
      <c r="D5" s="192"/>
    </row>
    <row r="6" spans="1:6">
      <c r="A6" s="190" t="s">
        <v>93</v>
      </c>
      <c r="B6" s="187" t="s">
        <v>203</v>
      </c>
      <c r="C6" s="191">
        <v>82150.45</v>
      </c>
      <c r="D6" s="192"/>
    </row>
    <row r="7" spans="1:6">
      <c r="A7" s="190" t="s">
        <v>207</v>
      </c>
      <c r="B7" s="187" t="s">
        <v>203</v>
      </c>
      <c r="C7" s="191">
        <v>957283.52</v>
      </c>
      <c r="D7" s="192"/>
    </row>
    <row r="8" spans="1:6">
      <c r="A8" s="190" t="s">
        <v>62</v>
      </c>
      <c r="B8" s="187" t="s">
        <v>208</v>
      </c>
      <c r="C8" s="191">
        <v>394335.36694421398</v>
      </c>
      <c r="D8" s="192"/>
    </row>
    <row r="9" spans="1:6">
      <c r="A9" s="190" t="s">
        <v>209</v>
      </c>
      <c r="B9" s="187" t="s">
        <v>208</v>
      </c>
      <c r="C9" s="191">
        <v>828548.36364874605</v>
      </c>
      <c r="D9" s="192"/>
    </row>
    <row r="10" spans="1:6">
      <c r="A10" s="193" t="s">
        <v>210</v>
      </c>
      <c r="B10" s="187" t="s">
        <v>208</v>
      </c>
      <c r="C10" s="191">
        <v>881973.00000000605</v>
      </c>
      <c r="D10" s="192"/>
    </row>
    <row r="11" spans="1:6">
      <c r="A11" s="194" t="s">
        <v>209</v>
      </c>
      <c r="B11" s="187" t="s">
        <v>203</v>
      </c>
      <c r="C11" s="192"/>
      <c r="D11" s="191">
        <v>1044878.7099375</v>
      </c>
    </row>
    <row r="12" spans="1:6">
      <c r="A12" s="190" t="s">
        <v>211</v>
      </c>
      <c r="B12" s="187" t="s">
        <v>212</v>
      </c>
      <c r="C12" s="192"/>
      <c r="D12" s="191">
        <v>2544003.2599999998</v>
      </c>
    </row>
    <row r="13" spans="1:6">
      <c r="A13" s="195" t="s">
        <v>213</v>
      </c>
      <c r="B13" s="196" t="s">
        <v>208</v>
      </c>
      <c r="C13" s="197"/>
      <c r="D13" s="198">
        <v>9357519.0706554707</v>
      </c>
      <c r="F13" s="8"/>
    </row>
    <row r="14" spans="1:6">
      <c r="A14" s="199"/>
      <c r="B14" s="200"/>
      <c r="C14" s="200"/>
      <c r="D14" s="200"/>
      <c r="F14" s="8"/>
    </row>
    <row r="15" spans="1:6">
      <c r="A15" s="199"/>
      <c r="B15" s="200"/>
      <c r="C15" s="201">
        <v>12946401.040593</v>
      </c>
      <c r="D15" s="201">
        <v>12946401.040593</v>
      </c>
      <c r="F15" s="8" t="e">
        <f>C15+#REF!+'Diarios Cxc Cxp relac (c)'!D38+'Ventas-Compras (d)'!D26</f>
        <v>#REF!</v>
      </c>
    </row>
    <row r="17" spans="3:3">
      <c r="C17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20" zoomScaleNormal="100" workbookViewId="0">
      <selection activeCell="J18" sqref="J18"/>
    </sheetView>
  </sheetViews>
  <sheetFormatPr defaultColWidth="11.7109375" defaultRowHeight="15"/>
  <cols>
    <col min="2" max="2" width="34.42578125" customWidth="1"/>
    <col min="3" max="3" width="22.85546875" customWidth="1"/>
    <col min="4" max="4" width="16.7109375" customWidth="1"/>
    <col min="5" max="5" width="17.7109375" customWidth="1"/>
  </cols>
  <sheetData>
    <row r="1" spans="1:6">
      <c r="A1" s="202" t="s">
        <v>214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03" t="s">
        <v>215</v>
      </c>
      <c r="C3" s="184" t="s">
        <v>199</v>
      </c>
      <c r="D3" s="204" t="s">
        <v>216</v>
      </c>
      <c r="E3" s="204" t="s">
        <v>217</v>
      </c>
    </row>
    <row r="4" spans="1:6">
      <c r="A4" s="199"/>
      <c r="B4" s="205" t="s">
        <v>218</v>
      </c>
      <c r="C4" s="187" t="s">
        <v>219</v>
      </c>
      <c r="D4" s="206">
        <v>0</v>
      </c>
      <c r="E4" s="207">
        <v>4733</v>
      </c>
    </row>
    <row r="5" spans="1:6">
      <c r="A5" s="199"/>
      <c r="B5" s="205" t="s">
        <v>220</v>
      </c>
      <c r="C5" s="187" t="s">
        <v>221</v>
      </c>
      <c r="D5" s="208"/>
      <c r="E5" s="209">
        <v>2603205</v>
      </c>
    </row>
    <row r="6" spans="1:6">
      <c r="A6" s="199"/>
      <c r="B6" s="205" t="s">
        <v>40</v>
      </c>
      <c r="C6" s="187" t="s">
        <v>222</v>
      </c>
      <c r="D6" s="208"/>
      <c r="E6" s="209">
        <v>886844</v>
      </c>
    </row>
    <row r="7" spans="1:6">
      <c r="A7" s="199"/>
      <c r="B7" s="205" t="s">
        <v>48</v>
      </c>
      <c r="C7" s="187" t="s">
        <v>223</v>
      </c>
      <c r="D7" s="208"/>
      <c r="E7" s="209">
        <v>40694</v>
      </c>
    </row>
    <row r="8" spans="1:6">
      <c r="A8" s="199"/>
      <c r="B8" s="205" t="s">
        <v>40</v>
      </c>
      <c r="C8" s="187" t="s">
        <v>224</v>
      </c>
      <c r="D8" s="208"/>
      <c r="E8" s="209">
        <v>1077232</v>
      </c>
    </row>
    <row r="9" spans="1:6">
      <c r="A9" s="199"/>
      <c r="B9" s="205" t="s">
        <v>220</v>
      </c>
      <c r="C9" s="187" t="s">
        <v>223</v>
      </c>
      <c r="D9" s="208"/>
      <c r="E9" s="209">
        <v>3437161</v>
      </c>
    </row>
    <row r="10" spans="1:6">
      <c r="A10" s="199"/>
      <c r="B10" s="205" t="s">
        <v>40</v>
      </c>
      <c r="C10" s="187" t="s">
        <v>225</v>
      </c>
      <c r="D10" s="208"/>
      <c r="E10" s="209">
        <v>74539</v>
      </c>
    </row>
    <row r="11" spans="1:6">
      <c r="A11" s="199"/>
      <c r="B11" s="205" t="s">
        <v>40</v>
      </c>
      <c r="C11" s="187" t="s">
        <v>226</v>
      </c>
      <c r="D11" s="208"/>
      <c r="E11" s="209">
        <v>633374</v>
      </c>
      <c r="F11" t="s">
        <v>44</v>
      </c>
    </row>
    <row r="12" spans="1:6">
      <c r="A12" s="199"/>
      <c r="B12" s="205" t="s">
        <v>40</v>
      </c>
      <c r="C12" s="210" t="s">
        <v>222</v>
      </c>
      <c r="D12" s="208"/>
      <c r="E12" s="209">
        <v>269135</v>
      </c>
    </row>
    <row r="13" spans="1:6">
      <c r="A13" s="199"/>
      <c r="B13" s="205" t="s">
        <v>227</v>
      </c>
      <c r="C13" s="210" t="s">
        <v>221</v>
      </c>
      <c r="D13" s="211">
        <v>4733</v>
      </c>
      <c r="E13" s="208"/>
    </row>
    <row r="14" spans="1:6">
      <c r="A14" s="199"/>
      <c r="B14" s="205" t="s">
        <v>68</v>
      </c>
      <c r="C14" s="187" t="s">
        <v>222</v>
      </c>
      <c r="D14" s="212">
        <v>269135</v>
      </c>
      <c r="E14" s="187"/>
    </row>
    <row r="15" spans="1:6">
      <c r="A15" s="199"/>
      <c r="B15" s="205" t="s">
        <v>227</v>
      </c>
      <c r="C15" s="187" t="s">
        <v>228</v>
      </c>
      <c r="D15" s="212">
        <v>36270</v>
      </c>
      <c r="E15" s="187"/>
    </row>
    <row r="16" spans="1:6">
      <c r="A16" s="199"/>
      <c r="B16" s="205" t="s">
        <v>227</v>
      </c>
      <c r="C16" s="187" t="s">
        <v>228</v>
      </c>
      <c r="D16" s="212">
        <v>2566935</v>
      </c>
      <c r="E16" s="187"/>
    </row>
    <row r="17" spans="1:6">
      <c r="A17" s="199"/>
      <c r="B17" s="205" t="s">
        <v>229</v>
      </c>
      <c r="C17" s="187" t="s">
        <v>228</v>
      </c>
      <c r="D17" s="212">
        <v>3477855</v>
      </c>
      <c r="E17" s="187"/>
    </row>
    <row r="18" spans="1:6">
      <c r="A18" s="199"/>
      <c r="B18" s="205" t="s">
        <v>230</v>
      </c>
      <c r="C18" s="187" t="s">
        <v>231</v>
      </c>
      <c r="D18" s="212">
        <v>886844</v>
      </c>
      <c r="E18" s="187"/>
    </row>
    <row r="19" spans="1:6">
      <c r="A19" s="199"/>
      <c r="B19" s="205" t="s">
        <v>227</v>
      </c>
      <c r="C19" s="187" t="s">
        <v>228</v>
      </c>
      <c r="D19" s="212">
        <v>74539</v>
      </c>
      <c r="E19" s="187"/>
    </row>
    <row r="20" spans="1:6">
      <c r="A20" s="199"/>
      <c r="B20" s="205" t="s">
        <v>232</v>
      </c>
      <c r="C20" s="187" t="s">
        <v>228</v>
      </c>
      <c r="D20" s="212">
        <v>125748</v>
      </c>
      <c r="E20" s="187"/>
    </row>
    <row r="21" spans="1:6">
      <c r="A21" s="199"/>
      <c r="B21" s="205" t="s">
        <v>229</v>
      </c>
      <c r="C21" s="187" t="s">
        <v>233</v>
      </c>
      <c r="D21" s="212">
        <v>507600</v>
      </c>
      <c r="E21" s="187"/>
    </row>
    <row r="22" spans="1:6">
      <c r="A22" s="199"/>
      <c r="B22" s="205" t="s">
        <v>68</v>
      </c>
      <c r="C22" s="187" t="s">
        <v>224</v>
      </c>
      <c r="D22" s="212">
        <v>901340</v>
      </c>
      <c r="E22" s="187"/>
      <c r="F22" t="s">
        <v>44</v>
      </c>
    </row>
    <row r="23" spans="1:6">
      <c r="A23" s="199"/>
      <c r="B23" s="213" t="s">
        <v>234</v>
      </c>
      <c r="C23" s="187" t="s">
        <v>224</v>
      </c>
      <c r="D23" s="214">
        <v>175918</v>
      </c>
      <c r="E23" s="196"/>
      <c r="F23" t="s">
        <v>235</v>
      </c>
    </row>
    <row r="24" spans="1:6">
      <c r="A24" s="199"/>
      <c r="B24" s="199"/>
      <c r="C24" s="200"/>
      <c r="D24" s="201">
        <f>SUM(D4:D23)</f>
        <v>9026917</v>
      </c>
      <c r="E24" s="201">
        <f>SUM(E4:E23)</f>
        <v>9026917</v>
      </c>
    </row>
    <row r="26" spans="1:6">
      <c r="E26" s="8">
        <f>E24-D24</f>
        <v>0</v>
      </c>
    </row>
    <row r="27" spans="1:6">
      <c r="B27" s="73" t="s">
        <v>236</v>
      </c>
    </row>
    <row r="29" spans="1:6">
      <c r="B29" t="s">
        <v>68</v>
      </c>
      <c r="D29" s="215">
        <f>D13+D14+D15+D16+D19+D20+D22+D18</f>
        <v>4865544</v>
      </c>
    </row>
    <row r="30" spans="1:6">
      <c r="B30" t="s">
        <v>80</v>
      </c>
      <c r="D30" s="215">
        <f>D21+D17</f>
        <v>3985455</v>
      </c>
    </row>
    <row r="31" spans="1:6">
      <c r="B31" t="s">
        <v>72</v>
      </c>
      <c r="D31" s="8">
        <v>0</v>
      </c>
    </row>
    <row r="32" spans="1:6">
      <c r="B32" t="s">
        <v>237</v>
      </c>
      <c r="D32" s="215">
        <f>D23</f>
        <v>175918</v>
      </c>
    </row>
    <row r="33" spans="2:5">
      <c r="B33" t="s">
        <v>218</v>
      </c>
      <c r="E33" s="215">
        <f>E5+E8+E9+E10+E11+E4+E12+E6</f>
        <v>8986223</v>
      </c>
    </row>
    <row r="34" spans="2:5">
      <c r="B34" t="s">
        <v>238</v>
      </c>
      <c r="E34" s="215">
        <f>E7</f>
        <v>40694</v>
      </c>
    </row>
    <row r="35" spans="2:5">
      <c r="B35" t="s">
        <v>42</v>
      </c>
      <c r="E35" s="8">
        <f>E21</f>
        <v>0</v>
      </c>
    </row>
    <row r="36" spans="2:5">
      <c r="B36" t="s">
        <v>239</v>
      </c>
      <c r="E36" s="8">
        <f>E20+E22</f>
        <v>0</v>
      </c>
    </row>
    <row r="37" spans="2:5">
      <c r="B37" t="s">
        <v>149</v>
      </c>
      <c r="E37" s="8">
        <f>E23</f>
        <v>0</v>
      </c>
    </row>
    <row r="38" spans="2:5">
      <c r="D38" s="216">
        <f>SUM(D29:D37)</f>
        <v>9026917</v>
      </c>
      <c r="E38" s="216">
        <f>SUM(E29:E37)</f>
        <v>9026917</v>
      </c>
    </row>
    <row r="40" spans="2:5">
      <c r="D40" s="8">
        <f>D24-D38</f>
        <v>0</v>
      </c>
      <c r="E40" s="8">
        <f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topLeftCell="A16" zoomScaleNormal="100" workbookViewId="0">
      <selection activeCell="J18" sqref="J18"/>
    </sheetView>
  </sheetViews>
  <sheetFormatPr defaultColWidth="11.7109375" defaultRowHeight="15"/>
  <cols>
    <col min="2" max="2" width="39.42578125" customWidth="1"/>
    <col min="3" max="3" width="18.85546875" customWidth="1"/>
  </cols>
  <sheetData>
    <row r="1" spans="1:6">
      <c r="A1" s="202" t="s">
        <v>240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17" t="s">
        <v>215</v>
      </c>
      <c r="C3" s="184" t="s">
        <v>199</v>
      </c>
      <c r="D3" s="218" t="s">
        <v>216</v>
      </c>
      <c r="E3" s="204" t="s">
        <v>217</v>
      </c>
    </row>
    <row r="4" spans="1:6">
      <c r="A4" s="199"/>
      <c r="B4" s="219" t="s">
        <v>241</v>
      </c>
      <c r="C4" s="210" t="s">
        <v>212</v>
      </c>
      <c r="D4" s="206">
        <v>7761</v>
      </c>
      <c r="E4" s="206"/>
    </row>
    <row r="5" spans="1:6">
      <c r="A5" s="199"/>
      <c r="B5" s="220" t="s">
        <v>242</v>
      </c>
      <c r="C5" s="187" t="s">
        <v>243</v>
      </c>
      <c r="D5" s="200"/>
      <c r="E5" s="187">
        <f>D4</f>
        <v>7761</v>
      </c>
    </row>
    <row r="6" spans="1:6">
      <c r="A6" s="199"/>
      <c r="B6" s="221"/>
      <c r="C6" s="210"/>
      <c r="D6" s="210"/>
      <c r="E6" s="187"/>
      <c r="F6" s="222"/>
    </row>
    <row r="7" spans="1:6">
      <c r="A7" s="199"/>
      <c r="B7" s="223" t="s">
        <v>241</v>
      </c>
      <c r="C7" s="187" t="s">
        <v>212</v>
      </c>
      <c r="D7" s="187">
        <v>89615</v>
      </c>
      <c r="E7" s="187"/>
    </row>
    <row r="8" spans="1:6">
      <c r="A8" s="199"/>
      <c r="B8" s="220" t="s">
        <v>242</v>
      </c>
      <c r="C8" s="187" t="s">
        <v>244</v>
      </c>
      <c r="D8" s="200"/>
      <c r="E8" s="187">
        <f>D7</f>
        <v>89615</v>
      </c>
    </row>
    <row r="9" spans="1:6">
      <c r="A9" s="199"/>
      <c r="B9" s="220"/>
      <c r="C9" s="187"/>
      <c r="D9" s="200"/>
      <c r="E9" s="187"/>
    </row>
    <row r="10" spans="1:6">
      <c r="A10" s="199"/>
      <c r="B10" s="223" t="s">
        <v>241</v>
      </c>
      <c r="C10" s="187" t="s">
        <v>212</v>
      </c>
      <c r="D10" s="200">
        <v>88898</v>
      </c>
      <c r="E10" s="187"/>
    </row>
    <row r="11" spans="1:6">
      <c r="A11" s="199"/>
      <c r="B11" s="220" t="s">
        <v>50</v>
      </c>
      <c r="C11" s="187" t="s">
        <v>245</v>
      </c>
      <c r="D11" s="200"/>
      <c r="E11" s="187"/>
    </row>
    <row r="12" spans="1:6">
      <c r="A12" s="199"/>
      <c r="B12" s="220" t="s">
        <v>46</v>
      </c>
      <c r="C12" s="187" t="s">
        <v>245</v>
      </c>
      <c r="D12" s="200"/>
      <c r="E12" s="187">
        <v>11306</v>
      </c>
    </row>
    <row r="13" spans="1:6">
      <c r="A13" s="199"/>
      <c r="B13" s="220" t="s">
        <v>102</v>
      </c>
      <c r="C13" s="187"/>
      <c r="D13" s="200"/>
      <c r="E13" s="187">
        <v>77592</v>
      </c>
    </row>
    <row r="14" spans="1:6">
      <c r="A14" s="199"/>
      <c r="B14" s="220"/>
      <c r="C14" s="187"/>
      <c r="D14" s="200"/>
      <c r="E14" s="187"/>
    </row>
    <row r="15" spans="1:6">
      <c r="A15" s="199"/>
      <c r="B15" s="223" t="s">
        <v>241</v>
      </c>
      <c r="C15" s="187" t="s">
        <v>212</v>
      </c>
      <c r="D15" s="187">
        <v>85390</v>
      </c>
      <c r="E15" s="187"/>
    </row>
    <row r="16" spans="1:6">
      <c r="A16" s="199"/>
      <c r="B16" s="220" t="s">
        <v>242</v>
      </c>
      <c r="C16" s="187" t="s">
        <v>32</v>
      </c>
      <c r="D16" s="200"/>
      <c r="E16" s="187">
        <f>D15</f>
        <v>85390</v>
      </c>
    </row>
    <row r="17" spans="1:5">
      <c r="A17" s="199"/>
      <c r="B17" s="220"/>
      <c r="C17" s="187"/>
      <c r="D17" s="200"/>
      <c r="E17" s="187"/>
    </row>
    <row r="18" spans="1:5">
      <c r="A18" s="199"/>
      <c r="B18" s="205" t="s">
        <v>246</v>
      </c>
      <c r="C18" s="187" t="s">
        <v>212</v>
      </c>
      <c r="D18" s="200">
        <v>96986</v>
      </c>
      <c r="E18" s="187"/>
    </row>
    <row r="19" spans="1:5">
      <c r="A19" s="199"/>
      <c r="B19" s="220" t="s">
        <v>102</v>
      </c>
      <c r="C19" s="187" t="s">
        <v>247</v>
      </c>
      <c r="D19" s="200"/>
      <c r="E19" s="187">
        <f>+D18</f>
        <v>96986</v>
      </c>
    </row>
    <row r="20" spans="1:5">
      <c r="A20" s="199"/>
      <c r="B20" s="220"/>
      <c r="C20" s="187"/>
      <c r="D20" s="200"/>
      <c r="E20" s="187"/>
    </row>
    <row r="21" spans="1:5">
      <c r="A21" s="199"/>
      <c r="B21" s="205" t="s">
        <v>246</v>
      </c>
      <c r="C21" s="187" t="s">
        <v>247</v>
      </c>
      <c r="D21" s="200">
        <v>7818.58</v>
      </c>
      <c r="E21" s="187"/>
    </row>
    <row r="22" spans="1:5">
      <c r="A22" s="199"/>
      <c r="B22" s="224" t="s">
        <v>248</v>
      </c>
      <c r="C22" s="196" t="s">
        <v>212</v>
      </c>
      <c r="D22" s="225"/>
      <c r="E22" s="196">
        <v>7818.58</v>
      </c>
    </row>
    <row r="23" spans="1:5">
      <c r="A23" s="199"/>
      <c r="B23" s="199"/>
      <c r="C23" s="200"/>
      <c r="D23" s="201">
        <f>SUM(D4:D22)</f>
        <v>376468.58</v>
      </c>
      <c r="E23" s="201">
        <f>SUM(E4:E22)</f>
        <v>376468.58</v>
      </c>
    </row>
    <row r="26" spans="1:5">
      <c r="B26" t="s">
        <v>246</v>
      </c>
      <c r="D26" s="215">
        <f>D4+D18+D21+D7+D10+D15</f>
        <v>376468.58</v>
      </c>
    </row>
    <row r="27" spans="1:5">
      <c r="B27" s="226" t="s">
        <v>102</v>
      </c>
      <c r="E27" s="215">
        <f>E5+E19+E16+E13+E8</f>
        <v>357344</v>
      </c>
    </row>
    <row r="28" spans="1:5">
      <c r="B28" s="226" t="s">
        <v>248</v>
      </c>
      <c r="E28" s="215">
        <f>E22</f>
        <v>7818.58</v>
      </c>
    </row>
    <row r="29" spans="1:5">
      <c r="B29" s="226" t="s">
        <v>50</v>
      </c>
      <c r="E29" s="215">
        <f>E11</f>
        <v>0</v>
      </c>
    </row>
    <row r="30" spans="1:5">
      <c r="B30" s="226" t="s">
        <v>46</v>
      </c>
      <c r="E30" s="215">
        <f>E12</f>
        <v>11306</v>
      </c>
    </row>
  </sheetData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82"/>
  <sheetViews>
    <sheetView topLeftCell="A8" zoomScale="80" zoomScaleNormal="80" workbookViewId="0">
      <selection activeCell="C10" sqref="C10"/>
    </sheetView>
  </sheetViews>
  <sheetFormatPr defaultColWidth="11.42578125" defaultRowHeight="15"/>
  <cols>
    <col min="1" max="1" width="11.42578125" style="199"/>
    <col min="2" max="2" width="69" style="199" customWidth="1"/>
    <col min="3" max="3" width="23" style="200" customWidth="1"/>
    <col min="4" max="4" width="23.140625" style="200" customWidth="1"/>
    <col min="5" max="5" width="15.5703125" style="200" customWidth="1"/>
    <col min="6" max="6" width="21" style="200" customWidth="1"/>
    <col min="7" max="7" width="17.140625" style="200" customWidth="1"/>
    <col min="8" max="8" width="17.42578125" style="200" customWidth="1"/>
    <col min="9" max="10" width="15.5703125" style="200" customWidth="1"/>
    <col min="11" max="11" width="16.28515625" style="200" customWidth="1"/>
    <col min="12" max="12" width="15.140625" style="199" customWidth="1"/>
    <col min="13" max="13" width="16.28515625" style="199" customWidth="1"/>
    <col min="14" max="14" width="16.42578125" style="199" customWidth="1"/>
    <col min="15" max="15" width="14.85546875" style="199" customWidth="1"/>
    <col min="16" max="1024" width="11.42578125" style="199"/>
  </cols>
  <sheetData>
    <row r="1" spans="1:15">
      <c r="A1" s="202" t="s">
        <v>0</v>
      </c>
    </row>
    <row r="2" spans="1:15">
      <c r="A2" s="202" t="s">
        <v>249</v>
      </c>
    </row>
    <row r="3" spans="1:15">
      <c r="A3" s="202" t="s">
        <v>250</v>
      </c>
    </row>
    <row r="5" spans="1:15">
      <c r="A5" s="202" t="s">
        <v>251</v>
      </c>
      <c r="C5" s="199"/>
      <c r="D5" s="199"/>
      <c r="E5" s="199"/>
    </row>
    <row r="6" spans="1:15">
      <c r="A6" s="202"/>
      <c r="C6" s="199"/>
      <c r="D6" s="199"/>
      <c r="E6" s="199"/>
    </row>
    <row r="7" spans="1:15">
      <c r="A7" s="199" t="s">
        <v>252</v>
      </c>
      <c r="C7" s="227"/>
      <c r="D7" s="227"/>
      <c r="E7" s="227"/>
      <c r="F7" s="227"/>
      <c r="G7" s="227"/>
      <c r="H7" s="227"/>
      <c r="I7" s="227"/>
      <c r="J7" s="227"/>
    </row>
    <row r="8" spans="1:15">
      <c r="C8" s="227" t="s">
        <v>219</v>
      </c>
      <c r="D8" s="227" t="s">
        <v>253</v>
      </c>
      <c r="E8" s="227" t="s">
        <v>254</v>
      </c>
      <c r="F8" s="227" t="s">
        <v>231</v>
      </c>
      <c r="G8" s="227" t="s">
        <v>255</v>
      </c>
      <c r="H8" s="227" t="s">
        <v>256</v>
      </c>
      <c r="I8" s="227" t="s">
        <v>257</v>
      </c>
      <c r="J8" s="227" t="s">
        <v>258</v>
      </c>
      <c r="K8" s="227" t="s">
        <v>223</v>
      </c>
      <c r="L8" s="227" t="s">
        <v>259</v>
      </c>
    </row>
    <row r="9" spans="1:15">
      <c r="A9" s="199" t="s">
        <v>260</v>
      </c>
      <c r="C9" s="200">
        <v>3751.2600000000102</v>
      </c>
      <c r="D9" s="200">
        <f>+PNC!F16</f>
        <v>104950</v>
      </c>
      <c r="E9" s="200">
        <v>943459</v>
      </c>
      <c r="F9" s="200">
        <f>147840-49015</f>
        <v>98825</v>
      </c>
      <c r="G9" s="200">
        <f>462500-330450</f>
        <v>132050</v>
      </c>
      <c r="H9" s="200">
        <v>140052</v>
      </c>
      <c r="I9" s="200">
        <f>+PNC!F71</f>
        <v>6000</v>
      </c>
      <c r="J9" s="200">
        <v>1114176</v>
      </c>
      <c r="K9" s="200">
        <f>+PNC!F93</f>
        <v>740</v>
      </c>
      <c r="L9" s="200">
        <f>SUM(C9:K9)</f>
        <v>2544003.2599999998</v>
      </c>
    </row>
    <row r="10" spans="1:15">
      <c r="A10" s="199" t="s">
        <v>204</v>
      </c>
      <c r="C10" s="228">
        <v>437365.73999999801</v>
      </c>
      <c r="D10" s="228">
        <v>1260413</v>
      </c>
      <c r="E10" s="228">
        <v>0</v>
      </c>
      <c r="F10" s="228">
        <v>49015</v>
      </c>
      <c r="G10" s="228">
        <v>330450</v>
      </c>
      <c r="H10" s="228">
        <v>0</v>
      </c>
      <c r="I10" s="228">
        <v>0</v>
      </c>
      <c r="J10" s="228">
        <v>0</v>
      </c>
      <c r="K10" s="228">
        <v>0</v>
      </c>
      <c r="L10" s="228">
        <f>SUM(C10:K10)</f>
        <v>2077243.7399999979</v>
      </c>
    </row>
    <row r="11" spans="1:15">
      <c r="A11" s="202" t="s">
        <v>261</v>
      </c>
      <c r="C11" s="201">
        <f t="shared" ref="C11:L11" si="0">SUM(C9:C10)</f>
        <v>441116.99999999802</v>
      </c>
      <c r="D11" s="201">
        <f t="shared" si="0"/>
        <v>1365363</v>
      </c>
      <c r="E11" s="201">
        <f t="shared" si="0"/>
        <v>943459</v>
      </c>
      <c r="F11" s="201">
        <f t="shared" si="0"/>
        <v>147840</v>
      </c>
      <c r="G11" s="201">
        <f t="shared" si="0"/>
        <v>462500</v>
      </c>
      <c r="H11" s="201">
        <f t="shared" si="0"/>
        <v>140052</v>
      </c>
      <c r="I11" s="201">
        <f t="shared" si="0"/>
        <v>6000</v>
      </c>
      <c r="J11" s="201">
        <f t="shared" si="0"/>
        <v>1114176</v>
      </c>
      <c r="K11" s="201">
        <f t="shared" si="0"/>
        <v>740</v>
      </c>
      <c r="L11" s="201">
        <f t="shared" si="0"/>
        <v>4621246.9999999981</v>
      </c>
      <c r="M11" s="200">
        <v>10163519</v>
      </c>
      <c r="N11" s="229">
        <f>M11-L11</f>
        <v>5542272.0000000019</v>
      </c>
      <c r="O11" s="199">
        <v>224942.34</v>
      </c>
    </row>
    <row r="12" spans="1:15">
      <c r="B12" s="230" t="s">
        <v>262</v>
      </c>
      <c r="C12" s="200">
        <v>441117</v>
      </c>
      <c r="D12" s="200">
        <v>1365363</v>
      </c>
      <c r="E12" s="200">
        <v>943459</v>
      </c>
      <c r="F12" s="200">
        <v>147840</v>
      </c>
      <c r="G12" s="200">
        <v>462500</v>
      </c>
      <c r="H12" s="200">
        <v>140052</v>
      </c>
      <c r="I12" s="200">
        <v>6000</v>
      </c>
      <c r="J12" s="200">
        <v>1114176</v>
      </c>
      <c r="K12" s="200">
        <v>740</v>
      </c>
      <c r="L12" s="200">
        <f>SUM(C12:K12)</f>
        <v>4621247</v>
      </c>
      <c r="O12" s="229">
        <f>N11-O11+100</f>
        <v>5317429.660000002</v>
      </c>
    </row>
    <row r="13" spans="1:15">
      <c r="A13" s="202"/>
      <c r="B13" s="202"/>
      <c r="C13" s="201">
        <f t="shared" ref="C13:L13" si="1">+C12-C11</f>
        <v>1.9790604710578918E-9</v>
      </c>
      <c r="D13" s="201">
        <f t="shared" si="1"/>
        <v>0</v>
      </c>
      <c r="E13" s="201">
        <f t="shared" si="1"/>
        <v>0</v>
      </c>
      <c r="F13" s="201">
        <f t="shared" si="1"/>
        <v>0</v>
      </c>
      <c r="G13" s="201">
        <f t="shared" si="1"/>
        <v>0</v>
      </c>
      <c r="H13" s="201">
        <f t="shared" si="1"/>
        <v>0</v>
      </c>
      <c r="I13" s="201">
        <f t="shared" si="1"/>
        <v>0</v>
      </c>
      <c r="J13" s="201">
        <f t="shared" si="1"/>
        <v>0</v>
      </c>
      <c r="K13" s="201">
        <f t="shared" si="1"/>
        <v>0</v>
      </c>
      <c r="L13" s="201">
        <f t="shared" si="1"/>
        <v>0</v>
      </c>
    </row>
    <row r="14" spans="1:15">
      <c r="A14" s="202"/>
      <c r="C14" s="199"/>
      <c r="D14" s="199"/>
      <c r="E14" s="199"/>
    </row>
    <row r="15" spans="1:15">
      <c r="A15" s="202"/>
      <c r="B15" s="183" t="s">
        <v>198</v>
      </c>
      <c r="C15" s="184" t="s">
        <v>199</v>
      </c>
      <c r="D15" s="231" t="s">
        <v>200</v>
      </c>
      <c r="E15" s="232" t="s">
        <v>201</v>
      </c>
      <c r="F15" s="233"/>
    </row>
    <row r="16" spans="1:15">
      <c r="A16" s="202"/>
      <c r="B16" s="186" t="s">
        <v>263</v>
      </c>
      <c r="C16" s="187" t="s">
        <v>203</v>
      </c>
      <c r="D16" s="234">
        <f>+L10</f>
        <v>2077243.7399999979</v>
      </c>
      <c r="E16" s="235"/>
      <c r="F16" s="199"/>
    </row>
    <row r="17" spans="1:12">
      <c r="A17" s="202"/>
      <c r="B17" s="195" t="s">
        <v>211</v>
      </c>
      <c r="C17" s="196" t="s">
        <v>212</v>
      </c>
      <c r="D17" s="236"/>
      <c r="E17" s="236">
        <f>+D16</f>
        <v>2077243.7399999979</v>
      </c>
      <c r="F17" s="237"/>
    </row>
    <row r="18" spans="1:12">
      <c r="A18" s="202"/>
      <c r="D18" s="199"/>
      <c r="E18" s="199"/>
      <c r="F18" s="199"/>
    </row>
    <row r="19" spans="1:12">
      <c r="A19" s="202"/>
      <c r="D19" s="238">
        <f>SUM(D16:D18)</f>
        <v>2077243.7399999979</v>
      </c>
      <c r="E19" s="238">
        <f>SUM(E16:E18)</f>
        <v>2077243.7399999979</v>
      </c>
      <c r="F19" s="239">
        <f>+D19-E19</f>
        <v>0</v>
      </c>
      <c r="G19" s="200">
        <f>D16+D25+D62</f>
        <v>38824192</v>
      </c>
    </row>
    <row r="20" spans="1:12">
      <c r="G20" s="200">
        <f>G19-SUM('ESF - ERI'!E49:M49)</f>
        <v>-2.0000003278255463E-2</v>
      </c>
    </row>
    <row r="21" spans="1:12">
      <c r="A21" s="202" t="s">
        <v>264</v>
      </c>
    </row>
    <row r="23" spans="1:12">
      <c r="A23" s="233"/>
      <c r="B23" s="183" t="s">
        <v>198</v>
      </c>
      <c r="C23" s="184" t="s">
        <v>199</v>
      </c>
      <c r="D23" s="185" t="s">
        <v>200</v>
      </c>
      <c r="E23" s="185" t="s">
        <v>201</v>
      </c>
      <c r="F23" s="240"/>
      <c r="G23" s="240"/>
      <c r="H23" s="240"/>
      <c r="I23" s="240"/>
      <c r="J23" s="240"/>
      <c r="K23" s="241"/>
    </row>
    <row r="24" spans="1:12">
      <c r="B24" s="186" t="s">
        <v>202</v>
      </c>
      <c r="C24" s="187" t="s">
        <v>203</v>
      </c>
      <c r="D24" s="189">
        <f>SUM('ESF - ERI'!E48:M48)</f>
        <v>138600</v>
      </c>
      <c r="E24" s="189"/>
      <c r="F24" s="242"/>
      <c r="G24" s="243"/>
      <c r="H24" s="243"/>
      <c r="I24" s="243"/>
      <c r="J24" s="243"/>
      <c r="L24" s="239"/>
    </row>
    <row r="25" spans="1:12">
      <c r="B25" s="190" t="s">
        <v>204</v>
      </c>
      <c r="C25" s="187" t="s">
        <v>203</v>
      </c>
      <c r="D25" s="191">
        <f>+'ESF - ERI'!E49-'Asientos - para Consolidado'!D62-C10</f>
        <v>9477384</v>
      </c>
      <c r="E25" s="192"/>
      <c r="F25" s="242"/>
      <c r="G25" s="243"/>
      <c r="H25" s="243"/>
      <c r="I25" s="243"/>
      <c r="J25" s="243"/>
      <c r="L25" s="239"/>
    </row>
    <row r="26" spans="1:12">
      <c r="B26" s="190" t="s">
        <v>205</v>
      </c>
      <c r="C26" s="187" t="s">
        <v>203</v>
      </c>
      <c r="D26" s="192">
        <f>SUM('ESF - ERI'!E50:M50)</f>
        <v>184560.05</v>
      </c>
      <c r="E26" s="192"/>
      <c r="F26" s="242"/>
      <c r="G26" s="243"/>
      <c r="H26" s="243"/>
      <c r="J26" s="243"/>
      <c r="L26" s="239"/>
    </row>
    <row r="27" spans="1:12">
      <c r="B27" s="190" t="s">
        <v>206</v>
      </c>
      <c r="C27" s="187" t="s">
        <v>203</v>
      </c>
      <c r="D27" s="192">
        <f>SUM('ESF - ERI'!E52:M52)</f>
        <v>1566.29</v>
      </c>
      <c r="E27" s="192"/>
      <c r="F27" s="242"/>
      <c r="G27" s="243"/>
      <c r="H27" s="243"/>
      <c r="I27" s="243"/>
      <c r="J27" s="243"/>
      <c r="L27" s="239"/>
    </row>
    <row r="28" spans="1:12">
      <c r="B28" s="190" t="s">
        <v>93</v>
      </c>
      <c r="C28" s="187" t="s">
        <v>203</v>
      </c>
      <c r="D28" s="192">
        <f>SUM('ESF - ERI'!E53:M53)</f>
        <v>82150.45</v>
      </c>
      <c r="E28" s="192"/>
      <c r="F28" s="242"/>
      <c r="G28" s="243"/>
      <c r="H28" s="243"/>
      <c r="I28" s="243"/>
      <c r="J28" s="243"/>
      <c r="L28" s="239"/>
    </row>
    <row r="29" spans="1:12">
      <c r="B29" s="190" t="s">
        <v>207</v>
      </c>
      <c r="C29" s="187" t="s">
        <v>203</v>
      </c>
      <c r="D29" s="192">
        <f>SUM('ESF - ERI'!E55:M55)</f>
        <v>957283.5199999999</v>
      </c>
      <c r="E29" s="192"/>
      <c r="F29" s="242"/>
      <c r="G29" s="243"/>
      <c r="I29" s="243"/>
      <c r="J29" s="243"/>
      <c r="L29" s="239"/>
    </row>
    <row r="30" spans="1:12" hidden="1">
      <c r="B30" s="190" t="s">
        <v>265</v>
      </c>
      <c r="C30" s="187"/>
      <c r="D30" s="192"/>
      <c r="E30" s="192"/>
      <c r="F30" s="243"/>
      <c r="G30" s="243"/>
      <c r="H30" s="243"/>
      <c r="I30" s="243"/>
      <c r="J30" s="243"/>
    </row>
    <row r="31" spans="1:12">
      <c r="B31" s="244" t="s">
        <v>62</v>
      </c>
      <c r="C31" s="245" t="s">
        <v>208</v>
      </c>
      <c r="D31" s="246">
        <f>+PNC!C103</f>
        <v>394335.36694421433</v>
      </c>
      <c r="E31" s="192"/>
      <c r="F31" s="243"/>
      <c r="G31" s="243"/>
      <c r="H31" s="243"/>
      <c r="I31" s="243"/>
      <c r="J31" s="243"/>
    </row>
    <row r="32" spans="1:12">
      <c r="B32" s="244" t="s">
        <v>209</v>
      </c>
      <c r="C32" s="245" t="s">
        <v>208</v>
      </c>
      <c r="D32" s="246">
        <f>+PNC!C102</f>
        <v>828548.36364874605</v>
      </c>
      <c r="E32" s="192"/>
      <c r="F32" s="243"/>
      <c r="G32" s="243"/>
      <c r="H32" s="243"/>
      <c r="I32" s="243"/>
      <c r="J32" s="243"/>
    </row>
    <row r="33" spans="1:13">
      <c r="B33" s="193" t="s">
        <v>210</v>
      </c>
      <c r="C33" s="187" t="s">
        <v>208</v>
      </c>
      <c r="D33" s="192">
        <v>881973.00000000605</v>
      </c>
      <c r="E33" s="192"/>
      <c r="F33" s="243" t="s">
        <v>266</v>
      </c>
      <c r="G33" s="243"/>
      <c r="H33" s="243"/>
      <c r="I33" s="243"/>
      <c r="J33" s="243"/>
    </row>
    <row r="34" spans="1:13">
      <c r="B34" s="247" t="s">
        <v>209</v>
      </c>
      <c r="C34" s="245" t="s">
        <v>203</v>
      </c>
      <c r="D34" s="246"/>
      <c r="E34" s="246">
        <f>-SUM('ESF - ERI'!E56:M56)</f>
        <v>1044878.7099375</v>
      </c>
      <c r="F34" s="243"/>
      <c r="G34" s="243"/>
      <c r="H34" s="243"/>
      <c r="I34" s="243"/>
      <c r="J34" s="243"/>
      <c r="L34" s="248"/>
    </row>
    <row r="35" spans="1:13">
      <c r="A35" s="237"/>
      <c r="B35" s="190" t="s">
        <v>211</v>
      </c>
      <c r="C35" s="187" t="s">
        <v>212</v>
      </c>
      <c r="D35" s="192"/>
      <c r="E35" s="192">
        <f>+'Asientos - para Consolidado'!L9</f>
        <v>2544003.2599999998</v>
      </c>
      <c r="F35" s="243"/>
      <c r="G35" s="243"/>
      <c r="H35" s="243"/>
      <c r="I35" s="243"/>
      <c r="J35" s="243"/>
      <c r="K35" s="201"/>
      <c r="L35" s="239"/>
    </row>
    <row r="36" spans="1:13">
      <c r="B36" s="195" t="s">
        <v>213</v>
      </c>
      <c r="C36" s="196" t="s">
        <v>208</v>
      </c>
      <c r="D36" s="197"/>
      <c r="E36" s="197">
        <f>+PNC!C101</f>
        <v>9357519.0706554651</v>
      </c>
      <c r="F36" s="243"/>
      <c r="G36" s="243"/>
      <c r="H36" s="243"/>
      <c r="I36" s="243"/>
      <c r="J36" s="243"/>
      <c r="L36" s="239"/>
    </row>
    <row r="37" spans="1:13" ht="5.25" customHeight="1"/>
    <row r="38" spans="1:13">
      <c r="D38" s="201">
        <f>SUM(D24:D37)</f>
        <v>12946401.040592965</v>
      </c>
      <c r="E38" s="201">
        <f>SUM(E24:E37)</f>
        <v>12946401.040592965</v>
      </c>
      <c r="F38" s="201"/>
      <c r="G38" s="201"/>
      <c r="H38" s="201"/>
      <c r="I38" s="201"/>
      <c r="J38" s="201"/>
      <c r="K38" s="200">
        <f>+D38-E38</f>
        <v>0</v>
      </c>
    </row>
    <row r="39" spans="1:13">
      <c r="C39" s="201"/>
      <c r="D39" s="201"/>
      <c r="E39" s="200">
        <f>+E38-D38</f>
        <v>0</v>
      </c>
    </row>
    <row r="40" spans="1:13">
      <c r="A40" s="202" t="s">
        <v>267</v>
      </c>
    </row>
    <row r="42" spans="1:13" ht="24.75" customHeight="1">
      <c r="B42" s="217" t="s">
        <v>215</v>
      </c>
      <c r="C42" s="184" t="s">
        <v>199</v>
      </c>
      <c r="D42" s="218" t="s">
        <v>216</v>
      </c>
      <c r="E42" s="204" t="s">
        <v>217</v>
      </c>
      <c r="F42" s="241"/>
      <c r="G42" s="241"/>
      <c r="H42" s="241"/>
      <c r="I42" s="241"/>
      <c r="J42" s="241"/>
    </row>
    <row r="43" spans="1:13" ht="19.5" customHeight="1">
      <c r="B43" s="249" t="s">
        <v>268</v>
      </c>
      <c r="C43" s="206" t="s">
        <v>212</v>
      </c>
      <c r="D43" s="250">
        <f>444582</f>
        <v>444582</v>
      </c>
      <c r="E43" s="206"/>
      <c r="G43" s="251" t="s">
        <v>269</v>
      </c>
      <c r="H43" s="250"/>
      <c r="I43" s="250"/>
      <c r="J43" s="250"/>
      <c r="K43" s="250"/>
      <c r="L43" s="252"/>
      <c r="M43" s="253"/>
    </row>
    <row r="44" spans="1:13" ht="19.5" customHeight="1">
      <c r="B44" s="220" t="s">
        <v>270</v>
      </c>
      <c r="C44" s="187" t="s">
        <v>212</v>
      </c>
      <c r="E44" s="187">
        <v>444582</v>
      </c>
      <c r="G44" s="254">
        <f>492416-47834.13</f>
        <v>444581.87</v>
      </c>
      <c r="H44" s="225" t="s">
        <v>271</v>
      </c>
      <c r="I44" s="225"/>
      <c r="J44" s="225"/>
      <c r="K44" s="225"/>
      <c r="L44" s="255"/>
      <c r="M44" s="256"/>
    </row>
    <row r="45" spans="1:13" ht="19.5" customHeight="1">
      <c r="B45" s="205"/>
      <c r="C45" s="187"/>
      <c r="E45" s="187"/>
      <c r="F45" s="206" t="s">
        <v>272</v>
      </c>
      <c r="G45" s="251" t="s">
        <v>273</v>
      </c>
      <c r="H45" s="250"/>
      <c r="I45" s="250"/>
      <c r="J45" s="250"/>
      <c r="K45" s="250"/>
      <c r="L45" s="252"/>
      <c r="M45" s="253"/>
    </row>
    <row r="46" spans="1:13" ht="19.5" customHeight="1">
      <c r="B46" s="205" t="s">
        <v>274</v>
      </c>
      <c r="C46" s="187" t="s">
        <v>212</v>
      </c>
      <c r="D46" s="200">
        <v>11030</v>
      </c>
      <c r="E46" s="187"/>
      <c r="F46" s="196" t="s">
        <v>275</v>
      </c>
      <c r="G46" s="254">
        <f>860302.4-11761.2</f>
        <v>848541.20000000007</v>
      </c>
      <c r="H46" s="225" t="s">
        <v>271</v>
      </c>
      <c r="I46" s="225"/>
      <c r="J46" s="225"/>
      <c r="K46" s="225"/>
      <c r="L46" s="255"/>
      <c r="M46" s="256"/>
    </row>
    <row r="47" spans="1:13" ht="19.5" customHeight="1">
      <c r="B47" s="220" t="s">
        <v>276</v>
      </c>
      <c r="C47" s="187" t="s">
        <v>277</v>
      </c>
      <c r="E47" s="187">
        <f>+D46</f>
        <v>11030</v>
      </c>
    </row>
    <row r="48" spans="1:13" ht="19.5" customHeight="1">
      <c r="B48" s="220"/>
      <c r="C48" s="187"/>
      <c r="E48" s="187"/>
    </row>
    <row r="49" spans="1:10" ht="19.5" customHeight="1">
      <c r="B49" s="220"/>
      <c r="C49" s="187"/>
      <c r="E49" s="187"/>
      <c r="I49" s="200">
        <f>963539</f>
        <v>963539</v>
      </c>
      <c r="J49" s="200">
        <f>I49/1.12</f>
        <v>860302.67857142852</v>
      </c>
    </row>
    <row r="50" spans="1:10" ht="19.5" customHeight="1">
      <c r="B50" s="224"/>
      <c r="C50" s="196"/>
      <c r="D50" s="225"/>
      <c r="E50" s="196"/>
      <c r="I50" s="200">
        <v>13173</v>
      </c>
      <c r="J50" s="200">
        <f>I50/1.12</f>
        <v>11761.607142857141</v>
      </c>
    </row>
    <row r="51" spans="1:10">
      <c r="D51" s="201">
        <f>SUM(D43:D50)</f>
        <v>455612</v>
      </c>
      <c r="E51" s="201">
        <f>SUM(E43:E50)</f>
        <v>455612</v>
      </c>
      <c r="F51" s="201"/>
      <c r="G51" s="201"/>
      <c r="H51" s="201"/>
      <c r="I51" s="201"/>
      <c r="J51" s="201">
        <f>J49-J50</f>
        <v>848541.07142857136</v>
      </c>
    </row>
    <row r="53" spans="1:10">
      <c r="A53" s="202" t="s">
        <v>214</v>
      </c>
    </row>
    <row r="55" spans="1:10" ht="24.75" customHeight="1">
      <c r="B55" s="203" t="s">
        <v>215</v>
      </c>
      <c r="C55" s="184" t="s">
        <v>199</v>
      </c>
      <c r="D55" s="204" t="s">
        <v>216</v>
      </c>
      <c r="E55" s="204" t="s">
        <v>217</v>
      </c>
      <c r="F55" s="241"/>
      <c r="G55" s="241"/>
      <c r="H55" s="241"/>
      <c r="I55" s="241"/>
      <c r="J55" s="241"/>
    </row>
    <row r="56" spans="1:10" ht="19.5" customHeight="1">
      <c r="B56" s="205" t="s">
        <v>227</v>
      </c>
      <c r="C56" s="187" t="s">
        <v>278</v>
      </c>
      <c r="D56" s="250">
        <v>100000</v>
      </c>
      <c r="E56" s="206"/>
    </row>
    <row r="57" spans="1:10" ht="19.5" customHeight="1">
      <c r="B57" s="205" t="s">
        <v>279</v>
      </c>
      <c r="C57" s="187" t="s">
        <v>278</v>
      </c>
      <c r="D57" s="200">
        <v>2666934.9300000002</v>
      </c>
      <c r="E57" s="187"/>
    </row>
    <row r="58" spans="1:10" ht="19.5" customHeight="1">
      <c r="B58" s="205" t="s">
        <v>227</v>
      </c>
      <c r="C58" s="187" t="s">
        <v>280</v>
      </c>
      <c r="D58" s="200">
        <f>1268003</f>
        <v>1268003</v>
      </c>
      <c r="E58" s="187"/>
    </row>
    <row r="59" spans="1:10" ht="19.5" customHeight="1">
      <c r="B59" s="205" t="s">
        <v>227</v>
      </c>
      <c r="C59" s="187" t="s">
        <v>281</v>
      </c>
      <c r="D59" s="200">
        <f>+E70</f>
        <v>505881.68</v>
      </c>
      <c r="E59" s="187"/>
    </row>
    <row r="60" spans="1:10" ht="19.5" customHeight="1">
      <c r="B60" s="205" t="s">
        <v>227</v>
      </c>
      <c r="C60" s="187" t="s">
        <v>282</v>
      </c>
      <c r="D60" s="200">
        <v>794</v>
      </c>
      <c r="E60" s="187"/>
    </row>
    <row r="61" spans="1:10" ht="19.5" customHeight="1">
      <c r="B61" s="205" t="s">
        <v>227</v>
      </c>
      <c r="C61" s="187" t="s">
        <v>277</v>
      </c>
      <c r="D61" s="200">
        <f>1161180+940330</f>
        <v>2101510</v>
      </c>
      <c r="E61" s="187"/>
    </row>
    <row r="62" spans="1:10" ht="19.5" customHeight="1">
      <c r="B62" s="205" t="s">
        <v>204</v>
      </c>
      <c r="C62" s="187" t="s">
        <v>277</v>
      </c>
      <c r="D62" s="212">
        <f>27706930-C10</f>
        <v>27269564.260000002</v>
      </c>
      <c r="E62" s="187"/>
    </row>
    <row r="63" spans="1:10" ht="19.5" customHeight="1">
      <c r="B63" s="205" t="s">
        <v>227</v>
      </c>
      <c r="C63" s="187" t="s">
        <v>212</v>
      </c>
      <c r="D63" s="200">
        <f>+E66</f>
        <v>656792</v>
      </c>
      <c r="E63" s="187"/>
    </row>
    <row r="64" spans="1:10" ht="19.5" customHeight="1">
      <c r="B64" s="205" t="s">
        <v>227</v>
      </c>
      <c r="C64" s="187" t="s">
        <v>277</v>
      </c>
      <c r="D64" s="200">
        <f>+E67</f>
        <v>11643.21</v>
      </c>
      <c r="E64" s="187"/>
    </row>
    <row r="65" spans="1:10" ht="19.5" customHeight="1">
      <c r="B65" s="205" t="s">
        <v>227</v>
      </c>
      <c r="C65" s="187" t="s">
        <v>278</v>
      </c>
      <c r="D65" s="200">
        <f>+E68</f>
        <v>116867</v>
      </c>
      <c r="E65" s="187"/>
    </row>
    <row r="66" spans="1:10" ht="19.5" customHeight="1">
      <c r="B66" s="205" t="s">
        <v>218</v>
      </c>
      <c r="C66" s="187" t="s">
        <v>280</v>
      </c>
      <c r="E66" s="187">
        <v>656792</v>
      </c>
    </row>
    <row r="67" spans="1:10" ht="19.5" customHeight="1">
      <c r="B67" s="205" t="s">
        <v>218</v>
      </c>
      <c r="C67" s="187" t="s">
        <v>278</v>
      </c>
      <c r="E67" s="187">
        <v>11643.21</v>
      </c>
    </row>
    <row r="68" spans="1:10" ht="19.5" customHeight="1">
      <c r="B68" s="205" t="s">
        <v>218</v>
      </c>
      <c r="C68" s="187" t="s">
        <v>277</v>
      </c>
      <c r="E68" s="187">
        <v>116867</v>
      </c>
    </row>
    <row r="69" spans="1:10" ht="19.5" customHeight="1">
      <c r="B69" s="205" t="s">
        <v>218</v>
      </c>
      <c r="C69" s="187" t="s">
        <v>212</v>
      </c>
      <c r="E69" s="187">
        <f>2766935+1268003+D60+1161180</f>
        <v>5196912</v>
      </c>
    </row>
    <row r="70" spans="1:10" ht="19.5" customHeight="1">
      <c r="B70" s="205" t="s">
        <v>42</v>
      </c>
      <c r="C70" s="187" t="s">
        <v>212</v>
      </c>
      <c r="E70" s="187">
        <v>505881.68</v>
      </c>
    </row>
    <row r="71" spans="1:10" ht="19.5" customHeight="1">
      <c r="B71" s="205" t="s">
        <v>283</v>
      </c>
      <c r="C71" s="187" t="s">
        <v>212</v>
      </c>
      <c r="E71" s="187">
        <v>940330</v>
      </c>
    </row>
    <row r="72" spans="1:10" ht="19.5" customHeight="1">
      <c r="B72" s="213" t="s">
        <v>284</v>
      </c>
      <c r="C72" s="196" t="s">
        <v>212</v>
      </c>
      <c r="D72" s="225"/>
      <c r="E72" s="196">
        <f>+D62</f>
        <v>27269564.260000002</v>
      </c>
    </row>
    <row r="73" spans="1:10">
      <c r="D73" s="201">
        <f>SUM(D56:D72)</f>
        <v>34697990.080000006</v>
      </c>
      <c r="E73" s="201">
        <f>SUM(E56:E72)</f>
        <v>34697990.149999999</v>
      </c>
      <c r="F73" s="201"/>
      <c r="G73" s="201"/>
      <c r="H73" s="201"/>
      <c r="I73" s="201"/>
      <c r="J73" s="201"/>
    </row>
    <row r="76" spans="1:10">
      <c r="A76" s="202" t="s">
        <v>285</v>
      </c>
    </row>
    <row r="78" spans="1:10">
      <c r="A78" s="233"/>
      <c r="B78" s="183" t="s">
        <v>198</v>
      </c>
      <c r="C78" s="184" t="s">
        <v>199</v>
      </c>
      <c r="D78" s="185" t="s">
        <v>200</v>
      </c>
      <c r="E78" s="185" t="s">
        <v>201</v>
      </c>
    </row>
    <row r="79" spans="1:10">
      <c r="B79" s="186" t="s">
        <v>105</v>
      </c>
      <c r="C79" s="187" t="s">
        <v>286</v>
      </c>
      <c r="D79" s="189">
        <f>459066*0.49</f>
        <v>224942.34</v>
      </c>
      <c r="E79" s="189"/>
    </row>
    <row r="80" spans="1:10">
      <c r="B80" s="195" t="s">
        <v>287</v>
      </c>
      <c r="C80" s="196" t="s">
        <v>286</v>
      </c>
      <c r="D80" s="197"/>
      <c r="E80" s="197">
        <f>+D79</f>
        <v>224942.34</v>
      </c>
    </row>
    <row r="82" spans="4:5">
      <c r="D82" s="201">
        <f>SUM(D79:D81)</f>
        <v>224942.34</v>
      </c>
      <c r="E82" s="201">
        <f>SUM(E79:E81)</f>
        <v>224942.34</v>
      </c>
    </row>
  </sheetData>
  <printOptions horizontalCentered="1"/>
  <pageMargins left="0" right="0" top="0.51180555555555496" bottom="0.31527777777777799" header="0.51180555555555496" footer="0.31527777777777799"/>
  <pageSetup paperSize="9" firstPageNumber="0" orientation="landscape" horizontalDpi="300" verticalDpi="300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105"/>
  <sheetViews>
    <sheetView zoomScale="80" zoomScaleNormal="80" workbookViewId="0">
      <selection activeCell="C10" sqref="C10"/>
    </sheetView>
  </sheetViews>
  <sheetFormatPr defaultColWidth="11.42578125" defaultRowHeight="15"/>
  <cols>
    <col min="1" max="1" width="11.42578125" style="257"/>
    <col min="2" max="2" width="72.28515625" style="258" customWidth="1"/>
    <col min="3" max="3" width="23.42578125" style="259" customWidth="1"/>
    <col min="4" max="4" width="11.42578125" style="257"/>
    <col min="5" max="5" width="13.140625" style="260" customWidth="1"/>
    <col min="6" max="6" width="15.28515625" style="260" customWidth="1"/>
    <col min="7" max="7" width="14.140625" style="260" customWidth="1"/>
    <col min="8" max="8" width="17.5703125" style="260" customWidth="1"/>
    <col min="9" max="9" width="21.28515625" style="260" customWidth="1"/>
    <col min="10" max="10" width="14.42578125" style="260" customWidth="1"/>
    <col min="11" max="1024" width="11.42578125" style="260"/>
  </cols>
  <sheetData>
    <row r="1" spans="2:10">
      <c r="B1" s="261" t="s">
        <v>288</v>
      </c>
      <c r="C1" s="262"/>
    </row>
    <row r="2" spans="2:10">
      <c r="B2" s="263" t="s">
        <v>289</v>
      </c>
      <c r="C2" s="264">
        <f>+'ESF - ERI'!E58</f>
        <v>36760932</v>
      </c>
      <c r="F2" s="265"/>
      <c r="H2" s="257"/>
    </row>
    <row r="3" spans="2:10">
      <c r="B3" s="266"/>
      <c r="C3" s="267"/>
      <c r="I3" s="268"/>
    </row>
    <row r="4" spans="2:10" ht="30">
      <c r="B4" s="269" t="s">
        <v>290</v>
      </c>
      <c r="C4" s="270" t="s">
        <v>291</v>
      </c>
      <c r="E4" s="257"/>
      <c r="F4" s="257"/>
      <c r="G4" s="257"/>
      <c r="H4" s="257"/>
      <c r="I4" s="271"/>
    </row>
    <row r="5" spans="2:10">
      <c r="B5" s="272" t="s">
        <v>292</v>
      </c>
      <c r="C5" s="273">
        <f>+'Asientos - para Consolidado'!C9</f>
        <v>3751.2600000000102</v>
      </c>
      <c r="E5" s="274"/>
      <c r="F5" s="275">
        <v>3751</v>
      </c>
      <c r="G5" s="276">
        <f>+F5/$F$7</f>
        <v>0.75019999999999998</v>
      </c>
      <c r="H5" s="257" t="s">
        <v>293</v>
      </c>
      <c r="I5" s="277"/>
    </row>
    <row r="6" spans="2:10">
      <c r="B6" s="272" t="s">
        <v>294</v>
      </c>
      <c r="C6" s="278">
        <f>C2*G6</f>
        <v>9182880.8136</v>
      </c>
      <c r="D6" s="279" t="s">
        <v>295</v>
      </c>
      <c r="E6" s="257"/>
      <c r="F6" s="280">
        <v>1249</v>
      </c>
      <c r="G6" s="276">
        <f>+F6/$F$7</f>
        <v>0.24979999999999999</v>
      </c>
      <c r="H6" s="257" t="s">
        <v>296</v>
      </c>
      <c r="I6" s="281">
        <f>C6-'Asientos - para Consolidado'!D25</f>
        <v>-294503.18640000001</v>
      </c>
    </row>
    <row r="7" spans="2:10">
      <c r="B7" s="272" t="s">
        <v>297</v>
      </c>
      <c r="C7" s="282">
        <f>+C5+C6</f>
        <v>9186632.0735999998</v>
      </c>
      <c r="E7" s="257"/>
      <c r="F7" s="275">
        <f>SUM(F5:F6)</f>
        <v>5000</v>
      </c>
      <c r="G7" s="283"/>
      <c r="H7" s="257"/>
      <c r="I7" s="271">
        <f>I6-C9</f>
        <v>-427133.25999999605</v>
      </c>
    </row>
    <row r="8" spans="2:10" ht="15" customHeight="1">
      <c r="B8" s="272" t="s">
        <v>298</v>
      </c>
      <c r="C8" s="273">
        <f>+C2-'Asientos - para Consolidado'!C10-'Asientos - para Consolidado'!D62</f>
        <v>9054002.0000000037</v>
      </c>
      <c r="D8" s="1064" t="s">
        <v>299</v>
      </c>
      <c r="E8" s="1064"/>
      <c r="F8" s="1064"/>
      <c r="G8" s="1064"/>
      <c r="H8" s="1064"/>
      <c r="I8" s="281"/>
    </row>
    <row r="9" spans="2:10" ht="15.75" customHeight="1">
      <c r="B9" s="284" t="s">
        <v>62</v>
      </c>
      <c r="C9" s="285">
        <f>+C7-C8</f>
        <v>132630.07359999605</v>
      </c>
      <c r="D9" s="279" t="s">
        <v>300</v>
      </c>
      <c r="E9" s="1065" t="s">
        <v>301</v>
      </c>
      <c r="F9" s="1065"/>
      <c r="G9" s="283"/>
      <c r="H9" s="257"/>
      <c r="I9" s="271"/>
      <c r="J9" s="281"/>
    </row>
    <row r="10" spans="2:10">
      <c r="B10" s="286"/>
      <c r="C10" s="287"/>
      <c r="G10" s="288"/>
    </row>
    <row r="11" spans="2:10">
      <c r="J11" s="277"/>
    </row>
    <row r="12" spans="2:10">
      <c r="B12" s="261" t="s">
        <v>302</v>
      </c>
      <c r="C12" s="262"/>
    </row>
    <row r="13" spans="2:10" ht="15" customHeight="1">
      <c r="B13" s="263" t="s">
        <v>289</v>
      </c>
      <c r="C13" s="264">
        <f>+'ESF - ERI'!F58-'ESF - ERI'!F49</f>
        <v>21123.449999999953</v>
      </c>
      <c r="D13" s="1064" t="s">
        <v>299</v>
      </c>
      <c r="E13" s="1064"/>
      <c r="F13" s="1064"/>
      <c r="G13" s="1064"/>
      <c r="H13" s="1064"/>
      <c r="I13" s="281"/>
      <c r="J13" s="277"/>
    </row>
    <row r="14" spans="2:10">
      <c r="B14" s="266"/>
      <c r="C14" s="267"/>
      <c r="J14" s="268"/>
    </row>
    <row r="15" spans="2:10" ht="30">
      <c r="B15" s="269" t="s">
        <v>303</v>
      </c>
      <c r="C15" s="270" t="s">
        <v>291</v>
      </c>
      <c r="E15" s="257"/>
      <c r="F15" s="257"/>
      <c r="G15" s="257"/>
      <c r="H15" s="257"/>
    </row>
    <row r="16" spans="2:10">
      <c r="B16" s="272" t="s">
        <v>292</v>
      </c>
      <c r="C16" s="273">
        <f>+'Asientos - para Consolidado'!D9</f>
        <v>104950</v>
      </c>
      <c r="E16" s="274"/>
      <c r="F16" s="275">
        <v>104950</v>
      </c>
      <c r="G16" s="276">
        <f>+F16/$F$18</f>
        <v>0.99952380952380948</v>
      </c>
      <c r="H16" s="257" t="s">
        <v>293</v>
      </c>
      <c r="I16" s="265"/>
    </row>
    <row r="17" spans="2:9">
      <c r="B17" s="272" t="s">
        <v>304</v>
      </c>
      <c r="C17" s="278">
        <f>C13*G17</f>
        <v>10.058785714285692</v>
      </c>
      <c r="D17" s="279" t="s">
        <v>295</v>
      </c>
      <c r="E17" s="257"/>
      <c r="F17" s="280">
        <v>50</v>
      </c>
      <c r="G17" s="276">
        <f>+F17/$F$18</f>
        <v>4.7619047619047619E-4</v>
      </c>
      <c r="H17" s="257" t="s">
        <v>296</v>
      </c>
      <c r="I17" s="268"/>
    </row>
    <row r="18" spans="2:9">
      <c r="B18" s="272" t="s">
        <v>297</v>
      </c>
      <c r="C18" s="282">
        <f>+C16+C17</f>
        <v>104960.05878571428</v>
      </c>
      <c r="E18" s="257"/>
      <c r="F18" s="275">
        <f>SUM(F16:F17)</f>
        <v>105000</v>
      </c>
      <c r="G18" s="283"/>
      <c r="H18" s="257"/>
      <c r="I18" s="281"/>
    </row>
    <row r="19" spans="2:9">
      <c r="B19" s="272" t="s">
        <v>305</v>
      </c>
      <c r="C19" s="273">
        <f>+C13</f>
        <v>21123.449999999953</v>
      </c>
      <c r="D19" s="279"/>
      <c r="E19" s="257"/>
      <c r="F19" s="257"/>
      <c r="G19" s="283"/>
      <c r="H19" s="257"/>
      <c r="I19" s="281"/>
    </row>
    <row r="20" spans="2:9">
      <c r="B20" s="284" t="s">
        <v>62</v>
      </c>
      <c r="C20" s="285">
        <f>+C18-C19</f>
        <v>83836.608785714328</v>
      </c>
      <c r="D20" s="279" t="s">
        <v>306</v>
      </c>
      <c r="E20" s="257"/>
      <c r="F20" s="257"/>
      <c r="G20" s="283"/>
      <c r="H20" s="257"/>
      <c r="I20" s="281"/>
    </row>
    <row r="21" spans="2:9" ht="9" customHeight="1">
      <c r="B21" s="286"/>
      <c r="C21" s="287"/>
      <c r="G21" s="288"/>
      <c r="I21" s="268"/>
    </row>
    <row r="23" spans="2:9">
      <c r="B23" s="261" t="s">
        <v>307</v>
      </c>
      <c r="C23" s="262"/>
    </row>
    <row r="24" spans="2:9" s="257" customFormat="1">
      <c r="B24" s="263" t="s">
        <v>289</v>
      </c>
      <c r="C24" s="264">
        <f>+'ESF - ERI'!G58</f>
        <v>909131.94000000006</v>
      </c>
    </row>
    <row r="25" spans="2:9" ht="6.75" customHeight="1">
      <c r="B25" s="266"/>
      <c r="C25" s="267"/>
    </row>
    <row r="26" spans="2:9" s="257" customFormat="1" ht="30">
      <c r="B26" s="269" t="s">
        <v>308</v>
      </c>
      <c r="C26" s="270" t="s">
        <v>291</v>
      </c>
    </row>
    <row r="27" spans="2:9" s="257" customFormat="1">
      <c r="B27" s="272" t="s">
        <v>292</v>
      </c>
      <c r="C27" s="273">
        <f>+'Asientos - para Consolidado'!E9</f>
        <v>943459</v>
      </c>
      <c r="E27" s="274"/>
      <c r="F27" s="275">
        <v>6800</v>
      </c>
      <c r="G27" s="276">
        <f>+F27/$F$29</f>
        <v>0.68</v>
      </c>
      <c r="H27" s="257" t="s">
        <v>293</v>
      </c>
    </row>
    <row r="28" spans="2:9" s="257" customFormat="1">
      <c r="B28" s="272" t="s">
        <v>309</v>
      </c>
      <c r="C28" s="278">
        <f>C24*G28</f>
        <v>290922.22080000001</v>
      </c>
      <c r="D28" s="279" t="s">
        <v>295</v>
      </c>
      <c r="F28" s="280">
        <v>3200</v>
      </c>
      <c r="G28" s="276">
        <f>+F28/$F$29</f>
        <v>0.32</v>
      </c>
      <c r="H28" s="257" t="s">
        <v>296</v>
      </c>
    </row>
    <row r="29" spans="2:9" s="257" customFormat="1">
      <c r="B29" s="272" t="s">
        <v>297</v>
      </c>
      <c r="C29" s="282">
        <f>+C27+C28</f>
        <v>1234381.2208</v>
      </c>
      <c r="F29" s="275">
        <f>SUM(F27:F28)</f>
        <v>10000</v>
      </c>
      <c r="G29" s="283"/>
    </row>
    <row r="30" spans="2:9" s="257" customFormat="1">
      <c r="B30" s="272" t="s">
        <v>310</v>
      </c>
      <c r="C30" s="273">
        <f>+C24</f>
        <v>909131.94000000006</v>
      </c>
      <c r="D30" s="279"/>
      <c r="G30" s="283"/>
      <c r="I30" s="289">
        <f>C27</f>
        <v>943459</v>
      </c>
    </row>
    <row r="31" spans="2:9" s="257" customFormat="1" ht="15.75" customHeight="1">
      <c r="B31" s="284" t="s">
        <v>62</v>
      </c>
      <c r="C31" s="285">
        <f>+C29-C30</f>
        <v>325249.28079999995</v>
      </c>
      <c r="D31" s="279" t="s">
        <v>300</v>
      </c>
      <c r="E31" s="1065" t="s">
        <v>301</v>
      </c>
      <c r="F31" s="1065"/>
      <c r="G31" s="283"/>
      <c r="I31" s="290">
        <f>C24*G27</f>
        <v>618209.71920000005</v>
      </c>
    </row>
    <row r="32" spans="2:9" ht="6.75" customHeight="1">
      <c r="B32" s="286"/>
      <c r="C32" s="287"/>
      <c r="G32" s="288"/>
      <c r="I32" s="291">
        <f>I30-I31</f>
        <v>325249.28079999995</v>
      </c>
    </row>
    <row r="33" spans="2:9">
      <c r="G33" s="288"/>
    </row>
    <row r="34" spans="2:9">
      <c r="B34" s="261" t="s">
        <v>311</v>
      </c>
      <c r="C34" s="262"/>
      <c r="G34" s="288"/>
    </row>
    <row r="35" spans="2:9" ht="15" customHeight="1">
      <c r="B35" s="263" t="s">
        <v>289</v>
      </c>
      <c r="C35" s="264">
        <f>+'ESF - ERI'!H58-'ESF - ERI'!H49</f>
        <v>-276937.91993750003</v>
      </c>
      <c r="D35" s="1064" t="s">
        <v>299</v>
      </c>
      <c r="E35" s="1064"/>
      <c r="F35" s="1064"/>
      <c r="G35" s="1064"/>
      <c r="H35" s="1064"/>
    </row>
    <row r="36" spans="2:9" ht="5.25" customHeight="1">
      <c r="B36" s="266"/>
      <c r="C36" s="267"/>
      <c r="G36" s="288"/>
    </row>
    <row r="37" spans="2:9" ht="30">
      <c r="B37" s="269" t="s">
        <v>312</v>
      </c>
      <c r="C37" s="270" t="s">
        <v>291</v>
      </c>
      <c r="E37" s="257"/>
      <c r="F37" s="257"/>
      <c r="G37" s="283"/>
      <c r="H37" s="257"/>
    </row>
    <row r="38" spans="2:9">
      <c r="B38" s="272" t="s">
        <v>292</v>
      </c>
      <c r="C38" s="273">
        <f>+'Asientos - para Consolidado'!F9</f>
        <v>98825</v>
      </c>
      <c r="E38" s="274"/>
      <c r="F38" s="275">
        <v>500</v>
      </c>
      <c r="G38" s="276">
        <f>+F38/$F$40</f>
        <v>0.5</v>
      </c>
      <c r="H38" s="257" t="s">
        <v>293</v>
      </c>
    </row>
    <row r="39" spans="2:9">
      <c r="B39" s="272" t="s">
        <v>313</v>
      </c>
      <c r="C39" s="278">
        <f>C35*G39</f>
        <v>-138468.95996875002</v>
      </c>
      <c r="D39" s="279" t="s">
        <v>295</v>
      </c>
      <c r="E39" s="257"/>
      <c r="F39" s="280">
        <v>500</v>
      </c>
      <c r="G39" s="276">
        <f>+F39/$F$40</f>
        <v>0.5</v>
      </c>
      <c r="H39" s="257" t="s">
        <v>296</v>
      </c>
    </row>
    <row r="40" spans="2:9">
      <c r="B40" s="272" t="s">
        <v>297</v>
      </c>
      <c r="C40" s="282">
        <f>+C38+C39</f>
        <v>-39643.959968750016</v>
      </c>
      <c r="E40" s="257"/>
      <c r="F40" s="275">
        <f>SUM(F38:F39)</f>
        <v>1000</v>
      </c>
      <c r="G40" s="283"/>
      <c r="H40" s="257"/>
      <c r="I40" s="281">
        <f>C38</f>
        <v>98825</v>
      </c>
    </row>
    <row r="41" spans="2:9">
      <c r="B41" s="272" t="s">
        <v>314</v>
      </c>
      <c r="C41" s="273">
        <f>+C35</f>
        <v>-276937.91993750003</v>
      </c>
      <c r="D41" s="279"/>
      <c r="E41" s="257"/>
      <c r="F41" s="257"/>
      <c r="G41" s="283"/>
      <c r="H41" s="257"/>
    </row>
    <row r="42" spans="2:9" ht="15.75" customHeight="1">
      <c r="B42" s="284" t="s">
        <v>62</v>
      </c>
      <c r="C42" s="285">
        <f>+C40-C41</f>
        <v>237293.95996875002</v>
      </c>
      <c r="D42" s="279" t="s">
        <v>300</v>
      </c>
      <c r="E42" s="1063" t="s">
        <v>301</v>
      </c>
      <c r="F42" s="1063"/>
      <c r="G42" s="283"/>
      <c r="H42" s="257"/>
    </row>
    <row r="43" spans="2:9" ht="5.25" customHeight="1">
      <c r="B43" s="286"/>
      <c r="C43" s="287"/>
      <c r="G43" s="288"/>
    </row>
    <row r="44" spans="2:9">
      <c r="G44" s="288"/>
    </row>
    <row r="45" spans="2:9">
      <c r="B45" s="261" t="s">
        <v>315</v>
      </c>
      <c r="C45" s="262"/>
      <c r="G45" s="288"/>
    </row>
    <row r="46" spans="2:9" ht="15" customHeight="1">
      <c r="B46" s="263" t="s">
        <v>289</v>
      </c>
      <c r="C46" s="264">
        <f>+'ESF - ERI'!I58-'ESF - ERI'!I49</f>
        <v>70210.969999999972</v>
      </c>
      <c r="D46" s="1064" t="s">
        <v>299</v>
      </c>
      <c r="E46" s="1064"/>
      <c r="F46" s="1064"/>
      <c r="G46" s="1064"/>
      <c r="H46" s="1064"/>
    </row>
    <row r="47" spans="2:9" ht="6" customHeight="1">
      <c r="B47" s="266"/>
      <c r="C47" s="267"/>
      <c r="G47" s="288"/>
    </row>
    <row r="48" spans="2:9" ht="30">
      <c r="B48" s="269" t="s">
        <v>316</v>
      </c>
      <c r="C48" s="270" t="s">
        <v>291</v>
      </c>
      <c r="E48" s="257"/>
      <c r="F48" s="257"/>
      <c r="G48" s="283"/>
      <c r="H48" s="257"/>
    </row>
    <row r="49" spans="2:9">
      <c r="B49" s="272" t="s">
        <v>292</v>
      </c>
      <c r="C49" s="273">
        <f>+'Asientos - para Consolidado'!G9</f>
        <v>132050</v>
      </c>
      <c r="E49" s="274"/>
      <c r="F49" s="275">
        <v>750</v>
      </c>
      <c r="G49" s="276">
        <f>+F49/$F$51</f>
        <v>0.75</v>
      </c>
      <c r="H49" s="257" t="s">
        <v>293</v>
      </c>
    </row>
    <row r="50" spans="2:9">
      <c r="B50" s="272" t="s">
        <v>317</v>
      </c>
      <c r="C50" s="278">
        <f>C46*G50</f>
        <v>17552.742499999993</v>
      </c>
      <c r="D50" s="279" t="s">
        <v>295</v>
      </c>
      <c r="E50" s="257"/>
      <c r="F50" s="280">
        <v>250</v>
      </c>
      <c r="G50" s="276">
        <f>+F50/$F$51</f>
        <v>0.25</v>
      </c>
      <c r="H50" s="257" t="s">
        <v>296</v>
      </c>
    </row>
    <row r="51" spans="2:9">
      <c r="B51" s="272" t="s">
        <v>297</v>
      </c>
      <c r="C51" s="282">
        <f>+C49+C50</f>
        <v>149602.74249999999</v>
      </c>
      <c r="E51" s="257"/>
      <c r="F51" s="275">
        <f>SUM(F49:F50)</f>
        <v>1000</v>
      </c>
      <c r="G51" s="283"/>
      <c r="H51" s="257"/>
      <c r="I51" s="265">
        <f>C49</f>
        <v>132050</v>
      </c>
    </row>
    <row r="52" spans="2:9">
      <c r="B52" s="272" t="s">
        <v>318</v>
      </c>
      <c r="C52" s="273">
        <f>+C46</f>
        <v>70210.969999999972</v>
      </c>
      <c r="D52" s="279"/>
      <c r="E52" s="257"/>
      <c r="F52" s="257"/>
      <c r="G52" s="283"/>
      <c r="H52" s="257"/>
      <c r="I52" s="265">
        <f>C46*G49</f>
        <v>52658.227499999979</v>
      </c>
    </row>
    <row r="53" spans="2:9">
      <c r="B53" s="284" t="s">
        <v>62</v>
      </c>
      <c r="C53" s="285">
        <f>+C51-C52</f>
        <v>79391.772500000021</v>
      </c>
      <c r="D53" s="279" t="s">
        <v>306</v>
      </c>
      <c r="E53" s="257"/>
      <c r="F53" s="257"/>
      <c r="G53" s="283"/>
      <c r="H53" s="257"/>
      <c r="I53" s="265">
        <f>I51-I52</f>
        <v>79391.772500000021</v>
      </c>
    </row>
    <row r="54" spans="2:9" ht="7.5" customHeight="1">
      <c r="B54" s="286"/>
      <c r="C54" s="287"/>
      <c r="G54" s="288"/>
    </row>
    <row r="55" spans="2:9">
      <c r="G55" s="288"/>
    </row>
    <row r="56" spans="2:9">
      <c r="B56" s="261" t="s">
        <v>319</v>
      </c>
      <c r="C56" s="262"/>
      <c r="G56" s="288"/>
    </row>
    <row r="57" spans="2:9">
      <c r="B57" s="263" t="s">
        <v>289</v>
      </c>
      <c r="C57" s="264">
        <f>+'ESF - ERI'!J58</f>
        <v>7194.99</v>
      </c>
      <c r="E57" s="257"/>
      <c r="F57" s="257"/>
      <c r="G57" s="283"/>
      <c r="H57" s="257"/>
    </row>
    <row r="58" spans="2:9">
      <c r="B58" s="266"/>
      <c r="C58" s="267"/>
      <c r="G58" s="288"/>
    </row>
    <row r="59" spans="2:9" ht="30">
      <c r="B59" s="269" t="s">
        <v>320</v>
      </c>
      <c r="C59" s="270" t="s">
        <v>291</v>
      </c>
      <c r="E59" s="257"/>
      <c r="F59" s="257"/>
      <c r="G59" s="283"/>
      <c r="H59" s="257"/>
    </row>
    <row r="60" spans="2:9">
      <c r="B60" s="272" t="s">
        <v>292</v>
      </c>
      <c r="C60" s="273">
        <f>+'Asientos - para Consolidado'!H9</f>
        <v>140052</v>
      </c>
      <c r="E60" s="274"/>
      <c r="F60" s="275">
        <v>4640</v>
      </c>
      <c r="G60" s="276">
        <f>+F60/$F$62</f>
        <v>0.92800000000000005</v>
      </c>
      <c r="H60" s="257" t="s">
        <v>293</v>
      </c>
    </row>
    <row r="61" spans="2:9">
      <c r="B61" s="272" t="s">
        <v>321</v>
      </c>
      <c r="C61" s="278">
        <f>C57*G61</f>
        <v>518.03927999999996</v>
      </c>
      <c r="D61" s="279" t="s">
        <v>295</v>
      </c>
      <c r="E61" s="257"/>
      <c r="F61" s="280">
        <v>360</v>
      </c>
      <c r="G61" s="276">
        <f>+F61/$F$62</f>
        <v>7.1999999999999995E-2</v>
      </c>
      <c r="H61" s="257" t="s">
        <v>296</v>
      </c>
    </row>
    <row r="62" spans="2:9">
      <c r="B62" s="272" t="s">
        <v>297</v>
      </c>
      <c r="C62" s="282">
        <f>+C60+C61</f>
        <v>140570.03928</v>
      </c>
      <c r="E62" s="257"/>
      <c r="F62" s="275">
        <f>SUM(F60:F61)</f>
        <v>5000</v>
      </c>
      <c r="G62" s="257"/>
      <c r="H62" s="257"/>
      <c r="I62" s="281">
        <f>C60</f>
        <v>140052</v>
      </c>
    </row>
    <row r="63" spans="2:9">
      <c r="B63" s="272" t="s">
        <v>322</v>
      </c>
      <c r="C63" s="273">
        <f>+C57</f>
        <v>7194.99</v>
      </c>
      <c r="D63" s="279"/>
      <c r="E63" s="257"/>
      <c r="F63" s="257"/>
      <c r="G63" s="257"/>
      <c r="H63" s="257"/>
      <c r="I63" s="291">
        <f>C57*G60</f>
        <v>6676.9507199999998</v>
      </c>
    </row>
    <row r="64" spans="2:9" ht="15.75" customHeight="1">
      <c r="B64" s="284" t="s">
        <v>62</v>
      </c>
      <c r="C64" s="285">
        <f>+C62-C63</f>
        <v>133375.04928000001</v>
      </c>
      <c r="D64" s="279" t="s">
        <v>300</v>
      </c>
      <c r="E64" s="1063" t="s">
        <v>301</v>
      </c>
      <c r="F64" s="1063"/>
      <c r="G64" s="257"/>
      <c r="H64" s="257"/>
      <c r="I64" s="291">
        <f>I62-I63</f>
        <v>133375.04928000001</v>
      </c>
    </row>
    <row r="65" spans="2:9" ht="7.5" customHeight="1">
      <c r="B65" s="286"/>
      <c r="C65" s="287"/>
    </row>
    <row r="67" spans="2:9">
      <c r="B67" s="261" t="s">
        <v>257</v>
      </c>
      <c r="C67" s="262"/>
      <c r="G67" s="288"/>
    </row>
    <row r="68" spans="2:9">
      <c r="B68" s="263" t="s">
        <v>289</v>
      </c>
      <c r="C68" s="264">
        <f>+'ESF - ERI'!K58</f>
        <v>10000</v>
      </c>
      <c r="E68" s="257"/>
      <c r="F68" s="257"/>
      <c r="G68" s="283"/>
      <c r="H68" s="257"/>
    </row>
    <row r="69" spans="2:9">
      <c r="B69" s="266"/>
      <c r="C69" s="267"/>
      <c r="G69" s="288"/>
    </row>
    <row r="70" spans="2:9" ht="30">
      <c r="B70" s="269" t="s">
        <v>323</v>
      </c>
      <c r="C70" s="270" t="s">
        <v>291</v>
      </c>
      <c r="E70" s="257"/>
      <c r="F70" s="257"/>
      <c r="G70" s="283"/>
      <c r="H70" s="257"/>
    </row>
    <row r="71" spans="2:9">
      <c r="B71" s="272" t="s">
        <v>292</v>
      </c>
      <c r="C71" s="273">
        <f>+'Asientos - para Consolidado'!I9</f>
        <v>6000</v>
      </c>
      <c r="E71" s="274"/>
      <c r="F71" s="275">
        <v>6000</v>
      </c>
      <c r="G71" s="276">
        <f>+F71/$F$73</f>
        <v>0.6</v>
      </c>
      <c r="H71" s="257" t="s">
        <v>293</v>
      </c>
    </row>
    <row r="72" spans="2:9">
      <c r="B72" s="272" t="s">
        <v>324</v>
      </c>
      <c r="C72" s="278">
        <f>C68*G72</f>
        <v>4000</v>
      </c>
      <c r="D72" s="279" t="s">
        <v>295</v>
      </c>
      <c r="E72" s="257"/>
      <c r="F72" s="280">
        <v>4000</v>
      </c>
      <c r="G72" s="276">
        <f>+F72/$F$73</f>
        <v>0.4</v>
      </c>
      <c r="H72" s="257" t="s">
        <v>296</v>
      </c>
    </row>
    <row r="73" spans="2:9">
      <c r="B73" s="272" t="s">
        <v>297</v>
      </c>
      <c r="C73" s="282">
        <f>+C71+C72</f>
        <v>10000</v>
      </c>
      <c r="E73" s="257"/>
      <c r="F73" s="275">
        <f>SUM(F71:F72)</f>
        <v>10000</v>
      </c>
      <c r="G73" s="257"/>
      <c r="H73" s="257"/>
      <c r="I73" s="281">
        <f>C71</f>
        <v>6000</v>
      </c>
    </row>
    <row r="74" spans="2:9">
      <c r="B74" s="272" t="s">
        <v>325</v>
      </c>
      <c r="C74" s="273">
        <f>+C68</f>
        <v>10000</v>
      </c>
      <c r="D74" s="279"/>
      <c r="E74" s="257"/>
      <c r="F74" s="257"/>
      <c r="G74" s="257"/>
      <c r="H74" s="257"/>
      <c r="I74" s="291">
        <f>C68*G71</f>
        <v>6000</v>
      </c>
    </row>
    <row r="75" spans="2:9">
      <c r="B75" s="284" t="s">
        <v>326</v>
      </c>
      <c r="C75" s="285">
        <f>+C73-C74</f>
        <v>0</v>
      </c>
      <c r="D75" s="279"/>
      <c r="E75" s="257"/>
      <c r="F75" s="257"/>
      <c r="G75" s="257"/>
      <c r="H75" s="257"/>
      <c r="I75" s="291">
        <f>I73-I74</f>
        <v>0</v>
      </c>
    </row>
    <row r="76" spans="2:9" ht="6.75" customHeight="1">
      <c r="B76" s="286"/>
      <c r="C76" s="287"/>
    </row>
    <row r="78" spans="2:9">
      <c r="B78" s="261" t="s">
        <v>327</v>
      </c>
      <c r="C78" s="262"/>
      <c r="G78" s="288"/>
    </row>
    <row r="79" spans="2:9" ht="15" customHeight="1">
      <c r="B79" s="263" t="s">
        <v>289</v>
      </c>
      <c r="C79" s="264">
        <f>+'ESF - ERI'!L58+881973</f>
        <v>883113.17</v>
      </c>
      <c r="D79" s="1064" t="s">
        <v>328</v>
      </c>
      <c r="E79" s="1064"/>
      <c r="F79" s="1064"/>
      <c r="G79" s="1064"/>
      <c r="H79" s="1064"/>
    </row>
    <row r="80" spans="2:9">
      <c r="B80" s="266"/>
      <c r="C80" s="267"/>
      <c r="G80" s="288"/>
    </row>
    <row r="81" spans="2:9" ht="30">
      <c r="B81" s="269" t="s">
        <v>329</v>
      </c>
      <c r="C81" s="270" t="s">
        <v>291</v>
      </c>
      <c r="E81" s="257"/>
      <c r="F81" s="257"/>
      <c r="G81" s="283"/>
      <c r="H81" s="257"/>
    </row>
    <row r="82" spans="2:9">
      <c r="B82" s="272" t="s">
        <v>292</v>
      </c>
      <c r="C82" s="273">
        <f>+'Asientos - para Consolidado'!J9</f>
        <v>1114176</v>
      </c>
      <c r="E82" s="274"/>
      <c r="F82" s="275">
        <v>799.96</v>
      </c>
      <c r="G82" s="276">
        <f>+F82/$F$84</f>
        <v>0.99995000000000001</v>
      </c>
      <c r="H82" s="257" t="s">
        <v>293</v>
      </c>
    </row>
    <row r="83" spans="2:9">
      <c r="B83" s="272" t="s">
        <v>330</v>
      </c>
      <c r="C83" s="278">
        <f>C79*G83</f>
        <v>44.155658500000001</v>
      </c>
      <c r="D83" s="279" t="s">
        <v>295</v>
      </c>
      <c r="E83" s="257"/>
      <c r="F83" s="280">
        <v>0.04</v>
      </c>
      <c r="G83" s="276">
        <f>+F83/$F$84</f>
        <v>5.0000000000000002E-5</v>
      </c>
      <c r="H83" s="257" t="s">
        <v>296</v>
      </c>
    </row>
    <row r="84" spans="2:9">
      <c r="B84" s="272" t="s">
        <v>297</v>
      </c>
      <c r="C84" s="282">
        <f>+C82+C83</f>
        <v>1114220.1556585</v>
      </c>
      <c r="E84" s="257"/>
      <c r="F84" s="275">
        <f>SUM(F82:F83)</f>
        <v>800</v>
      </c>
      <c r="G84" s="257"/>
      <c r="H84" s="257"/>
    </row>
    <row r="85" spans="2:9">
      <c r="B85" s="272" t="s">
        <v>331</v>
      </c>
      <c r="C85" s="273">
        <f>+C79</f>
        <v>883113.17</v>
      </c>
      <c r="D85" s="279"/>
      <c r="E85" s="257"/>
      <c r="F85" s="257"/>
      <c r="G85" s="257"/>
      <c r="H85" s="257"/>
      <c r="I85" s="265">
        <f>C82</f>
        <v>1114176</v>
      </c>
    </row>
    <row r="86" spans="2:9">
      <c r="B86" s="284" t="s">
        <v>62</v>
      </c>
      <c r="C86" s="285">
        <f>+C84-C85</f>
        <v>231106.98565849999</v>
      </c>
      <c r="D86" s="279" t="s">
        <v>306</v>
      </c>
      <c r="E86" s="257"/>
      <c r="F86" s="257"/>
      <c r="G86" s="257"/>
      <c r="H86" s="257"/>
      <c r="I86" s="265">
        <f>C79*G82</f>
        <v>883069.01434150001</v>
      </c>
    </row>
    <row r="87" spans="2:9" ht="15.75" customHeight="1">
      <c r="B87" s="286"/>
      <c r="C87" s="287"/>
      <c r="I87" s="265">
        <f>I85-I86</f>
        <v>231106.98565849999</v>
      </c>
    </row>
    <row r="89" spans="2:9">
      <c r="B89" s="261" t="s">
        <v>332</v>
      </c>
      <c r="C89" s="262"/>
      <c r="G89" s="288"/>
    </row>
    <row r="90" spans="2:9">
      <c r="B90" s="263" t="s">
        <v>289</v>
      </c>
      <c r="C90" s="264">
        <f>+'ESF - ERI'!M58</f>
        <v>800</v>
      </c>
      <c r="E90" s="257"/>
      <c r="F90" s="257"/>
      <c r="G90" s="283"/>
      <c r="H90" s="257"/>
    </row>
    <row r="91" spans="2:9">
      <c r="B91" s="266"/>
      <c r="C91" s="267"/>
      <c r="G91" s="288"/>
    </row>
    <row r="92" spans="2:9" ht="30">
      <c r="B92" s="269" t="s">
        <v>333</v>
      </c>
      <c r="C92" s="270" t="s">
        <v>291</v>
      </c>
      <c r="E92" s="257"/>
      <c r="F92" s="257"/>
      <c r="G92" s="283"/>
      <c r="H92" s="257"/>
    </row>
    <row r="93" spans="2:9">
      <c r="B93" s="272" t="s">
        <v>292</v>
      </c>
      <c r="C93" s="273">
        <f>+'Asientos - para Consolidado'!K9</f>
        <v>740</v>
      </c>
      <c r="E93" s="274"/>
      <c r="F93" s="275">
        <v>740</v>
      </c>
      <c r="G93" s="276">
        <f>+F93/$F$95</f>
        <v>0.92500000000000004</v>
      </c>
      <c r="H93" s="257" t="s">
        <v>293</v>
      </c>
    </row>
    <row r="94" spans="2:9">
      <c r="B94" s="272" t="s">
        <v>334</v>
      </c>
      <c r="C94" s="278">
        <f>C90*G94</f>
        <v>60</v>
      </c>
      <c r="D94" s="279" t="s">
        <v>295</v>
      </c>
      <c r="E94" s="257"/>
      <c r="F94" s="280">
        <v>60</v>
      </c>
      <c r="G94" s="276">
        <f>+F94/$F$95</f>
        <v>7.4999999999999997E-2</v>
      </c>
      <c r="H94" s="257" t="s">
        <v>296</v>
      </c>
    </row>
    <row r="95" spans="2:9">
      <c r="B95" s="272" t="s">
        <v>297</v>
      </c>
      <c r="C95" s="282">
        <f>+C93+C94</f>
        <v>800</v>
      </c>
      <c r="E95" s="257"/>
      <c r="F95" s="275">
        <f>SUM(F93:F94)</f>
        <v>800</v>
      </c>
      <c r="G95" s="257"/>
      <c r="H95" s="257"/>
      <c r="I95" s="281">
        <f>C93</f>
        <v>740</v>
      </c>
    </row>
    <row r="96" spans="2:9">
      <c r="B96" s="272" t="s">
        <v>335</v>
      </c>
      <c r="C96" s="273">
        <f>+C90</f>
        <v>800</v>
      </c>
      <c r="D96" s="279"/>
      <c r="E96" s="257"/>
      <c r="F96" s="257"/>
      <c r="G96" s="257"/>
      <c r="H96" s="257"/>
      <c r="I96" s="291">
        <f>C90*G93</f>
        <v>740</v>
      </c>
    </row>
    <row r="97" spans="2:9">
      <c r="B97" s="284" t="s">
        <v>326</v>
      </c>
      <c r="C97" s="285">
        <f>+C95-C96</f>
        <v>0</v>
      </c>
      <c r="D97" s="279"/>
      <c r="E97" s="257"/>
      <c r="F97" s="257"/>
      <c r="G97" s="257"/>
      <c r="H97" s="257"/>
      <c r="I97" s="291">
        <f>I95-I96</f>
        <v>0</v>
      </c>
    </row>
    <row r="98" spans="2:9" ht="6.75" customHeight="1">
      <c r="B98" s="286"/>
      <c r="C98" s="287"/>
    </row>
    <row r="99" spans="2:9">
      <c r="B99" s="292"/>
    </row>
    <row r="100" spans="2:9">
      <c r="B100" s="292"/>
    </row>
    <row r="101" spans="2:9" ht="15" customHeight="1">
      <c r="B101" s="293" t="s">
        <v>336</v>
      </c>
      <c r="C101" s="294">
        <f>+C17+C28+C39+C50+C61+C72+C83+C94+C6</f>
        <v>9357519.0706554651</v>
      </c>
      <c r="D101" s="1062" t="s">
        <v>337</v>
      </c>
      <c r="E101" s="1062"/>
      <c r="F101" s="1062"/>
      <c r="G101" s="1062"/>
      <c r="H101" s="295"/>
    </row>
    <row r="102" spans="2:9" ht="15" customHeight="1">
      <c r="B102" s="293" t="s">
        <v>338</v>
      </c>
      <c r="C102" s="294">
        <f>+C9+C31+C64+C42</f>
        <v>828548.36364874605</v>
      </c>
      <c r="D102" s="1062" t="s">
        <v>209</v>
      </c>
      <c r="E102" s="1062"/>
      <c r="F102" s="1062"/>
      <c r="G102" s="1062"/>
      <c r="H102" s="1062"/>
    </row>
    <row r="103" spans="2:9" ht="15" customHeight="1">
      <c r="B103" s="293" t="s">
        <v>339</v>
      </c>
      <c r="C103" s="294">
        <f>+C86+C53+C20</f>
        <v>394335.36694421433</v>
      </c>
      <c r="D103" s="1062" t="s">
        <v>62</v>
      </c>
      <c r="E103" s="1062"/>
      <c r="F103" s="1062"/>
      <c r="G103" s="1062"/>
    </row>
    <row r="105" spans="2:9">
      <c r="E105" s="268"/>
    </row>
  </sheetData>
  <mergeCells count="12">
    <mergeCell ref="D8:H8"/>
    <mergeCell ref="E9:F9"/>
    <mergeCell ref="D13:H13"/>
    <mergeCell ref="E31:F31"/>
    <mergeCell ref="D35:H35"/>
    <mergeCell ref="D102:H102"/>
    <mergeCell ref="D103:G103"/>
    <mergeCell ref="E42:F42"/>
    <mergeCell ref="D46:H46"/>
    <mergeCell ref="E64:F64"/>
    <mergeCell ref="D79:H79"/>
    <mergeCell ref="D101:G101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Inversiones</vt:lpstr>
      <vt:lpstr>Participaciones</vt:lpstr>
      <vt:lpstr>Saldos interco.</vt:lpstr>
      <vt:lpstr>Planilla final</vt:lpstr>
      <vt:lpstr>AD ESF</vt:lpstr>
      <vt:lpstr>AD ERI</vt:lpstr>
      <vt:lpstr>ESF20</vt:lpstr>
      <vt:lpstr>ERI20</vt:lpstr>
      <vt:lpstr>ECP20</vt:lpstr>
      <vt:lpstr>Patrimonio</vt:lpstr>
      <vt:lpstr>EFE20</vt:lpstr>
      <vt:lpstr>Planilla Final 2017</vt:lpstr>
      <vt:lpstr>Participaciones 2017</vt:lpstr>
      <vt:lpstr>'Asientos - para Consolidado'!Print_Area</vt:lpstr>
      <vt:lpstr>'EFE20'!Print_Area</vt:lpstr>
      <vt:lpstr>'ESF - ERI'!Print_Area</vt:lpstr>
      <vt:lpstr>'ESF20'!Print_Area</vt:lpstr>
      <vt:lpstr>PNC!Print_Area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Joffre Rafael Hungría Cortez</dc:creator>
  <dc:description/>
  <cp:lastModifiedBy>Carlos Almeida</cp:lastModifiedBy>
  <cp:revision>33</cp:revision>
  <cp:lastPrinted>2021-05-11T16:30:14Z</cp:lastPrinted>
  <dcterms:created xsi:type="dcterms:W3CDTF">2015-04-08T16:45:18Z</dcterms:created>
  <dcterms:modified xsi:type="dcterms:W3CDTF">2021-05-18T17:11:33Z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