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8_{2BAE634A-47EE-45EE-99BA-67D0B0EA647C}" xr6:coauthVersionLast="46" xr6:coauthVersionMax="46" xr10:uidLastSave="{00000000-0000-0000-0000-000000000000}"/>
  <bookViews>
    <workbookView xWindow="-120" yWindow="-120" windowWidth="20730" windowHeight="11160" activeTab="9" xr2:uid="{3C9E85CE-7DCE-41A7-8698-4ADE0AC807C9}"/>
  </bookViews>
  <sheets>
    <sheet name="6" sheetId="15" r:id="rId1"/>
    <sheet name="8" sheetId="14" r:id="rId2"/>
    <sheet name="9" sheetId="16" r:id="rId3"/>
    <sheet name="10" sheetId="17" r:id="rId4"/>
    <sheet name="12" sheetId="3" r:id="rId5"/>
    <sheet name="22" sheetId="4" r:id="rId6"/>
    <sheet name="13" sheetId="9" r:id="rId7"/>
    <sheet name="14" sheetId="10" r:id="rId8"/>
    <sheet name="20" sheetId="12" r:id="rId9"/>
    <sheet name="21" sheetId="13" r:id="rId10"/>
    <sheet name="24" sheetId="6" r:id="rId11"/>
    <sheet name="25" sheetId="5" r:id="rId12"/>
    <sheet name="27c" sheetId="11" r:id="rId13"/>
    <sheet name="33a" sheetId="8" r:id="rId14"/>
    <sheet name="33b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3" l="1"/>
  <c r="N19" i="13" l="1"/>
  <c r="M19" i="13"/>
  <c r="L19" i="13"/>
  <c r="K19" i="13"/>
  <c r="P9" i="17" l="1"/>
  <c r="P10" i="17"/>
  <c r="L9" i="17"/>
  <c r="P11" i="17"/>
  <c r="P2" i="17" s="1"/>
  <c r="N11" i="17"/>
  <c r="M11" i="17"/>
  <c r="M2" i="17" s="1"/>
  <c r="L11" i="17"/>
  <c r="K11" i="17"/>
  <c r="J11" i="17"/>
  <c r="I11" i="17"/>
  <c r="H11" i="17"/>
  <c r="H2" i="17" s="1"/>
  <c r="G11" i="17"/>
  <c r="F11" i="17"/>
  <c r="E11" i="17"/>
  <c r="D11" i="17"/>
  <c r="D2" i="17" s="1"/>
  <c r="C11" i="17"/>
  <c r="O10" i="17"/>
  <c r="Q10" i="17" s="1"/>
  <c r="O9" i="17"/>
  <c r="Q9" i="17" s="1"/>
  <c r="O8" i="17"/>
  <c r="Q8" i="17" s="1"/>
  <c r="O7" i="17"/>
  <c r="Q7" i="17" s="1"/>
  <c r="Q6" i="17"/>
  <c r="O6" i="17"/>
  <c r="L3" i="17"/>
  <c r="O3" i="17" s="1"/>
  <c r="Q3" i="17" s="1"/>
  <c r="N2" i="17"/>
  <c r="K2" i="17"/>
  <c r="J2" i="17"/>
  <c r="I2" i="17"/>
  <c r="G2" i="17"/>
  <c r="F2" i="17"/>
  <c r="E2" i="17"/>
  <c r="C2" i="17"/>
  <c r="Q11" i="17" l="1"/>
  <c r="Q2" i="17" s="1"/>
  <c r="O11" i="17"/>
  <c r="L2" i="17"/>
  <c r="O2" i="17" s="1"/>
  <c r="P8" i="16"/>
  <c r="N8" i="16"/>
  <c r="N2" i="16" s="1"/>
  <c r="L8" i="16"/>
  <c r="L2" i="16" s="1"/>
  <c r="K8" i="16"/>
  <c r="K2" i="16" s="1"/>
  <c r="J8" i="16"/>
  <c r="J2" i="16" s="1"/>
  <c r="I8" i="16"/>
  <c r="H8" i="16"/>
  <c r="H2" i="16" s="1"/>
  <c r="G8" i="16"/>
  <c r="G2" i="16" s="1"/>
  <c r="F8" i="16"/>
  <c r="F2" i="16" s="1"/>
  <c r="E8" i="16"/>
  <c r="E2" i="16" s="1"/>
  <c r="D8" i="16"/>
  <c r="D2" i="16" s="1"/>
  <c r="C8" i="16"/>
  <c r="C2" i="16" s="1"/>
  <c r="O7" i="16"/>
  <c r="Q7" i="16" s="1"/>
  <c r="M6" i="16"/>
  <c r="M8" i="16" s="1"/>
  <c r="M2" i="16" s="1"/>
  <c r="O3" i="16"/>
  <c r="Q3" i="16" s="1"/>
  <c r="P2" i="16"/>
  <c r="I2" i="16"/>
  <c r="O2" i="16" l="1"/>
  <c r="O6" i="16"/>
  <c r="Q6" i="16" l="1"/>
  <c r="Q8" i="16" s="1"/>
  <c r="Q2" i="16" s="1"/>
  <c r="O8" i="16"/>
  <c r="M26" i="14" l="1"/>
  <c r="K26" i="14"/>
  <c r="I26" i="14"/>
  <c r="G26" i="14"/>
  <c r="E26" i="14"/>
  <c r="C26" i="14"/>
  <c r="O26" i="14" l="1"/>
  <c r="O24" i="14"/>
  <c r="P7" i="8" l="1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6" i="8"/>
  <c r="N12" i="8"/>
  <c r="M37" i="14" l="1"/>
  <c r="K37" i="14"/>
  <c r="J37" i="14"/>
  <c r="I37" i="14"/>
  <c r="H37" i="14"/>
  <c r="G37" i="14"/>
  <c r="F37" i="14"/>
  <c r="E37" i="14"/>
  <c r="D37" i="14"/>
  <c r="C37" i="14"/>
  <c r="B37" i="14"/>
  <c r="L36" i="14"/>
  <c r="L37" i="14" s="1"/>
  <c r="C36" i="14"/>
  <c r="N36" i="14" s="1"/>
  <c r="N35" i="14"/>
  <c r="N34" i="14"/>
  <c r="N33" i="14"/>
  <c r="N32" i="14"/>
  <c r="L31" i="14"/>
  <c r="N31" i="14" s="1"/>
  <c r="N30" i="14"/>
  <c r="N29" i="14"/>
  <c r="N37" i="14"/>
  <c r="M17" i="14"/>
  <c r="K17" i="14"/>
  <c r="J17" i="14"/>
  <c r="I17" i="14"/>
  <c r="H17" i="14"/>
  <c r="G17" i="14"/>
  <c r="F17" i="14"/>
  <c r="E17" i="14"/>
  <c r="D17" i="14"/>
  <c r="C17" i="14"/>
  <c r="B17" i="14"/>
  <c r="N16" i="14"/>
  <c r="N15" i="14"/>
  <c r="N14" i="14"/>
  <c r="N13" i="14"/>
  <c r="N12" i="14"/>
  <c r="N11" i="14"/>
  <c r="L11" i="14"/>
  <c r="L17" i="14" s="1"/>
  <c r="O8" i="14"/>
  <c r="O2" i="14" s="1"/>
  <c r="M8" i="14"/>
  <c r="L8" i="14"/>
  <c r="K8" i="14"/>
  <c r="K2" i="14" s="1"/>
  <c r="J8" i="14"/>
  <c r="I8" i="14"/>
  <c r="H8" i="14"/>
  <c r="G8" i="14"/>
  <c r="G2" i="14" s="1"/>
  <c r="F8" i="14"/>
  <c r="E8" i="14"/>
  <c r="D8" i="14"/>
  <c r="C8" i="14"/>
  <c r="C2" i="14" s="1"/>
  <c r="B8" i="14"/>
  <c r="N7" i="14"/>
  <c r="P7" i="14" s="1"/>
  <c r="P6" i="14"/>
  <c r="P8" i="14" s="1"/>
  <c r="N6" i="14"/>
  <c r="N8" i="14" s="1"/>
  <c r="L6" i="14"/>
  <c r="N3" i="14"/>
  <c r="P3" i="14" s="1"/>
  <c r="M2" i="14"/>
  <c r="L2" i="14"/>
  <c r="J2" i="14"/>
  <c r="I2" i="14"/>
  <c r="H2" i="14"/>
  <c r="F2" i="14"/>
  <c r="E2" i="14"/>
  <c r="D2" i="14"/>
  <c r="B2" i="14"/>
  <c r="N17" i="14" l="1"/>
  <c r="N2" i="14"/>
  <c r="P2" i="14" s="1"/>
  <c r="M8" i="15" l="1"/>
  <c r="O10" i="15" l="1"/>
  <c r="L10" i="15"/>
  <c r="L2" i="15" s="1"/>
  <c r="K10" i="15"/>
  <c r="K2" i="15" s="1"/>
  <c r="J10" i="15"/>
  <c r="I10" i="15"/>
  <c r="I2" i="15" s="1"/>
  <c r="H10" i="15"/>
  <c r="G10" i="15"/>
  <c r="G2" i="15" s="1"/>
  <c r="F10" i="15"/>
  <c r="E10" i="15"/>
  <c r="E2" i="15" s="1"/>
  <c r="D10" i="15"/>
  <c r="C10" i="15"/>
  <c r="B10" i="15"/>
  <c r="N8" i="15"/>
  <c r="P8" i="15" s="1"/>
  <c r="N7" i="15"/>
  <c r="P7" i="15" s="1"/>
  <c r="M6" i="15"/>
  <c r="M10" i="15" s="1"/>
  <c r="M2" i="15" s="1"/>
  <c r="O2" i="15"/>
  <c r="J2" i="15"/>
  <c r="H2" i="15"/>
  <c r="D2" i="15"/>
  <c r="C2" i="15"/>
  <c r="B2" i="15"/>
  <c r="N6" i="15" l="1"/>
  <c r="N2" i="15"/>
  <c r="N10" i="15" l="1"/>
  <c r="P6" i="15"/>
  <c r="P10" i="15" s="1"/>
  <c r="P2" i="15" s="1"/>
  <c r="G6" i="5" l="1"/>
  <c r="E6" i="5"/>
  <c r="E5" i="6"/>
  <c r="D5" i="6"/>
  <c r="E12" i="6"/>
  <c r="D12" i="6"/>
  <c r="F11" i="6"/>
  <c r="D6" i="6"/>
  <c r="C6" i="6"/>
  <c r="C8" i="6" s="1"/>
  <c r="F10" i="6"/>
  <c r="G29" i="13"/>
  <c r="T22" i="13" l="1"/>
  <c r="U23" i="13"/>
  <c r="U24" i="13"/>
  <c r="U25" i="13"/>
  <c r="U26" i="13"/>
  <c r="U27" i="13"/>
  <c r="U22" i="13"/>
  <c r="T28" i="13"/>
  <c r="T23" i="13"/>
  <c r="G24" i="13"/>
  <c r="G25" i="13"/>
  <c r="G26" i="13"/>
  <c r="G27" i="13"/>
  <c r="G28" i="13"/>
  <c r="G23" i="13"/>
  <c r="U28" i="13" l="1"/>
  <c r="S28" i="13"/>
  <c r="M18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3" i="13"/>
  <c r="L18" i="13" l="1"/>
  <c r="K20" i="13" l="1"/>
  <c r="K18" i="13"/>
  <c r="I35" i="13"/>
  <c r="G35" i="13"/>
  <c r="G30" i="13"/>
  <c r="I29" i="13"/>
  <c r="I30" i="13" s="1"/>
  <c r="I26" i="13"/>
  <c r="I18" i="13"/>
  <c r="G18" i="13"/>
  <c r="C37" i="11"/>
  <c r="E37" i="11"/>
  <c r="E38" i="11" s="1"/>
  <c r="C17" i="11"/>
  <c r="C26" i="11"/>
  <c r="C15" i="11"/>
  <c r="C16" i="11"/>
  <c r="C22" i="11"/>
  <c r="C21" i="11"/>
  <c r="C24" i="11" s="1"/>
  <c r="C14" i="11"/>
  <c r="C12" i="11"/>
  <c r="C11" i="11"/>
  <c r="C10" i="11"/>
  <c r="C9" i="11"/>
  <c r="C5" i="11"/>
  <c r="M51" i="10" l="1"/>
  <c r="S45" i="10"/>
  <c r="S47" i="10"/>
  <c r="G52" i="10"/>
  <c r="Q52" i="10"/>
  <c r="P52" i="10"/>
  <c r="P48" i="10"/>
  <c r="Q48" i="10"/>
  <c r="S46" i="10"/>
  <c r="E10" i="12" l="1"/>
  <c r="D10" i="12"/>
  <c r="F10" i="12" l="1"/>
  <c r="F5" i="12"/>
  <c r="F6" i="12"/>
  <c r="F7" i="12"/>
  <c r="F8" i="12"/>
  <c r="F9" i="12"/>
  <c r="F4" i="12"/>
  <c r="C28" i="11" l="1"/>
  <c r="C34" i="11" s="1"/>
  <c r="C38" i="11" s="1"/>
  <c r="E17" i="11"/>
  <c r="E12" i="11"/>
  <c r="E7" i="11"/>
  <c r="E19" i="11" s="1"/>
  <c r="E22" i="11" s="1"/>
  <c r="E24" i="11" s="1"/>
  <c r="E28" i="11" s="1"/>
  <c r="C7" i="11"/>
  <c r="C19" i="11" s="1"/>
  <c r="S44" i="10"/>
  <c r="Q53" i="10"/>
  <c r="Q51" i="10"/>
  <c r="S35" i="10"/>
  <c r="S28" i="10"/>
  <c r="S27" i="10"/>
  <c r="Q40" i="10"/>
  <c r="Q39" i="10"/>
  <c r="Q41" i="10" s="1"/>
  <c r="Q36" i="10"/>
  <c r="Q29" i="10" l="1"/>
  <c r="M39" i="10" l="1"/>
  <c r="S34" i="10"/>
  <c r="S33" i="10"/>
  <c r="S32" i="10"/>
  <c r="O28" i="10"/>
  <c r="O40" i="10" s="1"/>
  <c r="O52" i="10" s="1"/>
  <c r="I28" i="10"/>
  <c r="I40" i="10" s="1"/>
  <c r="I52" i="10" s="1"/>
  <c r="G28" i="10"/>
  <c r="G40" i="10" s="1"/>
  <c r="O27" i="10"/>
  <c r="O39" i="10" s="1"/>
  <c r="G27" i="10"/>
  <c r="G39" i="10" s="1"/>
  <c r="O24" i="10"/>
  <c r="G24" i="10"/>
  <c r="S23" i="10"/>
  <c r="S22" i="10"/>
  <c r="S21" i="10"/>
  <c r="O18" i="10"/>
  <c r="M18" i="10"/>
  <c r="M24" i="10" s="1"/>
  <c r="G18" i="10"/>
  <c r="E18" i="10"/>
  <c r="E24" i="10" s="1"/>
  <c r="M17" i="10"/>
  <c r="M40" i="10" s="1"/>
  <c r="M52" i="10" s="1"/>
  <c r="K17" i="10"/>
  <c r="K28" i="10" s="1"/>
  <c r="K40" i="10" s="1"/>
  <c r="K52" i="10" s="1"/>
  <c r="I17" i="10"/>
  <c r="G17" i="10"/>
  <c r="E17" i="10"/>
  <c r="E28" i="10" s="1"/>
  <c r="E40" i="10" s="1"/>
  <c r="E52" i="10" s="1"/>
  <c r="C17" i="10"/>
  <c r="C28" i="10" s="1"/>
  <c r="C40" i="10" s="1"/>
  <c r="C52" i="10" s="1"/>
  <c r="M16" i="10"/>
  <c r="K16" i="10"/>
  <c r="K18" i="10" s="1"/>
  <c r="K24" i="10" s="1"/>
  <c r="I16" i="10"/>
  <c r="I18" i="10" s="1"/>
  <c r="I24" i="10" s="1"/>
  <c r="G16" i="10"/>
  <c r="E16" i="10"/>
  <c r="E27" i="10" s="1"/>
  <c r="C16" i="10"/>
  <c r="C18" i="10" s="1"/>
  <c r="C24" i="10" s="1"/>
  <c r="K13" i="10"/>
  <c r="I13" i="10"/>
  <c r="C13" i="10"/>
  <c r="S12" i="10"/>
  <c r="S11" i="10"/>
  <c r="O8" i="10"/>
  <c r="O13" i="10" s="1"/>
  <c r="M8" i="10"/>
  <c r="M13" i="10" s="1"/>
  <c r="K8" i="10"/>
  <c r="I8" i="10"/>
  <c r="G8" i="10"/>
  <c r="G13" i="10" s="1"/>
  <c r="E8" i="10"/>
  <c r="E13" i="10" s="1"/>
  <c r="C8" i="10"/>
  <c r="S7" i="10"/>
  <c r="S17" i="10" s="1"/>
  <c r="S6" i="10"/>
  <c r="S16" i="10" s="1"/>
  <c r="I46" i="9"/>
  <c r="I45" i="9"/>
  <c r="I42" i="9"/>
  <c r="E42" i="9"/>
  <c r="G46" i="9"/>
  <c r="C46" i="9"/>
  <c r="E47" i="9"/>
  <c r="G42" i="9"/>
  <c r="G45" i="9" s="1"/>
  <c r="G47" i="9" s="1"/>
  <c r="C45" i="9"/>
  <c r="C47" i="9" s="1"/>
  <c r="I41" i="9"/>
  <c r="I30" i="9"/>
  <c r="G26" i="9"/>
  <c r="G35" i="9" s="1"/>
  <c r="C26" i="9"/>
  <c r="C35" i="9" s="1"/>
  <c r="G25" i="9"/>
  <c r="G27" i="9" s="1"/>
  <c r="G31" i="9" s="1"/>
  <c r="G34" i="9" s="1"/>
  <c r="E25" i="9"/>
  <c r="I21" i="9"/>
  <c r="G18" i="9"/>
  <c r="G22" i="9" s="1"/>
  <c r="E17" i="9"/>
  <c r="E18" i="9" s="1"/>
  <c r="E22" i="9" s="1"/>
  <c r="E16" i="9"/>
  <c r="C16" i="9"/>
  <c r="I16" i="9" s="1"/>
  <c r="C13" i="9"/>
  <c r="I12" i="9"/>
  <c r="I11" i="9"/>
  <c r="I10" i="9"/>
  <c r="G7" i="9"/>
  <c r="G13" i="9" s="1"/>
  <c r="E7" i="9"/>
  <c r="E13" i="9" s="1"/>
  <c r="C7" i="9"/>
  <c r="I6" i="9"/>
  <c r="I5" i="9"/>
  <c r="I7" i="9" s="1"/>
  <c r="I13" i="9" s="1"/>
  <c r="O29" i="8"/>
  <c r="M29" i="8"/>
  <c r="M2" i="8" s="1"/>
  <c r="K29" i="8"/>
  <c r="J29" i="8"/>
  <c r="I29" i="8"/>
  <c r="I2" i="8" s="1"/>
  <c r="H29" i="8"/>
  <c r="H2" i="8" s="1"/>
  <c r="G29" i="8"/>
  <c r="G2" i="8" s="1"/>
  <c r="F29" i="8"/>
  <c r="E29" i="8"/>
  <c r="E2" i="8" s="1"/>
  <c r="D29" i="8"/>
  <c r="D2" i="8" s="1"/>
  <c r="C29" i="8"/>
  <c r="C2" i="8" s="1"/>
  <c r="B29" i="8"/>
  <c r="N27" i="8"/>
  <c r="N26" i="8"/>
  <c r="N25" i="8"/>
  <c r="N24" i="8"/>
  <c r="N23" i="8"/>
  <c r="N22" i="8"/>
  <c r="N21" i="8"/>
  <c r="N20" i="8"/>
  <c r="N19" i="8"/>
  <c r="L18" i="8"/>
  <c r="L29" i="8" s="1"/>
  <c r="L2" i="8" s="1"/>
  <c r="N17" i="8"/>
  <c r="N16" i="8"/>
  <c r="N15" i="8"/>
  <c r="N14" i="8"/>
  <c r="N13" i="8"/>
  <c r="N11" i="8"/>
  <c r="N10" i="8"/>
  <c r="N9" i="8"/>
  <c r="N8" i="8"/>
  <c r="N7" i="8"/>
  <c r="N6" i="8"/>
  <c r="K2" i="8"/>
  <c r="J2" i="8"/>
  <c r="F2" i="8"/>
  <c r="B2" i="8"/>
  <c r="O2" i="8" l="1"/>
  <c r="S40" i="10"/>
  <c r="S52" i="10" s="1"/>
  <c r="M29" i="10"/>
  <c r="M36" i="10" s="1"/>
  <c r="S18" i="10"/>
  <c r="S24" i="10" s="1"/>
  <c r="E39" i="10"/>
  <c r="E29" i="10"/>
  <c r="E36" i="10" s="1"/>
  <c r="G41" i="10"/>
  <c r="G48" i="10" s="1"/>
  <c r="G51" i="10"/>
  <c r="G53" i="10" s="1"/>
  <c r="O41" i="10"/>
  <c r="O48" i="10" s="1"/>
  <c r="O51" i="10"/>
  <c r="O53" i="10" s="1"/>
  <c r="I27" i="10"/>
  <c r="S8" i="10"/>
  <c r="S13" i="10" s="1"/>
  <c r="C27" i="10"/>
  <c r="K27" i="10"/>
  <c r="G29" i="10"/>
  <c r="G36" i="10" s="1"/>
  <c r="O29" i="10"/>
  <c r="O36" i="10" s="1"/>
  <c r="I47" i="9"/>
  <c r="G36" i="9"/>
  <c r="E34" i="9"/>
  <c r="C18" i="9"/>
  <c r="C22" i="9" s="1"/>
  <c r="C25" i="9" s="1"/>
  <c r="E26" i="9"/>
  <c r="E35" i="9" s="1"/>
  <c r="I17" i="9"/>
  <c r="I18" i="9" s="1"/>
  <c r="I22" i="9" s="1"/>
  <c r="N18" i="8"/>
  <c r="K39" i="10" l="1"/>
  <c r="K29" i="10"/>
  <c r="K36" i="10" s="1"/>
  <c r="C39" i="10"/>
  <c r="C29" i="10"/>
  <c r="C36" i="10" s="1"/>
  <c r="E41" i="10"/>
  <c r="E48" i="10" s="1"/>
  <c r="E51" i="10"/>
  <c r="E53" i="10" s="1"/>
  <c r="M41" i="10"/>
  <c r="M48" i="10" s="1"/>
  <c r="M53" i="10"/>
  <c r="I39" i="10"/>
  <c r="I29" i="10"/>
  <c r="I36" i="10" s="1"/>
  <c r="S29" i="10"/>
  <c r="S36" i="10" s="1"/>
  <c r="S39" i="10"/>
  <c r="C27" i="9"/>
  <c r="C31" i="9" s="1"/>
  <c r="C34" i="9" s="1"/>
  <c r="C36" i="9" s="1"/>
  <c r="I25" i="9"/>
  <c r="E27" i="9"/>
  <c r="E31" i="9" s="1"/>
  <c r="I26" i="9"/>
  <c r="I35" i="9" s="1"/>
  <c r="E36" i="9"/>
  <c r="P29" i="8"/>
  <c r="P2" i="8" s="1"/>
  <c r="N29" i="8"/>
  <c r="N2" i="8" s="1"/>
  <c r="S51" i="10" l="1"/>
  <c r="S53" i="10" s="1"/>
  <c r="S55" i="10" s="1"/>
  <c r="S41" i="10"/>
  <c r="S48" i="10" s="1"/>
  <c r="C51" i="10"/>
  <c r="C53" i="10" s="1"/>
  <c r="C41" i="10"/>
  <c r="C48" i="10" s="1"/>
  <c r="I51" i="10"/>
  <c r="I53" i="10" s="1"/>
  <c r="I41" i="10"/>
  <c r="I48" i="10" s="1"/>
  <c r="K41" i="10"/>
  <c r="K48" i="10" s="1"/>
  <c r="K51" i="10"/>
  <c r="K53" i="10" s="1"/>
  <c r="I34" i="9"/>
  <c r="I36" i="9" s="1"/>
  <c r="I27" i="9"/>
  <c r="I31" i="9" s="1"/>
  <c r="P12" i="7"/>
  <c r="O29" i="7"/>
  <c r="K29" i="7"/>
  <c r="J29" i="7"/>
  <c r="I29" i="7"/>
  <c r="I2" i="7" s="1"/>
  <c r="H29" i="7"/>
  <c r="G29" i="7"/>
  <c r="E29" i="7"/>
  <c r="E2" i="7" s="1"/>
  <c r="B29" i="7"/>
  <c r="M27" i="7"/>
  <c r="L27" i="7"/>
  <c r="F27" i="7"/>
  <c r="D27" i="7"/>
  <c r="N27" i="7" s="1"/>
  <c r="P27" i="7" s="1"/>
  <c r="C27" i="7"/>
  <c r="N26" i="7"/>
  <c r="P26" i="7" s="1"/>
  <c r="M25" i="7"/>
  <c r="L25" i="7"/>
  <c r="D25" i="7"/>
  <c r="N25" i="7" s="1"/>
  <c r="P25" i="7" s="1"/>
  <c r="M24" i="7"/>
  <c r="L24" i="7"/>
  <c r="N24" i="7" s="1"/>
  <c r="P24" i="7" s="1"/>
  <c r="M23" i="7"/>
  <c r="M29" i="7" s="1"/>
  <c r="M2" i="7" s="1"/>
  <c r="L23" i="7"/>
  <c r="C23" i="7"/>
  <c r="N23" i="7" s="1"/>
  <c r="P23" i="7" s="1"/>
  <c r="N22" i="7"/>
  <c r="P22" i="7" s="1"/>
  <c r="L22" i="7"/>
  <c r="N21" i="7"/>
  <c r="P21" i="7" s="1"/>
  <c r="P20" i="7"/>
  <c r="N20" i="7"/>
  <c r="D20" i="7"/>
  <c r="N19" i="7"/>
  <c r="P19" i="7" s="1"/>
  <c r="F19" i="7"/>
  <c r="D19" i="7"/>
  <c r="C19" i="7"/>
  <c r="P18" i="7"/>
  <c r="N18" i="7"/>
  <c r="L18" i="7"/>
  <c r="M17" i="7"/>
  <c r="L17" i="7"/>
  <c r="L29" i="7" s="1"/>
  <c r="L2" i="7" s="1"/>
  <c r="D17" i="7"/>
  <c r="C17" i="7"/>
  <c r="C29" i="7" s="1"/>
  <c r="C2" i="7" s="1"/>
  <c r="P16" i="7"/>
  <c r="N16" i="7"/>
  <c r="N15" i="7"/>
  <c r="P15" i="7" s="1"/>
  <c r="D15" i="7"/>
  <c r="N14" i="7"/>
  <c r="P14" i="7" s="1"/>
  <c r="P13" i="7"/>
  <c r="N13" i="7"/>
  <c r="F12" i="7"/>
  <c r="F29" i="7" s="1"/>
  <c r="F2" i="7" s="1"/>
  <c r="P11" i="7"/>
  <c r="N11" i="7"/>
  <c r="N10" i="7"/>
  <c r="P10" i="7" s="1"/>
  <c r="P9" i="7"/>
  <c r="N9" i="7"/>
  <c r="N8" i="7"/>
  <c r="P8" i="7" s="1"/>
  <c r="M7" i="7"/>
  <c r="D7" i="7"/>
  <c r="D29" i="7" s="1"/>
  <c r="D2" i="7" s="1"/>
  <c r="P6" i="7"/>
  <c r="N6" i="7"/>
  <c r="O2" i="7"/>
  <c r="K2" i="7"/>
  <c r="J2" i="7"/>
  <c r="H2" i="7"/>
  <c r="G2" i="7"/>
  <c r="B2" i="7"/>
  <c r="N17" i="7" l="1"/>
  <c r="P17" i="7" s="1"/>
  <c r="N12" i="7"/>
  <c r="N7" i="7"/>
  <c r="P7" i="7" s="1"/>
  <c r="P29" i="7" s="1"/>
  <c r="P2" i="7" s="1"/>
  <c r="F5" i="6"/>
  <c r="F7" i="6"/>
  <c r="F4" i="6"/>
  <c r="E4" i="6" l="1"/>
  <c r="F6" i="6"/>
  <c r="F8" i="6" s="1"/>
  <c r="N29" i="7"/>
  <c r="N2" i="7" s="1"/>
  <c r="G8" i="5"/>
  <c r="G7" i="5"/>
  <c r="C9" i="5"/>
  <c r="I9" i="5" s="1"/>
  <c r="C8" i="5"/>
  <c r="I8" i="5" s="1"/>
  <c r="C7" i="5"/>
  <c r="I7" i="5" s="1"/>
  <c r="C6" i="5"/>
  <c r="I6" i="5" s="1"/>
  <c r="K6" i="5" s="1"/>
  <c r="E6" i="6" l="1"/>
  <c r="G7" i="4"/>
  <c r="H7" i="4"/>
  <c r="F7" i="4"/>
  <c r="U49" i="3" l="1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C46" i="3"/>
  <c r="U44" i="3" l="1"/>
  <c r="U43" i="3"/>
  <c r="U42" i="3"/>
  <c r="U40" i="3"/>
  <c r="M30" i="3"/>
  <c r="I30" i="3"/>
  <c r="G30" i="3"/>
  <c r="E30" i="3"/>
  <c r="U30" i="3" s="1"/>
  <c r="U29" i="3"/>
  <c r="U28" i="3"/>
  <c r="I27" i="3"/>
  <c r="U27" i="3" s="1"/>
  <c r="I26" i="3"/>
  <c r="G26" i="3"/>
  <c r="U26" i="3" s="1"/>
  <c r="U25" i="3"/>
  <c r="I24" i="3"/>
  <c r="E24" i="3"/>
  <c r="S20" i="3"/>
  <c r="S35" i="3" s="1"/>
  <c r="Q20" i="3"/>
  <c r="Q35" i="3" s="1"/>
  <c r="O20" i="3"/>
  <c r="O35" i="3" s="1"/>
  <c r="K20" i="3"/>
  <c r="K35" i="3" s="1"/>
  <c r="G20" i="3"/>
  <c r="G35" i="3" s="1"/>
  <c r="C20" i="3"/>
  <c r="C35" i="3" s="1"/>
  <c r="S19" i="3"/>
  <c r="S34" i="3" s="1"/>
  <c r="Q19" i="3"/>
  <c r="Q34" i="3" s="1"/>
  <c r="O19" i="3"/>
  <c r="O34" i="3" s="1"/>
  <c r="K19" i="3"/>
  <c r="K34" i="3" s="1"/>
  <c r="K36" i="3" s="1"/>
  <c r="E19" i="3"/>
  <c r="E34" i="3" s="1"/>
  <c r="C19" i="3"/>
  <c r="C34" i="3" s="1"/>
  <c r="S16" i="3"/>
  <c r="M15" i="3"/>
  <c r="M20" i="3" s="1"/>
  <c r="M35" i="3" s="1"/>
  <c r="I15" i="3"/>
  <c r="E15" i="3"/>
  <c r="U15" i="3" s="1"/>
  <c r="U20" i="3" s="1"/>
  <c r="U14" i="3"/>
  <c r="U13" i="3"/>
  <c r="I12" i="3"/>
  <c r="U12" i="3" s="1"/>
  <c r="U11" i="3"/>
  <c r="M10" i="3"/>
  <c r="M19" i="3" s="1"/>
  <c r="I10" i="3"/>
  <c r="G10" i="3"/>
  <c r="U10" i="3" s="1"/>
  <c r="U7" i="3"/>
  <c r="S7" i="3"/>
  <c r="Q7" i="3"/>
  <c r="Q16" i="3" s="1"/>
  <c r="O7" i="3"/>
  <c r="O16" i="3" s="1"/>
  <c r="M7" i="3"/>
  <c r="K7" i="3"/>
  <c r="K16" i="3" s="1"/>
  <c r="G7" i="3"/>
  <c r="E7" i="3"/>
  <c r="C7" i="3"/>
  <c r="C16" i="3" s="1"/>
  <c r="I6" i="3"/>
  <c r="I5" i="3"/>
  <c r="Q51" i="3" l="1"/>
  <c r="K51" i="3"/>
  <c r="U45" i="3"/>
  <c r="G16" i="3"/>
  <c r="I19" i="3"/>
  <c r="I34" i="3" s="1"/>
  <c r="I36" i="3" s="1"/>
  <c r="I20" i="3"/>
  <c r="I35" i="3" s="1"/>
  <c r="G19" i="3"/>
  <c r="G21" i="3" s="1"/>
  <c r="G31" i="3" s="1"/>
  <c r="U24" i="3"/>
  <c r="G51" i="3"/>
  <c r="U39" i="3"/>
  <c r="U41" i="3"/>
  <c r="U46" i="3" s="1"/>
  <c r="U19" i="3"/>
  <c r="U16" i="3"/>
  <c r="C36" i="3"/>
  <c r="C51" i="3" s="1"/>
  <c r="M34" i="3"/>
  <c r="M36" i="3" s="1"/>
  <c r="M51" i="3" s="1"/>
  <c r="M21" i="3"/>
  <c r="M31" i="3" s="1"/>
  <c r="Q36" i="3"/>
  <c r="I21" i="3"/>
  <c r="I31" i="3" s="1"/>
  <c r="O36" i="3"/>
  <c r="O51" i="3" s="1"/>
  <c r="S36" i="3"/>
  <c r="S51" i="3" s="1"/>
  <c r="O21" i="3"/>
  <c r="O31" i="3" s="1"/>
  <c r="G34" i="3"/>
  <c r="G36" i="3" s="1"/>
  <c r="E16" i="3"/>
  <c r="E20" i="3"/>
  <c r="E35" i="3" s="1"/>
  <c r="E36" i="3" s="1"/>
  <c r="I7" i="3"/>
  <c r="I16" i="3" s="1"/>
  <c r="M16" i="3"/>
  <c r="C21" i="3"/>
  <c r="C31" i="3" s="1"/>
  <c r="K21" i="3"/>
  <c r="K31" i="3" s="1"/>
  <c r="S21" i="3"/>
  <c r="S31" i="3" s="1"/>
  <c r="Q21" i="3"/>
  <c r="Q31" i="3" s="1"/>
  <c r="I51" i="3" l="1"/>
  <c r="U50" i="3"/>
  <c r="E51" i="3"/>
  <c r="E21" i="3"/>
  <c r="E31" i="3" s="1"/>
  <c r="U35" i="3"/>
  <c r="U34" i="3"/>
  <c r="U36" i="3" s="1"/>
  <c r="U21" i="3"/>
  <c r="U31" i="3" s="1"/>
  <c r="U51" i="3" l="1"/>
</calcChain>
</file>

<file path=xl/sharedStrings.xml><?xml version="1.0" encoding="utf-8"?>
<sst xmlns="http://schemas.openxmlformats.org/spreadsheetml/2006/main" count="528" uniqueCount="228">
  <si>
    <t>Total</t>
  </si>
  <si>
    <t>Beneficios sociales</t>
  </si>
  <si>
    <t>Al 31 de diciembre del 2019</t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</si>
  <si>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</si>
  <si>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</si>
  <si>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</si>
  <si>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</si>
  <si>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</si>
  <si>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</si>
  <si>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</si>
  <si>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</si>
  <si>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</si>
  <si>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</si>
  <si>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</si>
  <si>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</si>
  <si>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Descripción</t>
  </si>
  <si>
    <t>Terrenos</t>
  </si>
  <si>
    <t>Edificios e instalaciones</t>
  </si>
  <si>
    <t>Muebles, enseres y equipos de oficina</t>
  </si>
  <si>
    <t>Equipos de telecomunicaciones, computación y software</t>
  </si>
  <si>
    <t>Vehículos</t>
  </si>
  <si>
    <t>Herramientas y maquinarias</t>
  </si>
  <si>
    <t>Data center</t>
  </si>
  <si>
    <t>Construcciones en curso</t>
  </si>
  <si>
    <t>y equipos de oficina</t>
  </si>
  <si>
    <t>telecomunicaciones</t>
  </si>
  <si>
    <t>maquinaria</t>
  </si>
  <si>
    <t>Guayaquil</t>
  </si>
  <si>
    <t>Quito</t>
  </si>
  <si>
    <t>en curso</t>
  </si>
  <si>
    <t>Al 1 de enero del 2017</t>
  </si>
  <si>
    <t>Costo histórico</t>
  </si>
  <si>
    <t>Depreciación acumulada</t>
  </si>
  <si>
    <t>Valor en libros</t>
  </si>
  <si>
    <t>Movimiento 2017</t>
  </si>
  <si>
    <t>Adiciones</t>
  </si>
  <si>
    <t>Ventas</t>
  </si>
  <si>
    <t>Reclasificación</t>
  </si>
  <si>
    <t>Ajustes</t>
  </si>
  <si>
    <t>Depreciación por ventas</t>
  </si>
  <si>
    <t>Depreciación</t>
  </si>
  <si>
    <t>Valor en libros al 31 de diceimbre del 2017</t>
  </si>
  <si>
    <t>Movimiento 2018</t>
  </si>
  <si>
    <t>Transferencias a inventario</t>
  </si>
  <si>
    <t>Valor en libros al 31 de diceimbre del 2018</t>
  </si>
  <si>
    <t>Al 31 de diciembre del 2018</t>
  </si>
  <si>
    <t>Al 1 de enero del 2018</t>
  </si>
  <si>
    <t>Movimiento 2019</t>
  </si>
  <si>
    <t>Isle View Management INC (1)</t>
  </si>
  <si>
    <t>Charleroi Investments S.L. (2)</t>
  </si>
  <si>
    <t>OTRAS CUENTAS POR PAGAR, LARGO PLAZO</t>
  </si>
  <si>
    <t xml:space="preserve">Saldos al </t>
  </si>
  <si>
    <t>Pagos y/o</t>
  </si>
  <si>
    <t>inicio</t>
  </si>
  <si>
    <t>Incrementos</t>
  </si>
  <si>
    <t>utilizaciones</t>
  </si>
  <si>
    <t>final</t>
  </si>
  <si>
    <t>Año 2019</t>
  </si>
  <si>
    <t xml:space="preserve">Provisión para jubilación patronal </t>
  </si>
  <si>
    <t xml:space="preserve">Provisión para Desahucio </t>
  </si>
  <si>
    <t>Provisión para cuenta incobrables</t>
  </si>
  <si>
    <t>Año 2018</t>
  </si>
  <si>
    <t>Telconet</t>
  </si>
  <si>
    <t>Saldo inicial</t>
  </si>
  <si>
    <t>Pagos</t>
  </si>
  <si>
    <t>Saldo final</t>
  </si>
  <si>
    <t>PARTICIPACION LABORAL</t>
  </si>
  <si>
    <t>APORTES AL IESS</t>
  </si>
  <si>
    <t>BENEFICIOS SOCIALES</t>
  </si>
  <si>
    <t>revisar la formula del balance general, esta mal hecha</t>
  </si>
  <si>
    <t>Diferencia</t>
  </si>
  <si>
    <t>Según Consolidado</t>
  </si>
  <si>
    <t>Concepto</t>
  </si>
  <si>
    <t>Austes</t>
  </si>
  <si>
    <t>Saldos
Consolidados
al 31.12.2019</t>
  </si>
  <si>
    <t>Compra de servicio de respaldo de internet</t>
  </si>
  <si>
    <t>Remuneraciones y beneficios a empleados</t>
  </si>
  <si>
    <t>Compra de servicios portadores</t>
  </si>
  <si>
    <t>Compra de materiales y repuestos</t>
  </si>
  <si>
    <t>Compra de equipos para la venta</t>
  </si>
  <si>
    <t>Costo Proyecto Telefonica</t>
  </si>
  <si>
    <t>Depreciaciones y amortizaciones</t>
  </si>
  <si>
    <t>Instalacion de Materiales en clientes</t>
  </si>
  <si>
    <t>Provisiones Cuentas Incobrables</t>
  </si>
  <si>
    <t>Arriendos</t>
  </si>
  <si>
    <t>Gastos de viaje y gestion</t>
  </si>
  <si>
    <t>Honorarios profesionales</t>
  </si>
  <si>
    <t>Mantemiento y reparaciones</t>
  </si>
  <si>
    <t>Otros Ipuestos y contribuciones</t>
  </si>
  <si>
    <t>Servicios de Publicidad</t>
  </si>
  <si>
    <t>Seguridad</t>
  </si>
  <si>
    <t>Seguros</t>
  </si>
  <si>
    <t>Servicios basicos</t>
  </si>
  <si>
    <t>Suministros de Oficina</t>
  </si>
  <si>
    <t xml:space="preserve">Movilizacion </t>
  </si>
  <si>
    <t>Amortizacion derecho de uso NIIF</t>
  </si>
  <si>
    <t>Otros</t>
  </si>
  <si>
    <r>
      <t xml:space="preserve">Otros  </t>
    </r>
    <r>
      <rPr>
        <u/>
        <sz val="9"/>
        <rFont val="Arial"/>
        <family val="2"/>
      </rPr>
      <t>menores</t>
    </r>
  </si>
  <si>
    <t>Edificios</t>
  </si>
  <si>
    <t>Al 1 de enero del 2016</t>
  </si>
  <si>
    <t>Costo</t>
  </si>
  <si>
    <t>Movimiento 2016</t>
  </si>
  <si>
    <t>Ventas/bajas</t>
  </si>
  <si>
    <t>Valor en libros al 31 de diciembre del 2016</t>
  </si>
  <si>
    <t>Al 1 de enero de 2017</t>
  </si>
  <si>
    <t>Valor en libros al 31 de diciembre del 2017</t>
  </si>
  <si>
    <t>Valor en libros al 31 de diciembre del 2018</t>
  </si>
  <si>
    <t>Derecho</t>
  </si>
  <si>
    <t>Capacity IRU</t>
  </si>
  <si>
    <t xml:space="preserve"> de uso cable</t>
  </si>
  <si>
    <t xml:space="preserve">American cyber </t>
  </si>
  <si>
    <t>Cable Andino Inc (1)</t>
  </si>
  <si>
    <t>Amortización acumulada</t>
  </si>
  <si>
    <t>Valor en libros al 1 de enero del 2016</t>
  </si>
  <si>
    <t>Movimento 2016</t>
  </si>
  <si>
    <t xml:space="preserve">Adiciones </t>
  </si>
  <si>
    <t>Amortizaciones</t>
  </si>
  <si>
    <t>Reclasificaciones</t>
  </si>
  <si>
    <t>Valor en libros al 31 de diceimbre del 2019</t>
  </si>
  <si>
    <r>
      <rPr>
        <sz val="9"/>
        <rFont val="Arial"/>
        <family val="2"/>
      </rPr>
      <t>Licencias y</t>
    </r>
    <r>
      <rPr>
        <u/>
        <sz val="9"/>
        <rFont val="Arial"/>
        <family val="2"/>
      </rPr>
      <t xml:space="preserve"> otros</t>
    </r>
  </si>
  <si>
    <t>Panamericano (1)</t>
  </si>
  <si>
    <t>Ductos (2)</t>
  </si>
  <si>
    <t>Telefónica (3)</t>
  </si>
  <si>
    <t>optics systems (3)</t>
  </si>
  <si>
    <r>
      <rPr>
        <sz val="9"/>
        <rFont val="Arial"/>
        <family val="2"/>
      </rPr>
      <t>Capacitación</t>
    </r>
    <r>
      <rPr>
        <u/>
        <sz val="9"/>
        <rFont val="Arial"/>
        <family val="2"/>
      </rPr>
      <t xml:space="preserve"> Intcomex (4)</t>
    </r>
  </si>
  <si>
    <t>Crédito</t>
  </si>
  <si>
    <t>Mercantil</t>
  </si>
  <si>
    <t xml:space="preserve"> </t>
  </si>
  <si>
    <t>Utilidad antes de participación a trabajadores</t>
  </si>
  <si>
    <t xml:space="preserve">  Menos: Participación a trabajadores</t>
  </si>
  <si>
    <t>Utilidad antes de impuestos</t>
  </si>
  <si>
    <t xml:space="preserve">  Menos: Dividendos exentos</t>
  </si>
  <si>
    <t xml:space="preserve">  Menos: Rentas exentas</t>
  </si>
  <si>
    <t xml:space="preserve">  Más: Gastos incurridos para generar rentas exentas</t>
  </si>
  <si>
    <t xml:space="preserve">  Más: Gastos no deducibles</t>
  </si>
  <si>
    <t xml:space="preserve">  Más: Participacion a trabajadores atribuible a ingresos </t>
  </si>
  <si>
    <t xml:space="preserve">    exentos y no objeto de impuesto a la renta</t>
  </si>
  <si>
    <t>Base Imponible total</t>
  </si>
  <si>
    <t>Impuesto a la renta causado</t>
  </si>
  <si>
    <t xml:space="preserve">Anticipo mínimo de impuesto a la renta </t>
  </si>
  <si>
    <t>Impuesto a la renta por pagar</t>
  </si>
  <si>
    <t>Locales</t>
  </si>
  <si>
    <t>Del exterior</t>
  </si>
  <si>
    <t>Cable Andino Inc.</t>
  </si>
  <si>
    <t>Corpoandino</t>
  </si>
  <si>
    <t>Telsoterra</t>
  </si>
  <si>
    <t>Linkotel</t>
  </si>
  <si>
    <t>Panamá</t>
  </si>
  <si>
    <t>SUMAN</t>
  </si>
  <si>
    <t xml:space="preserve">  Menos: Deducciones adicionales</t>
  </si>
  <si>
    <t xml:space="preserve">  Mas: Generación de diferencia temporaria</t>
  </si>
  <si>
    <t xml:space="preserve">  Base gravable sujeta a tasa del 15%</t>
  </si>
  <si>
    <t xml:space="preserve">  Base gravable sujeta a tasa del 25%</t>
  </si>
  <si>
    <t xml:space="preserve">  Más: Amortización de pérdidas de anios anteriores</t>
  </si>
  <si>
    <t xml:space="preserve">  Menos</t>
  </si>
  <si>
    <t xml:space="preserve"> Crédito tributario de años anteriores</t>
  </si>
  <si>
    <t>Retenciones en la fuente efectuadas</t>
  </si>
  <si>
    <t>Impuesto a pagar (Saldo a favor)</t>
  </si>
  <si>
    <t>Relación</t>
  </si>
  <si>
    <t>Transacción</t>
  </si>
  <si>
    <t>Cuentas por cobrar relacionadas corrientes</t>
  </si>
  <si>
    <t>Megadatos S.A.</t>
  </si>
  <si>
    <t>Relacionada de accionista</t>
  </si>
  <si>
    <t>Comercial</t>
  </si>
  <si>
    <t>Bruxedkin S.A.</t>
  </si>
  <si>
    <t>Accionista común</t>
  </si>
  <si>
    <t>Servicios Telcodata S.A.</t>
  </si>
  <si>
    <t>Transcorpecuador Transire</t>
  </si>
  <si>
    <t>Tomislav Topic Granados</t>
  </si>
  <si>
    <t>Accionista</t>
  </si>
  <si>
    <t>Préstamo</t>
  </si>
  <si>
    <t>Jan Topic Feraud</t>
  </si>
  <si>
    <t>Latamfiberhome Cable C. Ltda.</t>
  </si>
  <si>
    <t>Subsidiaria</t>
  </si>
  <si>
    <t>Cable Wireless</t>
  </si>
  <si>
    <t>Cajamarca Protective Services Cía. Ltda.</t>
  </si>
  <si>
    <t>Consorcio Systor Telconet JR Electric Supply S.A.</t>
  </si>
  <si>
    <t>Security Data Seguridad en Datos y Firma Digital S.A.</t>
  </si>
  <si>
    <t>Asociada</t>
  </si>
  <si>
    <t>Telconet Colombia SAS</t>
  </si>
  <si>
    <t>Pioneer Cable Ltda.</t>
  </si>
  <si>
    <t>Iseyco C.A.</t>
  </si>
  <si>
    <t>Otros menores</t>
  </si>
  <si>
    <t>Cuentas por cobrar relacionadas no corrientes</t>
  </si>
  <si>
    <t>Cuentas por pagar relacionadas corrientes</t>
  </si>
  <si>
    <t>Latamfiberhome Cable C. Ltda</t>
  </si>
  <si>
    <t>Telcodata S.A.</t>
  </si>
  <si>
    <t>Cuentas por pagar relacionadas no corrientes</t>
  </si>
  <si>
    <t>Tomislav Topic (1)</t>
  </si>
  <si>
    <t>Cable Andino</t>
  </si>
  <si>
    <t>Megadatos</t>
  </si>
  <si>
    <t>TOTAL</t>
  </si>
  <si>
    <t>Caja</t>
  </si>
  <si>
    <t>Bancos locales</t>
  </si>
  <si>
    <t>Bancos del exterior</t>
  </si>
  <si>
    <t>Clientes</t>
  </si>
  <si>
    <t>Provision por deterioro</t>
  </si>
  <si>
    <t>Por vencer</t>
  </si>
  <si>
    <t>0 - 30 dias</t>
  </si>
  <si>
    <t>31 - 60 dias</t>
  </si>
  <si>
    <t>61 - 90 dias</t>
  </si>
  <si>
    <t>91 - 120 dias</t>
  </si>
  <si>
    <t>mas de 120 dias</t>
  </si>
  <si>
    <t>Educativo</t>
  </si>
  <si>
    <t>Financiero</t>
  </si>
  <si>
    <t>Gobierno</t>
  </si>
  <si>
    <t>Industria</t>
  </si>
  <si>
    <t>ISP / Carrier</t>
  </si>
  <si>
    <t>Personal</t>
  </si>
  <si>
    <t>Servicio</t>
  </si>
  <si>
    <t xml:space="preserve">Por </t>
  </si>
  <si>
    <t>Vencido</t>
  </si>
  <si>
    <t>Vencer</t>
  </si>
  <si>
    <t>1-30 días</t>
  </si>
  <si>
    <t>31-90 días</t>
  </si>
  <si>
    <t>91 a 180 días</t>
  </si>
  <si>
    <t>181-360 días</t>
  </si>
  <si>
    <t>360 a más</t>
  </si>
  <si>
    <t>Ratio esperado de pérdida crediticia</t>
  </si>
  <si>
    <t>Cuentas por cobrar comerciales</t>
  </si>
  <si>
    <t>Pérdida crediticia esperada</t>
  </si>
  <si>
    <t>este valor se encuentra en en caja, ver la nota 6 de este mismo documento</t>
  </si>
  <si>
    <t>revisar balance general</t>
  </si>
  <si>
    <t>Retencion en la fuente de Impuesto a la renta</t>
  </si>
  <si>
    <t>Credito Tributario al Valor Agregado (IVA)</t>
  </si>
  <si>
    <t>Municipios (1)</t>
  </si>
  <si>
    <t>Empleados</t>
  </si>
  <si>
    <t>Depositos en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</si>
</sst>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&quot;$&quot;\ #,##0;[Red]&quot;$&quot;\ \-#,##0"/>
    <numFmt numFmtId="165" formatCode="_ * #,##0_ ;_ * \-#,##0_ ;_ * &quot;-&quot;??_ ;_ @_ "/>
    <numFmt numFmtId="166" formatCode="_ * #,##0_ ;\(* #,##0\);_ * &quot;-&quot;_ ;_ @_ "/>
    <numFmt numFmtId="167" formatCode="_(* #,##0_);_(* \(#,##0\);_(* &quot;-&quot;??_);_(@_)"/>
    <numFmt numFmtId="168" formatCode="_-* #,##0.00_-;\-* #,##0.00_-;_-* &quot;-&quot;??_-;_-@_-"/>
    <numFmt numFmtId="169" formatCode="_-* #,##0_-;\-* #,##0_-;_-* &quot;-&quot;??_-;_-@_-"/>
    <numFmt numFmtId="170" formatCode="mm/dd/yy"/>
    <numFmt numFmtId="171" formatCode="#,##0\ ;\(#,##0\)"/>
    <numFmt numFmtId="172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u/>
      <sz val="6"/>
      <name val="Arial"/>
      <family val="2"/>
    </font>
    <font>
      <sz val="6"/>
      <name val="Arial"/>
      <family val="2"/>
    </font>
    <font>
      <b/>
      <u/>
      <sz val="6"/>
      <name val="Arial"/>
      <family val="2"/>
    </font>
    <font>
      <b/>
      <sz val="6"/>
      <name val="Arial"/>
      <family val="2"/>
    </font>
    <font>
      <b/>
      <sz val="6"/>
      <color rgb="FFFF000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8.5"/>
      <name val="Arial"/>
      <family val="2"/>
    </font>
    <font>
      <sz val="8.5"/>
      <color theme="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9"/>
      <color rgb="FF000000"/>
      <name val="Arial"/>
      <family val="2"/>
    </font>
    <font>
      <sz val="6"/>
      <color theme="1"/>
      <name val="Arial"/>
      <family val="2"/>
    </font>
    <font>
      <u/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76">
    <xf numFmtId="0" fontId="0" fillId="0" borderId="0" xfId="0"/>
    <xf numFmtId="0" fontId="4" fillId="2" borderId="0" xfId="0" applyFont="1" applyFill="1" applyAlignment="1">
      <alignment wrapText="1"/>
    </xf>
    <xf numFmtId="167" fontId="4" fillId="2" borderId="0" xfId="1" applyNumberFormat="1" applyFont="1" applyFill="1" applyBorder="1"/>
    <xf numFmtId="167" fontId="4" fillId="2" borderId="1" xfId="1" applyNumberFormat="1" applyFont="1" applyFill="1" applyBorder="1"/>
    <xf numFmtId="0" fontId="6" fillId="2" borderId="0" xfId="0" applyFont="1" applyFill="1"/>
    <xf numFmtId="167" fontId="6" fillId="2" borderId="0" xfId="0" applyNumberFormat="1" applyFont="1" applyFill="1"/>
    <xf numFmtId="0" fontId="7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9" fillId="2" borderId="0" xfId="0" applyFont="1" applyFill="1"/>
    <xf numFmtId="167" fontId="7" fillId="2" borderId="0" xfId="0" applyNumberFormat="1" applyFont="1" applyFill="1"/>
    <xf numFmtId="167" fontId="7" fillId="2" borderId="0" xfId="1" applyNumberFormat="1" applyFont="1" applyFill="1" applyBorder="1"/>
    <xf numFmtId="167" fontId="7" fillId="2" borderId="1" xfId="0" applyNumberFormat="1" applyFont="1" applyFill="1" applyBorder="1"/>
    <xf numFmtId="167" fontId="7" fillId="4" borderId="0" xfId="1" applyNumberFormat="1" applyFont="1" applyFill="1" applyBorder="1"/>
    <xf numFmtId="0" fontId="7" fillId="2" borderId="0" xfId="0" quotePrefix="1" applyFont="1" applyFill="1" applyAlignment="1">
      <alignment horizontal="left"/>
    </xf>
    <xf numFmtId="167" fontId="7" fillId="4" borderId="1" xfId="1" applyNumberFormat="1" applyFont="1" applyFill="1" applyBorder="1"/>
    <xf numFmtId="43" fontId="7" fillId="4" borderId="0" xfId="1" applyFont="1" applyFill="1" applyBorder="1"/>
    <xf numFmtId="167" fontId="10" fillId="2" borderId="0" xfId="0" applyNumberFormat="1" applyFont="1" applyFill="1"/>
    <xf numFmtId="167" fontId="7" fillId="2" borderId="1" xfId="1" applyNumberFormat="1" applyFont="1" applyFill="1" applyBorder="1"/>
    <xf numFmtId="43" fontId="7" fillId="2" borderId="0" xfId="1" applyFont="1" applyFill="1" applyBorder="1"/>
    <xf numFmtId="167" fontId="7" fillId="2" borderId="2" xfId="1" applyNumberFormat="1" applyFont="1" applyFill="1" applyBorder="1"/>
    <xf numFmtId="165" fontId="0" fillId="0" borderId="0" xfId="1" applyNumberFormat="1" applyFont="1"/>
    <xf numFmtId="0" fontId="0" fillId="2" borderId="0" xfId="0" applyFill="1"/>
    <xf numFmtId="0" fontId="11" fillId="2" borderId="0" xfId="0" applyFont="1" applyFill="1"/>
    <xf numFmtId="0" fontId="12" fillId="2" borderId="0" xfId="0" applyFont="1" applyFill="1" applyAlignment="1">
      <alignment horizontal="center"/>
    </xf>
    <xf numFmtId="165" fontId="11" fillId="2" borderId="0" xfId="1" applyNumberFormat="1" applyFont="1" applyFill="1"/>
    <xf numFmtId="165" fontId="11" fillId="2" borderId="2" xfId="1" applyNumberFormat="1" applyFont="1" applyFill="1" applyBorder="1"/>
    <xf numFmtId="0" fontId="14" fillId="0" borderId="0" xfId="0" applyFont="1"/>
    <xf numFmtId="0" fontId="13" fillId="2" borderId="0" xfId="0" applyFont="1" applyFill="1"/>
    <xf numFmtId="166" fontId="13" fillId="2" borderId="0" xfId="3" applyNumberFormat="1" applyFont="1" applyFill="1"/>
    <xf numFmtId="0" fontId="14" fillId="2" borderId="0" xfId="0" applyFont="1" applyFill="1"/>
    <xf numFmtId="0" fontId="15" fillId="2" borderId="0" xfId="0" applyFont="1" applyFill="1"/>
    <xf numFmtId="165" fontId="15" fillId="2" borderId="0" xfId="3" applyNumberFormat="1" applyFont="1" applyFill="1" applyAlignment="1">
      <alignment horizontal="center"/>
    </xf>
    <xf numFmtId="167" fontId="15" fillId="2" borderId="0" xfId="1" applyNumberFormat="1" applyFont="1" applyFill="1" applyAlignment="1">
      <alignment horizontal="center"/>
    </xf>
    <xf numFmtId="170" fontId="16" fillId="2" borderId="0" xfId="3" applyNumberFormat="1" applyFont="1" applyFill="1" applyAlignment="1">
      <alignment horizontal="center"/>
    </xf>
    <xf numFmtId="165" fontId="16" fillId="2" borderId="0" xfId="3" applyNumberFormat="1" applyFont="1" applyFill="1" applyAlignment="1">
      <alignment horizontal="center"/>
    </xf>
    <xf numFmtId="167" fontId="16" fillId="2" borderId="0" xfId="1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165" fontId="15" fillId="2" borderId="0" xfId="3" applyNumberFormat="1" applyFont="1" applyFill="1"/>
    <xf numFmtId="166" fontId="15" fillId="2" borderId="0" xfId="0" applyNumberFormat="1" applyFont="1" applyFill="1"/>
    <xf numFmtId="167" fontId="15" fillId="2" borderId="0" xfId="1" applyNumberFormat="1" applyFont="1" applyFill="1" applyBorder="1"/>
    <xf numFmtId="165" fontId="15" fillId="2" borderId="0" xfId="1" applyNumberFormat="1" applyFont="1" applyFill="1"/>
    <xf numFmtId="166" fontId="16" fillId="2" borderId="0" xfId="0" applyNumberFormat="1" applyFont="1" applyFill="1" applyAlignment="1">
      <alignment horizontal="center"/>
    </xf>
    <xf numFmtId="166" fontId="15" fillId="2" borderId="0" xfId="3" quotePrefix="1" applyNumberFormat="1" applyFont="1" applyFill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center" wrapText="1"/>
    </xf>
    <xf numFmtId="0" fontId="0" fillId="0" borderId="5" xfId="0" applyBorder="1"/>
    <xf numFmtId="169" fontId="0" fillId="0" borderId="5" xfId="1" applyNumberFormat="1" applyFont="1" applyBorder="1"/>
    <xf numFmtId="169" fontId="0" fillId="3" borderId="5" xfId="1" applyNumberFormat="1" applyFont="1" applyFill="1" applyBorder="1"/>
    <xf numFmtId="169" fontId="4" fillId="2" borderId="5" xfId="1" applyNumberFormat="1" applyFont="1" applyFill="1" applyBorder="1" applyAlignment="1">
      <alignment horizontal="center" vertical="center"/>
    </xf>
    <xf numFmtId="169" fontId="4" fillId="3" borderId="5" xfId="1" applyNumberFormat="1" applyFont="1" applyFill="1" applyBorder="1" applyAlignment="1">
      <alignment horizontal="center" vertical="center"/>
    </xf>
    <xf numFmtId="169" fontId="2" fillId="2" borderId="5" xfId="1" applyNumberFormat="1" applyFont="1" applyFill="1" applyBorder="1" applyAlignment="1">
      <alignment horizontal="center"/>
    </xf>
    <xf numFmtId="169" fontId="4" fillId="2" borderId="5" xfId="1" applyNumberFormat="1" applyFont="1" applyFill="1" applyBorder="1" applyAlignment="1">
      <alignment horizontal="right" vertical="center"/>
    </xf>
    <xf numFmtId="169" fontId="0" fillId="0" borderId="0" xfId="1" applyNumberFormat="1" applyFont="1"/>
    <xf numFmtId="0" fontId="0" fillId="0" borderId="5" xfId="0" applyBorder="1" applyAlignment="1">
      <alignment horizontal="left" vertical="center"/>
    </xf>
    <xf numFmtId="169" fontId="4" fillId="2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/>
    <xf numFmtId="167" fontId="4" fillId="2" borderId="4" xfId="1" applyNumberFormat="1" applyFont="1" applyFill="1" applyBorder="1"/>
    <xf numFmtId="167" fontId="4" fillId="2" borderId="0" xfId="0" applyNumberFormat="1" applyFont="1" applyFill="1"/>
    <xf numFmtId="0" fontId="4" fillId="2" borderId="4" xfId="0" applyFont="1" applyFill="1" applyBorder="1"/>
    <xf numFmtId="0" fontId="11" fillId="2" borderId="0" xfId="0" applyFont="1" applyFill="1" applyBorder="1"/>
    <xf numFmtId="167" fontId="4" fillId="2" borderId="2" xfId="1" applyNumberFormat="1" applyFont="1" applyFill="1" applyBorder="1"/>
    <xf numFmtId="0" fontId="11" fillId="2" borderId="2" xfId="0" applyFont="1" applyFill="1" applyBorder="1"/>
    <xf numFmtId="167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 wrapText="1"/>
    </xf>
    <xf numFmtId="167" fontId="4" fillId="2" borderId="1" xfId="0" applyNumberFormat="1" applyFont="1" applyFill="1" applyBorder="1"/>
    <xf numFmtId="0" fontId="4" fillId="2" borderId="0" xfId="0" quotePrefix="1" applyFont="1" applyFill="1" applyAlignment="1">
      <alignment horizontal="left"/>
    </xf>
    <xf numFmtId="43" fontId="4" fillId="2" borderId="0" xfId="1" applyFont="1" applyFill="1" applyBorder="1"/>
    <xf numFmtId="165" fontId="4" fillId="2" borderId="1" xfId="1" applyNumberFormat="1" applyFont="1" applyFill="1" applyBorder="1"/>
    <xf numFmtId="171" fontId="3" fillId="2" borderId="0" xfId="0" applyNumberFormat="1" applyFont="1" applyFill="1"/>
    <xf numFmtId="0" fontId="19" fillId="2" borderId="0" xfId="0" quotePrefix="1" applyFont="1" applyFill="1" applyAlignment="1">
      <alignment horizontal="center"/>
    </xf>
    <xf numFmtId="167" fontId="20" fillId="0" borderId="0" xfId="8" applyNumberFormat="1" applyFont="1" applyAlignment="1"/>
    <xf numFmtId="0" fontId="21" fillId="2" borderId="0" xfId="0" applyFont="1" applyFill="1"/>
    <xf numFmtId="0" fontId="21" fillId="0" borderId="0" xfId="0" applyFont="1"/>
    <xf numFmtId="167" fontId="3" fillId="2" borderId="0" xfId="8" applyNumberFormat="1" applyFont="1" applyFill="1" applyBorder="1" applyAlignment="1"/>
    <xf numFmtId="171" fontId="3" fillId="2" borderId="4" xfId="0" applyNumberFormat="1" applyFont="1" applyFill="1" applyBorder="1" applyAlignment="1">
      <alignment horizontal="right"/>
    </xf>
    <xf numFmtId="171" fontId="3" fillId="2" borderId="0" xfId="0" applyNumberFormat="1" applyFont="1" applyFill="1" applyAlignment="1">
      <alignment horizontal="right"/>
    </xf>
    <xf numFmtId="172" fontId="3" fillId="2" borderId="0" xfId="8" applyFont="1" applyFill="1" applyBorder="1" applyAlignment="1"/>
    <xf numFmtId="171" fontId="3" fillId="2" borderId="0" xfId="0" applyNumberFormat="1" applyFont="1" applyFill="1" applyAlignment="1">
      <alignment horizontal="left"/>
    </xf>
    <xf numFmtId="0" fontId="21" fillId="0" borderId="4" xfId="0" applyFont="1" applyBorder="1"/>
    <xf numFmtId="9" fontId="3" fillId="2" borderId="0" xfId="7" applyFont="1" applyFill="1" applyBorder="1" applyAlignment="1"/>
    <xf numFmtId="167" fontId="3" fillId="2" borderId="1" xfId="8" applyNumberFormat="1" applyFont="1" applyFill="1" applyBorder="1" applyAlignment="1"/>
    <xf numFmtId="171" fontId="3" fillId="2" borderId="0" xfId="0" quotePrefix="1" applyNumberFormat="1" applyFont="1" applyFill="1"/>
    <xf numFmtId="171" fontId="3" fillId="2" borderId="2" xfId="0" applyNumberFormat="1" applyFont="1" applyFill="1" applyBorder="1"/>
    <xf numFmtId="167" fontId="20" fillId="2" borderId="0" xfId="8" applyNumberFormat="1" applyFont="1" applyFill="1" applyAlignment="1"/>
    <xf numFmtId="0" fontId="21" fillId="2" borderId="4" xfId="0" applyFont="1" applyFill="1" applyBorder="1"/>
    <xf numFmtId="171" fontId="3" fillId="2" borderId="0" xfId="0" applyNumberFormat="1" applyFont="1" applyFill="1" applyAlignment="1">
      <alignment horizontal="center"/>
    </xf>
    <xf numFmtId="171" fontId="19" fillId="2" borderId="0" xfId="0" applyNumberFormat="1" applyFont="1" applyFill="1" applyAlignment="1">
      <alignment horizontal="center"/>
    </xf>
    <xf numFmtId="43" fontId="3" fillId="2" borderId="0" xfId="1" applyFont="1" applyFill="1"/>
    <xf numFmtId="165" fontId="3" fillId="2" borderId="0" xfId="1" applyNumberFormat="1" applyFont="1" applyFill="1"/>
    <xf numFmtId="167" fontId="3" fillId="2" borderId="0" xfId="1" applyNumberFormat="1" applyFont="1" applyFill="1"/>
    <xf numFmtId="167" fontId="3" fillId="2" borderId="0" xfId="1" quotePrefix="1" applyNumberFormat="1" applyFont="1" applyFill="1" applyAlignment="1">
      <alignment horizontal="center"/>
    </xf>
    <xf numFmtId="167" fontId="3" fillId="2" borderId="0" xfId="1" applyNumberFormat="1" applyFont="1" applyFill="1" applyAlignment="1">
      <alignment horizontal="center"/>
    </xf>
    <xf numFmtId="171" fontId="3" fillId="2" borderId="0" xfId="0" applyNumberFormat="1" applyFont="1" applyFill="1" applyAlignment="1">
      <alignment horizontal="left" indent="2"/>
    </xf>
    <xf numFmtId="167" fontId="3" fillId="2" borderId="0" xfId="1" applyNumberFormat="1" applyFont="1" applyFill="1" applyBorder="1" applyAlignment="1">
      <alignment horizontal="center"/>
    </xf>
    <xf numFmtId="167" fontId="22" fillId="2" borderId="2" xfId="1" applyNumberFormat="1" applyFont="1" applyFill="1" applyBorder="1" applyAlignment="1" applyProtection="1"/>
    <xf numFmtId="0" fontId="23" fillId="2" borderId="0" xfId="0" applyFont="1" applyFill="1"/>
    <xf numFmtId="0" fontId="24" fillId="2" borderId="0" xfId="0" applyFont="1" applyFill="1" applyAlignment="1">
      <alignment horizontal="center"/>
    </xf>
    <xf numFmtId="0" fontId="24" fillId="2" borderId="0" xfId="0" applyFont="1" applyFill="1"/>
    <xf numFmtId="0" fontId="23" fillId="2" borderId="0" xfId="0" applyFont="1" applyFill="1" applyAlignment="1">
      <alignment horizontal="left" vertical="center" indent="1"/>
    </xf>
    <xf numFmtId="0" fontId="23" fillId="2" borderId="0" xfId="0" applyFont="1" applyFill="1" applyAlignment="1">
      <alignment horizontal="left" indent="1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165" fontId="23" fillId="2" borderId="0" xfId="8" applyNumberFormat="1" applyFont="1" applyFill="1" applyBorder="1" applyAlignment="1">
      <alignment vertical="center"/>
    </xf>
    <xf numFmtId="0" fontId="23" fillId="2" borderId="0" xfId="0" applyFont="1" applyFill="1" applyAlignment="1">
      <alignment horizontal="center"/>
    </xf>
    <xf numFmtId="165" fontId="23" fillId="2" borderId="2" xfId="8" applyNumberFormat="1" applyFont="1" applyFill="1" applyBorder="1" applyAlignment="1">
      <alignment vertical="center"/>
    </xf>
    <xf numFmtId="165" fontId="23" fillId="2" borderId="3" xfId="8" applyNumberFormat="1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5" fontId="23" fillId="2" borderId="0" xfId="8" applyNumberFormat="1" applyFont="1" applyFill="1"/>
    <xf numFmtId="165" fontId="23" fillId="2" borderId="1" xfId="8" applyNumberFormat="1" applyFont="1" applyFill="1" applyBorder="1" applyAlignment="1">
      <alignment vertical="center"/>
    </xf>
    <xf numFmtId="43" fontId="23" fillId="2" borderId="0" xfId="1" applyFont="1" applyFill="1"/>
    <xf numFmtId="165" fontId="23" fillId="2" borderId="0" xfId="1" applyNumberFormat="1" applyFont="1" applyFill="1"/>
    <xf numFmtId="165" fontId="23" fillId="2" borderId="0" xfId="0" applyNumberFormat="1" applyFont="1" applyFill="1"/>
    <xf numFmtId="0" fontId="24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5" fontId="0" fillId="2" borderId="4" xfId="1" applyNumberFormat="1" applyFont="1" applyFill="1" applyBorder="1"/>
    <xf numFmtId="165" fontId="0" fillId="2" borderId="0" xfId="0" applyNumberFormat="1" applyFill="1"/>
    <xf numFmtId="165" fontId="0" fillId="2" borderId="2" xfId="1" applyNumberFormat="1" applyFont="1" applyFill="1" applyBorder="1"/>
    <xf numFmtId="165" fontId="0" fillId="0" borderId="5" xfId="1" applyNumberFormat="1" applyFont="1" applyBorder="1"/>
    <xf numFmtId="165" fontId="0" fillId="2" borderId="5" xfId="1" applyNumberFormat="1" applyFont="1" applyFill="1" applyBorder="1"/>
    <xf numFmtId="165" fontId="4" fillId="2" borderId="5" xfId="1" applyNumberFormat="1" applyFont="1" applyFill="1" applyBorder="1" applyAlignment="1">
      <alignment horizontal="right" vertical="center"/>
    </xf>
    <xf numFmtId="165" fontId="4" fillId="2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right" vertical="center"/>
    </xf>
    <xf numFmtId="165" fontId="2" fillId="0" borderId="5" xfId="1" applyNumberFormat="1" applyFont="1" applyFill="1" applyBorder="1" applyAlignment="1">
      <alignment horizontal="right"/>
    </xf>
    <xf numFmtId="165" fontId="0" fillId="0" borderId="0" xfId="1" applyNumberFormat="1" applyFont="1" applyFill="1"/>
    <xf numFmtId="165" fontId="4" fillId="0" borderId="5" xfId="1" applyNumberFormat="1" applyFont="1" applyFill="1" applyBorder="1" applyAlignment="1">
      <alignment horizontal="center" vertical="center" wrapText="1"/>
    </xf>
    <xf numFmtId="165" fontId="0" fillId="0" borderId="5" xfId="1" applyNumberFormat="1" applyFont="1" applyFill="1" applyBorder="1"/>
    <xf numFmtId="167" fontId="4" fillId="2" borderId="5" xfId="1" applyNumberFormat="1" applyFont="1" applyFill="1" applyBorder="1" applyAlignment="1">
      <alignment horizontal="right" vertical="center"/>
    </xf>
    <xf numFmtId="167" fontId="2" fillId="2" borderId="5" xfId="1" applyNumberFormat="1" applyFont="1" applyFill="1" applyBorder="1" applyAlignment="1">
      <alignment horizontal="right"/>
    </xf>
    <xf numFmtId="167" fontId="25" fillId="2" borderId="5" xfId="1" applyNumberFormat="1" applyFont="1" applyFill="1" applyBorder="1" applyAlignment="1">
      <alignment horizontal="right"/>
    </xf>
    <xf numFmtId="165" fontId="0" fillId="0" borderId="9" xfId="1" applyNumberFormat="1" applyFont="1" applyFill="1" applyBorder="1"/>
    <xf numFmtId="167" fontId="4" fillId="0" borderId="5" xfId="1" applyNumberFormat="1" applyFont="1" applyFill="1" applyBorder="1" applyAlignment="1">
      <alignment horizontal="right" vertical="center"/>
    </xf>
    <xf numFmtId="0" fontId="0" fillId="0" borderId="0" xfId="0" applyBorder="1"/>
    <xf numFmtId="165" fontId="0" fillId="0" borderId="0" xfId="1" applyNumberFormat="1" applyFont="1" applyBorder="1"/>
    <xf numFmtId="0" fontId="26" fillId="2" borderId="0" xfId="0" applyFont="1" applyFill="1"/>
    <xf numFmtId="0" fontId="26" fillId="2" borderId="0" xfId="0" applyFont="1" applyFill="1" applyAlignment="1">
      <alignment horizontal="center"/>
    </xf>
    <xf numFmtId="167" fontId="26" fillId="2" borderId="0" xfId="9" applyNumberFormat="1" applyFont="1" applyFill="1" applyBorder="1"/>
    <xf numFmtId="165" fontId="26" fillId="2" borderId="0" xfId="1" applyNumberFormat="1" applyFont="1" applyFill="1" applyBorder="1"/>
    <xf numFmtId="0" fontId="27" fillId="2" borderId="0" xfId="0" applyFont="1" applyFill="1" applyAlignment="1">
      <alignment horizontal="center"/>
    </xf>
    <xf numFmtId="167" fontId="26" fillId="2" borderId="0" xfId="0" applyNumberFormat="1" applyFont="1" applyFill="1"/>
    <xf numFmtId="3" fontId="26" fillId="2" borderId="0" xfId="0" applyNumberFormat="1" applyFont="1" applyFill="1"/>
    <xf numFmtId="165" fontId="26" fillId="2" borderId="2" xfId="1" applyNumberFormat="1" applyFont="1" applyFill="1" applyBorder="1"/>
    <xf numFmtId="165" fontId="26" fillId="2" borderId="0" xfId="1" applyNumberFormat="1" applyFont="1" applyFill="1"/>
    <xf numFmtId="167" fontId="26" fillId="2" borderId="2" xfId="0" applyNumberFormat="1" applyFont="1" applyFill="1" applyBorder="1"/>
    <xf numFmtId="165" fontId="26" fillId="2" borderId="1" xfId="1" applyNumberFormat="1" applyFont="1" applyFill="1" applyBorder="1"/>
    <xf numFmtId="167" fontId="26" fillId="2" borderId="0" xfId="0" applyNumberFormat="1" applyFont="1" applyFill="1" applyBorder="1"/>
    <xf numFmtId="0" fontId="26" fillId="2" borderId="0" xfId="0" applyFont="1" applyFill="1" applyBorder="1"/>
    <xf numFmtId="9" fontId="26" fillId="2" borderId="0" xfId="7" applyFont="1" applyFill="1"/>
    <xf numFmtId="10" fontId="26" fillId="2" borderId="0" xfId="7" applyNumberFormat="1" applyFont="1" applyFill="1" applyAlignment="1">
      <alignment horizontal="center"/>
    </xf>
    <xf numFmtId="10" fontId="26" fillId="2" borderId="0" xfId="7" applyNumberFormat="1" applyFont="1" applyFill="1"/>
    <xf numFmtId="10" fontId="26" fillId="2" borderId="0" xfId="0" applyNumberFormat="1" applyFont="1" applyFill="1"/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10">
    <cellStyle name="Comma" xfId="1" builtinId="3"/>
    <cellStyle name="Comma_Worksheet in D: Mis documentos Clientes 2003 Holanda Informes Brenntag-Informe2002-2001" xfId="3" xr:uid="{A6A2F4A4-7817-4D46-BB29-9E522E846FFD}"/>
    <cellStyle name="Millares 10" xfId="8" xr:uid="{2A8A1586-5E42-4DAE-8B6B-9310BB595D9C}"/>
    <cellStyle name="Millares 11" xfId="4" xr:uid="{D579BB81-3966-4E84-BFD0-0C0290EAE7B2}"/>
    <cellStyle name="Millares 18" xfId="9" xr:uid="{9FB76F57-646D-4DD0-AA4C-89B997F71EFC}"/>
    <cellStyle name="Millares 2" xfId="2" xr:uid="{8F587188-BBB2-42C9-991C-EB0A7932632A}"/>
    <cellStyle name="Millares 67" xfId="6" xr:uid="{19057C1E-C263-45A5-B837-C5B1D31AEC1C}"/>
    <cellStyle name="Normal" xfId="0" builtinId="0"/>
    <cellStyle name="Normal 4" xfId="5" xr:uid="{A52B5E1D-1F20-43D6-8B38-72751A25CB84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D808-A898-4030-954E-840A86E29987}">
  <dimension ref="A1:P19"/>
  <sheetViews>
    <sheetView topLeftCell="A5" workbookViewId="0">
      <pane xSplit="1" ySplit="1" topLeftCell="M6" activePane="bottomRight" state="frozen"/>
      <selection activeCell="A5" sqref="A5"/>
      <selection pane="topRight" activeCell="B5" sqref="B5"/>
      <selection pane="bottomLeft" activeCell="A6" sqref="A6"/>
      <selection pane="bottomRight" activeCell="M17" sqref="M17"/>
    </sheetView>
  </sheetViews>
  <sheetFormatPr defaultColWidth="4" defaultRowHeight="15" x14ac:dyDescent="0.25"/>
  <cols>
    <col min="1" max="1" width="18.28515625" bestFit="1" customWidth="1"/>
    <col min="2" max="16" width="12.140625" customWidth="1"/>
  </cols>
  <sheetData>
    <row r="1" spans="1:16" hidden="1" x14ac:dyDescent="0.25"/>
    <row r="2" spans="1:16" hidden="1" x14ac:dyDescent="0.25">
      <c r="A2" s="51" t="s">
        <v>70</v>
      </c>
      <c r="B2" s="133">
        <f>B3-B10</f>
        <v>0</v>
      </c>
      <c r="C2" s="133">
        <f t="shared" ref="C2:P2" si="0">C3-C10</f>
        <v>0</v>
      </c>
      <c r="D2" s="133">
        <f t="shared" si="0"/>
        <v>0</v>
      </c>
      <c r="E2" s="133">
        <f t="shared" si="0"/>
        <v>0</v>
      </c>
      <c r="F2" s="133"/>
      <c r="G2" s="133">
        <f t="shared" si="0"/>
        <v>0</v>
      </c>
      <c r="H2" s="133">
        <f t="shared" si="0"/>
        <v>0</v>
      </c>
      <c r="I2" s="133">
        <f t="shared" si="0"/>
        <v>0</v>
      </c>
      <c r="J2" s="133">
        <f t="shared" si="0"/>
        <v>0</v>
      </c>
      <c r="K2" s="133">
        <f t="shared" si="0"/>
        <v>0</v>
      </c>
      <c r="L2" s="133">
        <f t="shared" si="0"/>
        <v>0</v>
      </c>
      <c r="M2" s="134">
        <f t="shared" si="0"/>
        <v>0</v>
      </c>
      <c r="N2" s="133">
        <f>SUM(B2:M2)</f>
        <v>0</v>
      </c>
      <c r="O2" s="133">
        <f t="shared" si="0"/>
        <v>0</v>
      </c>
      <c r="P2" s="133">
        <f t="shared" si="0"/>
        <v>38503</v>
      </c>
    </row>
    <row r="3" spans="1:16" hidden="1" x14ac:dyDescent="0.25">
      <c r="A3" s="51" t="s">
        <v>71</v>
      </c>
      <c r="B3" s="135">
        <v>5683172</v>
      </c>
      <c r="C3" s="135">
        <v>67287</v>
      </c>
      <c r="D3" s="135">
        <v>21434</v>
      </c>
      <c r="E3" s="135">
        <v>0</v>
      </c>
      <c r="F3" s="137">
        <v>0</v>
      </c>
      <c r="G3" s="138">
        <v>0</v>
      </c>
      <c r="H3" s="137">
        <v>5000</v>
      </c>
      <c r="I3" s="137">
        <v>10000</v>
      </c>
      <c r="J3" s="137">
        <v>0</v>
      </c>
      <c r="K3" s="137">
        <v>7842</v>
      </c>
      <c r="L3" s="137">
        <v>86897</v>
      </c>
      <c r="M3" s="137">
        <v>4342</v>
      </c>
      <c r="N3" s="138">
        <v>5924477</v>
      </c>
      <c r="O3" s="135">
        <v>0</v>
      </c>
      <c r="P3" s="135">
        <v>5924477</v>
      </c>
    </row>
    <row r="4" spans="1:16" hidden="1" x14ac:dyDescent="0.25">
      <c r="B4" s="25"/>
      <c r="C4" s="25"/>
      <c r="D4" s="25"/>
      <c r="E4" s="25"/>
      <c r="F4" s="139"/>
      <c r="G4" s="139"/>
      <c r="H4" s="139"/>
      <c r="I4" s="139"/>
      <c r="J4" s="139"/>
      <c r="K4" s="139"/>
      <c r="L4" s="139"/>
      <c r="M4" s="139"/>
      <c r="N4" s="139"/>
      <c r="O4" s="25"/>
      <c r="P4" s="25"/>
    </row>
    <row r="5" spans="1:16" ht="36" x14ac:dyDescent="0.25">
      <c r="A5" s="51"/>
      <c r="B5" s="136" t="s">
        <v>3</v>
      </c>
      <c r="C5" s="136" t="s">
        <v>4</v>
      </c>
      <c r="D5" s="136" t="s">
        <v>5</v>
      </c>
      <c r="E5" s="136" t="s">
        <v>6</v>
      </c>
      <c r="F5" s="140" t="s">
        <v>7</v>
      </c>
      <c r="G5" s="140" t="s">
        <v>8</v>
      </c>
      <c r="H5" s="140" t="s">
        <v>9</v>
      </c>
      <c r="I5" s="140" t="s">
        <v>10</v>
      </c>
      <c r="J5" s="140" t="s">
        <v>11</v>
      </c>
      <c r="K5" s="140" t="s">
        <v>12</v>
      </c>
      <c r="L5" s="140" t="s">
        <v>13</v>
      </c>
      <c r="M5" s="140" t="s">
        <v>14</v>
      </c>
      <c r="N5" s="140" t="s">
        <v>0</v>
      </c>
      <c r="O5" s="136" t="s">
        <v>38</v>
      </c>
      <c r="P5" s="136" t="s">
        <v>74</v>
      </c>
    </row>
    <row r="6" spans="1:16" x14ac:dyDescent="0.25">
      <c r="A6" s="51" t="s">
        <v>192</v>
      </c>
      <c r="B6" s="133">
        <v>22300</v>
      </c>
      <c r="C6" s="133">
        <v>300</v>
      </c>
      <c r="D6" s="133">
        <v>200</v>
      </c>
      <c r="E6" s="133">
        <v>0</v>
      </c>
      <c r="F6" s="141">
        <v>0</v>
      </c>
      <c r="G6" s="141">
        <v>0</v>
      </c>
      <c r="H6" s="141">
        <v>5000</v>
      </c>
      <c r="I6" s="141">
        <v>10000</v>
      </c>
      <c r="J6" s="141">
        <v>0</v>
      </c>
      <c r="K6" s="141">
        <v>500</v>
      </c>
      <c r="L6" s="141">
        <v>200</v>
      </c>
      <c r="M6" s="141">
        <f>300+1279</f>
        <v>1579</v>
      </c>
      <c r="N6" s="141">
        <f>SUM(B6:M6)</f>
        <v>40079</v>
      </c>
      <c r="O6" s="133"/>
      <c r="P6" s="133">
        <f>N6+O6</f>
        <v>40079</v>
      </c>
    </row>
    <row r="7" spans="1:16" x14ac:dyDescent="0.25">
      <c r="A7" s="51" t="s">
        <v>193</v>
      </c>
      <c r="B7" s="133">
        <v>5651173</v>
      </c>
      <c r="C7" s="133">
        <v>66987</v>
      </c>
      <c r="D7" s="133">
        <v>21234</v>
      </c>
      <c r="E7" s="133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7342</v>
      </c>
      <c r="L7" s="141">
        <v>86697</v>
      </c>
      <c r="M7" s="141"/>
      <c r="N7" s="141">
        <f t="shared" ref="N7:N8" si="1">SUM(B7:M7)</f>
        <v>5833433</v>
      </c>
      <c r="O7" s="133"/>
      <c r="P7" s="133">
        <f t="shared" ref="P7:P8" si="2">N7+O7</f>
        <v>5833433</v>
      </c>
    </row>
    <row r="8" spans="1:16" x14ac:dyDescent="0.25">
      <c r="A8" s="51" t="s">
        <v>194</v>
      </c>
      <c r="B8" s="133">
        <v>9699</v>
      </c>
      <c r="C8" s="133">
        <v>0</v>
      </c>
      <c r="D8" s="133">
        <v>0</v>
      </c>
      <c r="E8" s="133">
        <v>0</v>
      </c>
      <c r="F8" s="141">
        <v>0</v>
      </c>
      <c r="G8" s="141">
        <v>0</v>
      </c>
      <c r="H8" s="141">
        <v>0</v>
      </c>
      <c r="I8" s="141">
        <v>0</v>
      </c>
      <c r="J8" s="141">
        <v>0</v>
      </c>
      <c r="K8" s="141">
        <v>0</v>
      </c>
      <c r="L8" s="141">
        <v>0</v>
      </c>
      <c r="M8" s="141">
        <f>4342-1579</f>
        <v>2763</v>
      </c>
      <c r="N8" s="141">
        <f t="shared" si="1"/>
        <v>12462</v>
      </c>
      <c r="O8" s="133"/>
      <c r="P8" s="133">
        <f t="shared" si="2"/>
        <v>12462</v>
      </c>
    </row>
    <row r="9" spans="1:16" x14ac:dyDescent="0.25">
      <c r="A9" s="51"/>
      <c r="B9" s="166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8"/>
    </row>
    <row r="10" spans="1:16" x14ac:dyDescent="0.25">
      <c r="A10" s="51" t="s">
        <v>0</v>
      </c>
      <c r="B10" s="133">
        <f>SUM(B6:B8)</f>
        <v>5683172</v>
      </c>
      <c r="C10" s="133">
        <f t="shared" ref="C10:P10" si="3">SUM(C6:C8)</f>
        <v>67287</v>
      </c>
      <c r="D10" s="133">
        <f t="shared" si="3"/>
        <v>21434</v>
      </c>
      <c r="E10" s="133">
        <f t="shared" si="3"/>
        <v>0</v>
      </c>
      <c r="F10" s="133">
        <f t="shared" si="3"/>
        <v>0</v>
      </c>
      <c r="G10" s="133">
        <f t="shared" si="3"/>
        <v>0</v>
      </c>
      <c r="H10" s="133">
        <f t="shared" si="3"/>
        <v>5000</v>
      </c>
      <c r="I10" s="133">
        <f t="shared" si="3"/>
        <v>10000</v>
      </c>
      <c r="J10" s="133">
        <f t="shared" si="3"/>
        <v>0</v>
      </c>
      <c r="K10" s="133">
        <f t="shared" si="3"/>
        <v>7842</v>
      </c>
      <c r="L10" s="133">
        <f t="shared" si="3"/>
        <v>86897</v>
      </c>
      <c r="M10" s="133">
        <f t="shared" si="3"/>
        <v>4342</v>
      </c>
      <c r="N10" s="133">
        <f t="shared" si="3"/>
        <v>5885974</v>
      </c>
      <c r="O10" s="133">
        <f t="shared" si="3"/>
        <v>0</v>
      </c>
      <c r="P10" s="133">
        <f t="shared" si="3"/>
        <v>5885974</v>
      </c>
    </row>
    <row r="11" spans="1:16" x14ac:dyDescent="0.25">
      <c r="B11" s="25"/>
      <c r="C11" s="25"/>
      <c r="D11" s="25"/>
      <c r="E11" s="25"/>
    </row>
    <row r="12" spans="1:16" x14ac:dyDescent="0.25">
      <c r="B12" s="25"/>
      <c r="C12" s="25"/>
      <c r="D12" s="25"/>
      <c r="E12" s="25"/>
    </row>
    <row r="13" spans="1:16" x14ac:dyDescent="0.25">
      <c r="B13" s="25"/>
      <c r="C13" s="25"/>
      <c r="D13" s="25"/>
      <c r="E13" s="25"/>
    </row>
    <row r="14" spans="1:16" x14ac:dyDescent="0.25">
      <c r="B14" s="25"/>
      <c r="C14" s="25"/>
      <c r="D14" s="25"/>
      <c r="E14" s="25"/>
    </row>
    <row r="15" spans="1:16" x14ac:dyDescent="0.25">
      <c r="B15" s="25"/>
      <c r="C15" s="25"/>
      <c r="D15" s="25"/>
      <c r="E15" s="25"/>
    </row>
    <row r="16" spans="1:16" x14ac:dyDescent="0.25">
      <c r="B16" s="25"/>
      <c r="C16" s="25"/>
      <c r="D16" s="25"/>
      <c r="E16" s="25"/>
    </row>
    <row r="17" spans="2:5" x14ac:dyDescent="0.25">
      <c r="B17" s="25"/>
      <c r="C17" s="25"/>
      <c r="D17" s="25"/>
      <c r="E17" s="25"/>
    </row>
    <row r="18" spans="2:5" x14ac:dyDescent="0.25">
      <c r="B18" s="25"/>
      <c r="C18" s="25"/>
      <c r="D18" s="25"/>
      <c r="E18" s="25"/>
    </row>
    <row r="19" spans="2:5" x14ac:dyDescent="0.25">
      <c r="B19" s="25"/>
      <c r="C19" s="25"/>
      <c r="D19" s="25"/>
      <c r="E19" s="25"/>
    </row>
  </sheetData>
  <mergeCells count="1">
    <mergeCell ref="B9:P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FFE3-37C5-4F13-A2FA-B6A6146EEF78}">
  <dimension ref="A1:U3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" sqref="L1"/>
    </sheetView>
  </sheetViews>
  <sheetFormatPr defaultColWidth="7.85546875" defaultRowHeight="11.25" x14ac:dyDescent="0.2"/>
  <cols>
    <col min="1" max="1" width="39.85546875" style="106" bestFit="1" customWidth="1"/>
    <col min="2" max="2" width="0.85546875" style="106" customWidth="1"/>
    <col min="3" max="3" width="11.5703125" style="116" bestFit="1" customWidth="1"/>
    <col min="4" max="4" width="1.42578125" style="106" customWidth="1"/>
    <col min="5" max="5" width="8.42578125" style="106" bestFit="1" customWidth="1"/>
    <col min="6" max="6" width="1" style="106" customWidth="1"/>
    <col min="7" max="7" width="9.5703125" style="106" bestFit="1" customWidth="1"/>
    <col min="8" max="8" width="1" style="106" customWidth="1"/>
    <col min="9" max="9" width="10.140625" style="106" bestFit="1" customWidth="1"/>
    <col min="10" max="10" width="1.7109375" style="106" customWidth="1"/>
    <col min="11" max="11" width="9.5703125" style="106" bestFit="1" customWidth="1"/>
    <col min="12" max="12" width="9.7109375" style="106" bestFit="1" customWidth="1"/>
    <col min="13" max="13" width="9.5703125" style="106" customWidth="1"/>
    <col min="14" max="18" width="7.85546875" style="106"/>
    <col min="19" max="19" width="8.7109375" style="106" bestFit="1" customWidth="1"/>
    <col min="20" max="20" width="9.28515625" style="106" bestFit="1" customWidth="1"/>
    <col min="21" max="21" width="8.7109375" style="106" bestFit="1" customWidth="1"/>
    <col min="22" max="237" width="7.85546875" style="106"/>
    <col min="238" max="238" width="51.28515625" style="106" customWidth="1"/>
    <col min="239" max="239" width="2.7109375" style="106" customWidth="1"/>
    <col min="240" max="240" width="13.140625" style="106" bestFit="1" customWidth="1"/>
    <col min="241" max="241" width="3.42578125" style="106" customWidth="1"/>
    <col min="242" max="242" width="13.140625" style="106" bestFit="1" customWidth="1"/>
    <col min="243" max="243" width="4.140625" style="106" customWidth="1"/>
    <col min="244" max="245" width="1.7109375" style="106" bestFit="1" customWidth="1"/>
    <col min="246" max="493" width="7.85546875" style="106"/>
    <col min="494" max="494" width="51.28515625" style="106" customWidth="1"/>
    <col min="495" max="495" width="2.7109375" style="106" customWidth="1"/>
    <col min="496" max="496" width="13.140625" style="106" bestFit="1" customWidth="1"/>
    <col min="497" max="497" width="3.42578125" style="106" customWidth="1"/>
    <col min="498" max="498" width="13.140625" style="106" bestFit="1" customWidth="1"/>
    <col min="499" max="499" width="4.140625" style="106" customWidth="1"/>
    <col min="500" max="501" width="1.7109375" style="106" bestFit="1" customWidth="1"/>
    <col min="502" max="749" width="7.85546875" style="106"/>
    <col min="750" max="750" width="51.28515625" style="106" customWidth="1"/>
    <col min="751" max="751" width="2.7109375" style="106" customWidth="1"/>
    <col min="752" max="752" width="13.140625" style="106" bestFit="1" customWidth="1"/>
    <col min="753" max="753" width="3.42578125" style="106" customWidth="1"/>
    <col min="754" max="754" width="13.140625" style="106" bestFit="1" customWidth="1"/>
    <col min="755" max="755" width="4.140625" style="106" customWidth="1"/>
    <col min="756" max="757" width="1.7109375" style="106" bestFit="1" customWidth="1"/>
    <col min="758" max="1005" width="7.85546875" style="106"/>
    <col min="1006" max="1006" width="51.28515625" style="106" customWidth="1"/>
    <col min="1007" max="1007" width="2.7109375" style="106" customWidth="1"/>
    <col min="1008" max="1008" width="13.140625" style="106" bestFit="1" customWidth="1"/>
    <col min="1009" max="1009" width="3.42578125" style="106" customWidth="1"/>
    <col min="1010" max="1010" width="13.140625" style="106" bestFit="1" customWidth="1"/>
    <col min="1011" max="1011" width="4.140625" style="106" customWidth="1"/>
    <col min="1012" max="1013" width="1.7109375" style="106" bestFit="1" customWidth="1"/>
    <col min="1014" max="1261" width="7.85546875" style="106"/>
    <col min="1262" max="1262" width="51.28515625" style="106" customWidth="1"/>
    <col min="1263" max="1263" width="2.7109375" style="106" customWidth="1"/>
    <col min="1264" max="1264" width="13.140625" style="106" bestFit="1" customWidth="1"/>
    <col min="1265" max="1265" width="3.42578125" style="106" customWidth="1"/>
    <col min="1266" max="1266" width="13.140625" style="106" bestFit="1" customWidth="1"/>
    <col min="1267" max="1267" width="4.140625" style="106" customWidth="1"/>
    <col min="1268" max="1269" width="1.7109375" style="106" bestFit="1" customWidth="1"/>
    <col min="1270" max="1517" width="7.85546875" style="106"/>
    <col min="1518" max="1518" width="51.28515625" style="106" customWidth="1"/>
    <col min="1519" max="1519" width="2.7109375" style="106" customWidth="1"/>
    <col min="1520" max="1520" width="13.140625" style="106" bestFit="1" customWidth="1"/>
    <col min="1521" max="1521" width="3.42578125" style="106" customWidth="1"/>
    <col min="1522" max="1522" width="13.140625" style="106" bestFit="1" customWidth="1"/>
    <col min="1523" max="1523" width="4.140625" style="106" customWidth="1"/>
    <col min="1524" max="1525" width="1.7109375" style="106" bestFit="1" customWidth="1"/>
    <col min="1526" max="1773" width="7.85546875" style="106"/>
    <col min="1774" max="1774" width="51.28515625" style="106" customWidth="1"/>
    <col min="1775" max="1775" width="2.7109375" style="106" customWidth="1"/>
    <col min="1776" max="1776" width="13.140625" style="106" bestFit="1" customWidth="1"/>
    <col min="1777" max="1777" width="3.42578125" style="106" customWidth="1"/>
    <col min="1778" max="1778" width="13.140625" style="106" bestFit="1" customWidth="1"/>
    <col min="1779" max="1779" width="4.140625" style="106" customWidth="1"/>
    <col min="1780" max="1781" width="1.7109375" style="106" bestFit="1" customWidth="1"/>
    <col min="1782" max="2029" width="7.85546875" style="106"/>
    <col min="2030" max="2030" width="51.28515625" style="106" customWidth="1"/>
    <col min="2031" max="2031" width="2.7109375" style="106" customWidth="1"/>
    <col min="2032" max="2032" width="13.140625" style="106" bestFit="1" customWidth="1"/>
    <col min="2033" max="2033" width="3.42578125" style="106" customWidth="1"/>
    <col min="2034" max="2034" width="13.140625" style="106" bestFit="1" customWidth="1"/>
    <col min="2035" max="2035" width="4.140625" style="106" customWidth="1"/>
    <col min="2036" max="2037" width="1.7109375" style="106" bestFit="1" customWidth="1"/>
    <col min="2038" max="2285" width="7.85546875" style="106"/>
    <col min="2286" max="2286" width="51.28515625" style="106" customWidth="1"/>
    <col min="2287" max="2287" width="2.7109375" style="106" customWidth="1"/>
    <col min="2288" max="2288" width="13.140625" style="106" bestFit="1" customWidth="1"/>
    <col min="2289" max="2289" width="3.42578125" style="106" customWidth="1"/>
    <col min="2290" max="2290" width="13.140625" style="106" bestFit="1" customWidth="1"/>
    <col min="2291" max="2291" width="4.140625" style="106" customWidth="1"/>
    <col min="2292" max="2293" width="1.7109375" style="106" bestFit="1" customWidth="1"/>
    <col min="2294" max="2541" width="7.85546875" style="106"/>
    <col min="2542" max="2542" width="51.28515625" style="106" customWidth="1"/>
    <col min="2543" max="2543" width="2.7109375" style="106" customWidth="1"/>
    <col min="2544" max="2544" width="13.140625" style="106" bestFit="1" customWidth="1"/>
    <col min="2545" max="2545" width="3.42578125" style="106" customWidth="1"/>
    <col min="2546" max="2546" width="13.140625" style="106" bestFit="1" customWidth="1"/>
    <col min="2547" max="2547" width="4.140625" style="106" customWidth="1"/>
    <col min="2548" max="2549" width="1.7109375" style="106" bestFit="1" customWidth="1"/>
    <col min="2550" max="2797" width="7.85546875" style="106"/>
    <col min="2798" max="2798" width="51.28515625" style="106" customWidth="1"/>
    <col min="2799" max="2799" width="2.7109375" style="106" customWidth="1"/>
    <col min="2800" max="2800" width="13.140625" style="106" bestFit="1" customWidth="1"/>
    <col min="2801" max="2801" width="3.42578125" style="106" customWidth="1"/>
    <col min="2802" max="2802" width="13.140625" style="106" bestFit="1" customWidth="1"/>
    <col min="2803" max="2803" width="4.140625" style="106" customWidth="1"/>
    <col min="2804" max="2805" width="1.7109375" style="106" bestFit="1" customWidth="1"/>
    <col min="2806" max="3053" width="7.85546875" style="106"/>
    <col min="3054" max="3054" width="51.28515625" style="106" customWidth="1"/>
    <col min="3055" max="3055" width="2.7109375" style="106" customWidth="1"/>
    <col min="3056" max="3056" width="13.140625" style="106" bestFit="1" customWidth="1"/>
    <col min="3057" max="3057" width="3.42578125" style="106" customWidth="1"/>
    <col min="3058" max="3058" width="13.140625" style="106" bestFit="1" customWidth="1"/>
    <col min="3059" max="3059" width="4.140625" style="106" customWidth="1"/>
    <col min="3060" max="3061" width="1.7109375" style="106" bestFit="1" customWidth="1"/>
    <col min="3062" max="3309" width="7.85546875" style="106"/>
    <col min="3310" max="3310" width="51.28515625" style="106" customWidth="1"/>
    <col min="3311" max="3311" width="2.7109375" style="106" customWidth="1"/>
    <col min="3312" max="3312" width="13.140625" style="106" bestFit="1" customWidth="1"/>
    <col min="3313" max="3313" width="3.42578125" style="106" customWidth="1"/>
    <col min="3314" max="3314" width="13.140625" style="106" bestFit="1" customWidth="1"/>
    <col min="3315" max="3315" width="4.140625" style="106" customWidth="1"/>
    <col min="3316" max="3317" width="1.7109375" style="106" bestFit="1" customWidth="1"/>
    <col min="3318" max="3565" width="7.85546875" style="106"/>
    <col min="3566" max="3566" width="51.28515625" style="106" customWidth="1"/>
    <col min="3567" max="3567" width="2.7109375" style="106" customWidth="1"/>
    <col min="3568" max="3568" width="13.140625" style="106" bestFit="1" customWidth="1"/>
    <col min="3569" max="3569" width="3.42578125" style="106" customWidth="1"/>
    <col min="3570" max="3570" width="13.140625" style="106" bestFit="1" customWidth="1"/>
    <col min="3571" max="3571" width="4.140625" style="106" customWidth="1"/>
    <col min="3572" max="3573" width="1.7109375" style="106" bestFit="1" customWidth="1"/>
    <col min="3574" max="3821" width="7.85546875" style="106"/>
    <col min="3822" max="3822" width="51.28515625" style="106" customWidth="1"/>
    <col min="3823" max="3823" width="2.7109375" style="106" customWidth="1"/>
    <col min="3824" max="3824" width="13.140625" style="106" bestFit="1" customWidth="1"/>
    <col min="3825" max="3825" width="3.42578125" style="106" customWidth="1"/>
    <col min="3826" max="3826" width="13.140625" style="106" bestFit="1" customWidth="1"/>
    <col min="3827" max="3827" width="4.140625" style="106" customWidth="1"/>
    <col min="3828" max="3829" width="1.7109375" style="106" bestFit="1" customWidth="1"/>
    <col min="3830" max="4077" width="7.85546875" style="106"/>
    <col min="4078" max="4078" width="51.28515625" style="106" customWidth="1"/>
    <col min="4079" max="4079" width="2.7109375" style="106" customWidth="1"/>
    <col min="4080" max="4080" width="13.140625" style="106" bestFit="1" customWidth="1"/>
    <col min="4081" max="4081" width="3.42578125" style="106" customWidth="1"/>
    <col min="4082" max="4082" width="13.140625" style="106" bestFit="1" customWidth="1"/>
    <col min="4083" max="4083" width="4.140625" style="106" customWidth="1"/>
    <col min="4084" max="4085" width="1.7109375" style="106" bestFit="1" customWidth="1"/>
    <col min="4086" max="4333" width="7.85546875" style="106"/>
    <col min="4334" max="4334" width="51.28515625" style="106" customWidth="1"/>
    <col min="4335" max="4335" width="2.7109375" style="106" customWidth="1"/>
    <col min="4336" max="4336" width="13.140625" style="106" bestFit="1" customWidth="1"/>
    <col min="4337" max="4337" width="3.42578125" style="106" customWidth="1"/>
    <col min="4338" max="4338" width="13.140625" style="106" bestFit="1" customWidth="1"/>
    <col min="4339" max="4339" width="4.140625" style="106" customWidth="1"/>
    <col min="4340" max="4341" width="1.7109375" style="106" bestFit="1" customWidth="1"/>
    <col min="4342" max="4589" width="7.85546875" style="106"/>
    <col min="4590" max="4590" width="51.28515625" style="106" customWidth="1"/>
    <col min="4591" max="4591" width="2.7109375" style="106" customWidth="1"/>
    <col min="4592" max="4592" width="13.140625" style="106" bestFit="1" customWidth="1"/>
    <col min="4593" max="4593" width="3.42578125" style="106" customWidth="1"/>
    <col min="4594" max="4594" width="13.140625" style="106" bestFit="1" customWidth="1"/>
    <col min="4595" max="4595" width="4.140625" style="106" customWidth="1"/>
    <col min="4596" max="4597" width="1.7109375" style="106" bestFit="1" customWidth="1"/>
    <col min="4598" max="4845" width="7.85546875" style="106"/>
    <col min="4846" max="4846" width="51.28515625" style="106" customWidth="1"/>
    <col min="4847" max="4847" width="2.7109375" style="106" customWidth="1"/>
    <col min="4848" max="4848" width="13.140625" style="106" bestFit="1" customWidth="1"/>
    <col min="4849" max="4849" width="3.42578125" style="106" customWidth="1"/>
    <col min="4850" max="4850" width="13.140625" style="106" bestFit="1" customWidth="1"/>
    <col min="4851" max="4851" width="4.140625" style="106" customWidth="1"/>
    <col min="4852" max="4853" width="1.7109375" style="106" bestFit="1" customWidth="1"/>
    <col min="4854" max="5101" width="7.85546875" style="106"/>
    <col min="5102" max="5102" width="51.28515625" style="106" customWidth="1"/>
    <col min="5103" max="5103" width="2.7109375" style="106" customWidth="1"/>
    <col min="5104" max="5104" width="13.140625" style="106" bestFit="1" customWidth="1"/>
    <col min="5105" max="5105" width="3.42578125" style="106" customWidth="1"/>
    <col min="5106" max="5106" width="13.140625" style="106" bestFit="1" customWidth="1"/>
    <col min="5107" max="5107" width="4.140625" style="106" customWidth="1"/>
    <col min="5108" max="5109" width="1.7109375" style="106" bestFit="1" customWidth="1"/>
    <col min="5110" max="5357" width="7.85546875" style="106"/>
    <col min="5358" max="5358" width="51.28515625" style="106" customWidth="1"/>
    <col min="5359" max="5359" width="2.7109375" style="106" customWidth="1"/>
    <col min="5360" max="5360" width="13.140625" style="106" bestFit="1" customWidth="1"/>
    <col min="5361" max="5361" width="3.42578125" style="106" customWidth="1"/>
    <col min="5362" max="5362" width="13.140625" style="106" bestFit="1" customWidth="1"/>
    <col min="5363" max="5363" width="4.140625" style="106" customWidth="1"/>
    <col min="5364" max="5365" width="1.7109375" style="106" bestFit="1" customWidth="1"/>
    <col min="5366" max="5613" width="7.85546875" style="106"/>
    <col min="5614" max="5614" width="51.28515625" style="106" customWidth="1"/>
    <col min="5615" max="5615" width="2.7109375" style="106" customWidth="1"/>
    <col min="5616" max="5616" width="13.140625" style="106" bestFit="1" customWidth="1"/>
    <col min="5617" max="5617" width="3.42578125" style="106" customWidth="1"/>
    <col min="5618" max="5618" width="13.140625" style="106" bestFit="1" customWidth="1"/>
    <col min="5619" max="5619" width="4.140625" style="106" customWidth="1"/>
    <col min="5620" max="5621" width="1.7109375" style="106" bestFit="1" customWidth="1"/>
    <col min="5622" max="5869" width="7.85546875" style="106"/>
    <col min="5870" max="5870" width="51.28515625" style="106" customWidth="1"/>
    <col min="5871" max="5871" width="2.7109375" style="106" customWidth="1"/>
    <col min="5872" max="5872" width="13.140625" style="106" bestFit="1" customWidth="1"/>
    <col min="5873" max="5873" width="3.42578125" style="106" customWidth="1"/>
    <col min="5874" max="5874" width="13.140625" style="106" bestFit="1" customWidth="1"/>
    <col min="5875" max="5875" width="4.140625" style="106" customWidth="1"/>
    <col min="5876" max="5877" width="1.7109375" style="106" bestFit="1" customWidth="1"/>
    <col min="5878" max="6125" width="7.85546875" style="106"/>
    <col min="6126" max="6126" width="51.28515625" style="106" customWidth="1"/>
    <col min="6127" max="6127" width="2.7109375" style="106" customWidth="1"/>
    <col min="6128" max="6128" width="13.140625" style="106" bestFit="1" customWidth="1"/>
    <col min="6129" max="6129" width="3.42578125" style="106" customWidth="1"/>
    <col min="6130" max="6130" width="13.140625" style="106" bestFit="1" customWidth="1"/>
    <col min="6131" max="6131" width="4.140625" style="106" customWidth="1"/>
    <col min="6132" max="6133" width="1.7109375" style="106" bestFit="1" customWidth="1"/>
    <col min="6134" max="6381" width="7.85546875" style="106"/>
    <col min="6382" max="6382" width="51.28515625" style="106" customWidth="1"/>
    <col min="6383" max="6383" width="2.7109375" style="106" customWidth="1"/>
    <col min="6384" max="6384" width="13.140625" style="106" bestFit="1" customWidth="1"/>
    <col min="6385" max="6385" width="3.42578125" style="106" customWidth="1"/>
    <col min="6386" max="6386" width="13.140625" style="106" bestFit="1" customWidth="1"/>
    <col min="6387" max="6387" width="4.140625" style="106" customWidth="1"/>
    <col min="6388" max="6389" width="1.7109375" style="106" bestFit="1" customWidth="1"/>
    <col min="6390" max="6637" width="7.85546875" style="106"/>
    <col min="6638" max="6638" width="51.28515625" style="106" customWidth="1"/>
    <col min="6639" max="6639" width="2.7109375" style="106" customWidth="1"/>
    <col min="6640" max="6640" width="13.140625" style="106" bestFit="1" customWidth="1"/>
    <col min="6641" max="6641" width="3.42578125" style="106" customWidth="1"/>
    <col min="6642" max="6642" width="13.140625" style="106" bestFit="1" customWidth="1"/>
    <col min="6643" max="6643" width="4.140625" style="106" customWidth="1"/>
    <col min="6644" max="6645" width="1.7109375" style="106" bestFit="1" customWidth="1"/>
    <col min="6646" max="6893" width="7.85546875" style="106"/>
    <col min="6894" max="6894" width="51.28515625" style="106" customWidth="1"/>
    <col min="6895" max="6895" width="2.7109375" style="106" customWidth="1"/>
    <col min="6896" max="6896" width="13.140625" style="106" bestFit="1" customWidth="1"/>
    <col min="6897" max="6897" width="3.42578125" style="106" customWidth="1"/>
    <col min="6898" max="6898" width="13.140625" style="106" bestFit="1" customWidth="1"/>
    <col min="6899" max="6899" width="4.140625" style="106" customWidth="1"/>
    <col min="6900" max="6901" width="1.7109375" style="106" bestFit="1" customWidth="1"/>
    <col min="6902" max="7149" width="7.85546875" style="106"/>
    <col min="7150" max="7150" width="51.28515625" style="106" customWidth="1"/>
    <col min="7151" max="7151" width="2.7109375" style="106" customWidth="1"/>
    <col min="7152" max="7152" width="13.140625" style="106" bestFit="1" customWidth="1"/>
    <col min="7153" max="7153" width="3.42578125" style="106" customWidth="1"/>
    <col min="7154" max="7154" width="13.140625" style="106" bestFit="1" customWidth="1"/>
    <col min="7155" max="7155" width="4.140625" style="106" customWidth="1"/>
    <col min="7156" max="7157" width="1.7109375" style="106" bestFit="1" customWidth="1"/>
    <col min="7158" max="7405" width="7.85546875" style="106"/>
    <col min="7406" max="7406" width="51.28515625" style="106" customWidth="1"/>
    <col min="7407" max="7407" width="2.7109375" style="106" customWidth="1"/>
    <col min="7408" max="7408" width="13.140625" style="106" bestFit="1" customWidth="1"/>
    <col min="7409" max="7409" width="3.42578125" style="106" customWidth="1"/>
    <col min="7410" max="7410" width="13.140625" style="106" bestFit="1" customWidth="1"/>
    <col min="7411" max="7411" width="4.140625" style="106" customWidth="1"/>
    <col min="7412" max="7413" width="1.7109375" style="106" bestFit="1" customWidth="1"/>
    <col min="7414" max="7661" width="7.85546875" style="106"/>
    <col min="7662" max="7662" width="51.28515625" style="106" customWidth="1"/>
    <col min="7663" max="7663" width="2.7109375" style="106" customWidth="1"/>
    <col min="7664" max="7664" width="13.140625" style="106" bestFit="1" customWidth="1"/>
    <col min="7665" max="7665" width="3.42578125" style="106" customWidth="1"/>
    <col min="7666" max="7666" width="13.140625" style="106" bestFit="1" customWidth="1"/>
    <col min="7667" max="7667" width="4.140625" style="106" customWidth="1"/>
    <col min="7668" max="7669" width="1.7109375" style="106" bestFit="1" customWidth="1"/>
    <col min="7670" max="7917" width="7.85546875" style="106"/>
    <col min="7918" max="7918" width="51.28515625" style="106" customWidth="1"/>
    <col min="7919" max="7919" width="2.7109375" style="106" customWidth="1"/>
    <col min="7920" max="7920" width="13.140625" style="106" bestFit="1" customWidth="1"/>
    <col min="7921" max="7921" width="3.42578125" style="106" customWidth="1"/>
    <col min="7922" max="7922" width="13.140625" style="106" bestFit="1" customWidth="1"/>
    <col min="7923" max="7923" width="4.140625" style="106" customWidth="1"/>
    <col min="7924" max="7925" width="1.7109375" style="106" bestFit="1" customWidth="1"/>
    <col min="7926" max="8173" width="7.85546875" style="106"/>
    <col min="8174" max="8174" width="51.28515625" style="106" customWidth="1"/>
    <col min="8175" max="8175" width="2.7109375" style="106" customWidth="1"/>
    <col min="8176" max="8176" width="13.140625" style="106" bestFit="1" customWidth="1"/>
    <col min="8177" max="8177" width="3.42578125" style="106" customWidth="1"/>
    <col min="8178" max="8178" width="13.140625" style="106" bestFit="1" customWidth="1"/>
    <col min="8179" max="8179" width="4.140625" style="106" customWidth="1"/>
    <col min="8180" max="8181" width="1.7109375" style="106" bestFit="1" customWidth="1"/>
    <col min="8182" max="8429" width="7.85546875" style="106"/>
    <col min="8430" max="8430" width="51.28515625" style="106" customWidth="1"/>
    <col min="8431" max="8431" width="2.7109375" style="106" customWidth="1"/>
    <col min="8432" max="8432" width="13.140625" style="106" bestFit="1" customWidth="1"/>
    <col min="8433" max="8433" width="3.42578125" style="106" customWidth="1"/>
    <col min="8434" max="8434" width="13.140625" style="106" bestFit="1" customWidth="1"/>
    <col min="8435" max="8435" width="4.140625" style="106" customWidth="1"/>
    <col min="8436" max="8437" width="1.7109375" style="106" bestFit="1" customWidth="1"/>
    <col min="8438" max="8685" width="7.85546875" style="106"/>
    <col min="8686" max="8686" width="51.28515625" style="106" customWidth="1"/>
    <col min="8687" max="8687" width="2.7109375" style="106" customWidth="1"/>
    <col min="8688" max="8688" width="13.140625" style="106" bestFit="1" customWidth="1"/>
    <col min="8689" max="8689" width="3.42578125" style="106" customWidth="1"/>
    <col min="8690" max="8690" width="13.140625" style="106" bestFit="1" customWidth="1"/>
    <col min="8691" max="8691" width="4.140625" style="106" customWidth="1"/>
    <col min="8692" max="8693" width="1.7109375" style="106" bestFit="1" customWidth="1"/>
    <col min="8694" max="8941" width="7.85546875" style="106"/>
    <col min="8942" max="8942" width="51.28515625" style="106" customWidth="1"/>
    <col min="8943" max="8943" width="2.7109375" style="106" customWidth="1"/>
    <col min="8944" max="8944" width="13.140625" style="106" bestFit="1" customWidth="1"/>
    <col min="8945" max="8945" width="3.42578125" style="106" customWidth="1"/>
    <col min="8946" max="8946" width="13.140625" style="106" bestFit="1" customWidth="1"/>
    <col min="8947" max="8947" width="4.140625" style="106" customWidth="1"/>
    <col min="8948" max="8949" width="1.7109375" style="106" bestFit="1" customWidth="1"/>
    <col min="8950" max="9197" width="7.85546875" style="106"/>
    <col min="9198" max="9198" width="51.28515625" style="106" customWidth="1"/>
    <col min="9199" max="9199" width="2.7109375" style="106" customWidth="1"/>
    <col min="9200" max="9200" width="13.140625" style="106" bestFit="1" customWidth="1"/>
    <col min="9201" max="9201" width="3.42578125" style="106" customWidth="1"/>
    <col min="9202" max="9202" width="13.140625" style="106" bestFit="1" customWidth="1"/>
    <col min="9203" max="9203" width="4.140625" style="106" customWidth="1"/>
    <col min="9204" max="9205" width="1.7109375" style="106" bestFit="1" customWidth="1"/>
    <col min="9206" max="9453" width="7.85546875" style="106"/>
    <col min="9454" max="9454" width="51.28515625" style="106" customWidth="1"/>
    <col min="9455" max="9455" width="2.7109375" style="106" customWidth="1"/>
    <col min="9456" max="9456" width="13.140625" style="106" bestFit="1" customWidth="1"/>
    <col min="9457" max="9457" width="3.42578125" style="106" customWidth="1"/>
    <col min="9458" max="9458" width="13.140625" style="106" bestFit="1" customWidth="1"/>
    <col min="9459" max="9459" width="4.140625" style="106" customWidth="1"/>
    <col min="9460" max="9461" width="1.7109375" style="106" bestFit="1" customWidth="1"/>
    <col min="9462" max="9709" width="7.85546875" style="106"/>
    <col min="9710" max="9710" width="51.28515625" style="106" customWidth="1"/>
    <col min="9711" max="9711" width="2.7109375" style="106" customWidth="1"/>
    <col min="9712" max="9712" width="13.140625" style="106" bestFit="1" customWidth="1"/>
    <col min="9713" max="9713" width="3.42578125" style="106" customWidth="1"/>
    <col min="9714" max="9714" width="13.140625" style="106" bestFit="1" customWidth="1"/>
    <col min="9715" max="9715" width="4.140625" style="106" customWidth="1"/>
    <col min="9716" max="9717" width="1.7109375" style="106" bestFit="1" customWidth="1"/>
    <col min="9718" max="9965" width="7.85546875" style="106"/>
    <col min="9966" max="9966" width="51.28515625" style="106" customWidth="1"/>
    <col min="9967" max="9967" width="2.7109375" style="106" customWidth="1"/>
    <col min="9968" max="9968" width="13.140625" style="106" bestFit="1" customWidth="1"/>
    <col min="9969" max="9969" width="3.42578125" style="106" customWidth="1"/>
    <col min="9970" max="9970" width="13.140625" style="106" bestFit="1" customWidth="1"/>
    <col min="9971" max="9971" width="4.140625" style="106" customWidth="1"/>
    <col min="9972" max="9973" width="1.7109375" style="106" bestFit="1" customWidth="1"/>
    <col min="9974" max="10221" width="7.85546875" style="106"/>
    <col min="10222" max="10222" width="51.28515625" style="106" customWidth="1"/>
    <col min="10223" max="10223" width="2.7109375" style="106" customWidth="1"/>
    <col min="10224" max="10224" width="13.140625" style="106" bestFit="1" customWidth="1"/>
    <col min="10225" max="10225" width="3.42578125" style="106" customWidth="1"/>
    <col min="10226" max="10226" width="13.140625" style="106" bestFit="1" customWidth="1"/>
    <col min="10227" max="10227" width="4.140625" style="106" customWidth="1"/>
    <col min="10228" max="10229" width="1.7109375" style="106" bestFit="1" customWidth="1"/>
    <col min="10230" max="10477" width="7.85546875" style="106"/>
    <col min="10478" max="10478" width="51.28515625" style="106" customWidth="1"/>
    <col min="10479" max="10479" width="2.7109375" style="106" customWidth="1"/>
    <col min="10480" max="10480" width="13.140625" style="106" bestFit="1" customWidth="1"/>
    <col min="10481" max="10481" width="3.42578125" style="106" customWidth="1"/>
    <col min="10482" max="10482" width="13.140625" style="106" bestFit="1" customWidth="1"/>
    <col min="10483" max="10483" width="4.140625" style="106" customWidth="1"/>
    <col min="10484" max="10485" width="1.7109375" style="106" bestFit="1" customWidth="1"/>
    <col min="10486" max="10733" width="7.85546875" style="106"/>
    <col min="10734" max="10734" width="51.28515625" style="106" customWidth="1"/>
    <col min="10735" max="10735" width="2.7109375" style="106" customWidth="1"/>
    <col min="10736" max="10736" width="13.140625" style="106" bestFit="1" customWidth="1"/>
    <col min="10737" max="10737" width="3.42578125" style="106" customWidth="1"/>
    <col min="10738" max="10738" width="13.140625" style="106" bestFit="1" customWidth="1"/>
    <col min="10739" max="10739" width="4.140625" style="106" customWidth="1"/>
    <col min="10740" max="10741" width="1.7109375" style="106" bestFit="1" customWidth="1"/>
    <col min="10742" max="10989" width="7.85546875" style="106"/>
    <col min="10990" max="10990" width="51.28515625" style="106" customWidth="1"/>
    <col min="10991" max="10991" width="2.7109375" style="106" customWidth="1"/>
    <col min="10992" max="10992" width="13.140625" style="106" bestFit="1" customWidth="1"/>
    <col min="10993" max="10993" width="3.42578125" style="106" customWidth="1"/>
    <col min="10994" max="10994" width="13.140625" style="106" bestFit="1" customWidth="1"/>
    <col min="10995" max="10995" width="4.140625" style="106" customWidth="1"/>
    <col min="10996" max="10997" width="1.7109375" style="106" bestFit="1" customWidth="1"/>
    <col min="10998" max="11245" width="7.85546875" style="106"/>
    <col min="11246" max="11246" width="51.28515625" style="106" customWidth="1"/>
    <col min="11247" max="11247" width="2.7109375" style="106" customWidth="1"/>
    <col min="11248" max="11248" width="13.140625" style="106" bestFit="1" customWidth="1"/>
    <col min="11249" max="11249" width="3.42578125" style="106" customWidth="1"/>
    <col min="11250" max="11250" width="13.140625" style="106" bestFit="1" customWidth="1"/>
    <col min="11251" max="11251" width="4.140625" style="106" customWidth="1"/>
    <col min="11252" max="11253" width="1.7109375" style="106" bestFit="1" customWidth="1"/>
    <col min="11254" max="11501" width="7.85546875" style="106"/>
    <col min="11502" max="11502" width="51.28515625" style="106" customWidth="1"/>
    <col min="11503" max="11503" width="2.7109375" style="106" customWidth="1"/>
    <col min="11504" max="11504" width="13.140625" style="106" bestFit="1" customWidth="1"/>
    <col min="11505" max="11505" width="3.42578125" style="106" customWidth="1"/>
    <col min="11506" max="11506" width="13.140625" style="106" bestFit="1" customWidth="1"/>
    <col min="11507" max="11507" width="4.140625" style="106" customWidth="1"/>
    <col min="11508" max="11509" width="1.7109375" style="106" bestFit="1" customWidth="1"/>
    <col min="11510" max="11757" width="7.85546875" style="106"/>
    <col min="11758" max="11758" width="51.28515625" style="106" customWidth="1"/>
    <col min="11759" max="11759" width="2.7109375" style="106" customWidth="1"/>
    <col min="11760" max="11760" width="13.140625" style="106" bestFit="1" customWidth="1"/>
    <col min="11761" max="11761" width="3.42578125" style="106" customWidth="1"/>
    <col min="11762" max="11762" width="13.140625" style="106" bestFit="1" customWidth="1"/>
    <col min="11763" max="11763" width="4.140625" style="106" customWidth="1"/>
    <col min="11764" max="11765" width="1.7109375" style="106" bestFit="1" customWidth="1"/>
    <col min="11766" max="12013" width="7.85546875" style="106"/>
    <col min="12014" max="12014" width="51.28515625" style="106" customWidth="1"/>
    <col min="12015" max="12015" width="2.7109375" style="106" customWidth="1"/>
    <col min="12016" max="12016" width="13.140625" style="106" bestFit="1" customWidth="1"/>
    <col min="12017" max="12017" width="3.42578125" style="106" customWidth="1"/>
    <col min="12018" max="12018" width="13.140625" style="106" bestFit="1" customWidth="1"/>
    <col min="12019" max="12019" width="4.140625" style="106" customWidth="1"/>
    <col min="12020" max="12021" width="1.7109375" style="106" bestFit="1" customWidth="1"/>
    <col min="12022" max="12269" width="7.85546875" style="106"/>
    <col min="12270" max="12270" width="51.28515625" style="106" customWidth="1"/>
    <col min="12271" max="12271" width="2.7109375" style="106" customWidth="1"/>
    <col min="12272" max="12272" width="13.140625" style="106" bestFit="1" customWidth="1"/>
    <col min="12273" max="12273" width="3.42578125" style="106" customWidth="1"/>
    <col min="12274" max="12274" width="13.140625" style="106" bestFit="1" customWidth="1"/>
    <col min="12275" max="12275" width="4.140625" style="106" customWidth="1"/>
    <col min="12276" max="12277" width="1.7109375" style="106" bestFit="1" customWidth="1"/>
    <col min="12278" max="12525" width="7.85546875" style="106"/>
    <col min="12526" max="12526" width="51.28515625" style="106" customWidth="1"/>
    <col min="12527" max="12527" width="2.7109375" style="106" customWidth="1"/>
    <col min="12528" max="12528" width="13.140625" style="106" bestFit="1" customWidth="1"/>
    <col min="12529" max="12529" width="3.42578125" style="106" customWidth="1"/>
    <col min="12530" max="12530" width="13.140625" style="106" bestFit="1" customWidth="1"/>
    <col min="12531" max="12531" width="4.140625" style="106" customWidth="1"/>
    <col min="12532" max="12533" width="1.7109375" style="106" bestFit="1" customWidth="1"/>
    <col min="12534" max="12781" width="7.85546875" style="106"/>
    <col min="12782" max="12782" width="51.28515625" style="106" customWidth="1"/>
    <col min="12783" max="12783" width="2.7109375" style="106" customWidth="1"/>
    <col min="12784" max="12784" width="13.140625" style="106" bestFit="1" customWidth="1"/>
    <col min="12785" max="12785" width="3.42578125" style="106" customWidth="1"/>
    <col min="12786" max="12786" width="13.140625" style="106" bestFit="1" customWidth="1"/>
    <col min="12787" max="12787" width="4.140625" style="106" customWidth="1"/>
    <col min="12788" max="12789" width="1.7109375" style="106" bestFit="1" customWidth="1"/>
    <col min="12790" max="13037" width="7.85546875" style="106"/>
    <col min="13038" max="13038" width="51.28515625" style="106" customWidth="1"/>
    <col min="13039" max="13039" width="2.7109375" style="106" customWidth="1"/>
    <col min="13040" max="13040" width="13.140625" style="106" bestFit="1" customWidth="1"/>
    <col min="13041" max="13041" width="3.42578125" style="106" customWidth="1"/>
    <col min="13042" max="13042" width="13.140625" style="106" bestFit="1" customWidth="1"/>
    <col min="13043" max="13043" width="4.140625" style="106" customWidth="1"/>
    <col min="13044" max="13045" width="1.7109375" style="106" bestFit="1" customWidth="1"/>
    <col min="13046" max="13293" width="7.85546875" style="106"/>
    <col min="13294" max="13294" width="51.28515625" style="106" customWidth="1"/>
    <col min="13295" max="13295" width="2.7109375" style="106" customWidth="1"/>
    <col min="13296" max="13296" width="13.140625" style="106" bestFit="1" customWidth="1"/>
    <col min="13297" max="13297" width="3.42578125" style="106" customWidth="1"/>
    <col min="13298" max="13298" width="13.140625" style="106" bestFit="1" customWidth="1"/>
    <col min="13299" max="13299" width="4.140625" style="106" customWidth="1"/>
    <col min="13300" max="13301" width="1.7109375" style="106" bestFit="1" customWidth="1"/>
    <col min="13302" max="13549" width="7.85546875" style="106"/>
    <col min="13550" max="13550" width="51.28515625" style="106" customWidth="1"/>
    <col min="13551" max="13551" width="2.7109375" style="106" customWidth="1"/>
    <col min="13552" max="13552" width="13.140625" style="106" bestFit="1" customWidth="1"/>
    <col min="13553" max="13553" width="3.42578125" style="106" customWidth="1"/>
    <col min="13554" max="13554" width="13.140625" style="106" bestFit="1" customWidth="1"/>
    <col min="13555" max="13555" width="4.140625" style="106" customWidth="1"/>
    <col min="13556" max="13557" width="1.7109375" style="106" bestFit="1" customWidth="1"/>
    <col min="13558" max="13805" width="7.85546875" style="106"/>
    <col min="13806" max="13806" width="51.28515625" style="106" customWidth="1"/>
    <col min="13807" max="13807" width="2.7109375" style="106" customWidth="1"/>
    <col min="13808" max="13808" width="13.140625" style="106" bestFit="1" customWidth="1"/>
    <col min="13809" max="13809" width="3.42578125" style="106" customWidth="1"/>
    <col min="13810" max="13810" width="13.140625" style="106" bestFit="1" customWidth="1"/>
    <col min="13811" max="13811" width="4.140625" style="106" customWidth="1"/>
    <col min="13812" max="13813" width="1.7109375" style="106" bestFit="1" customWidth="1"/>
    <col min="13814" max="14061" width="7.85546875" style="106"/>
    <col min="14062" max="14062" width="51.28515625" style="106" customWidth="1"/>
    <col min="14063" max="14063" width="2.7109375" style="106" customWidth="1"/>
    <col min="14064" max="14064" width="13.140625" style="106" bestFit="1" customWidth="1"/>
    <col min="14065" max="14065" width="3.42578125" style="106" customWidth="1"/>
    <col min="14066" max="14066" width="13.140625" style="106" bestFit="1" customWidth="1"/>
    <col min="14067" max="14067" width="4.140625" style="106" customWidth="1"/>
    <col min="14068" max="14069" width="1.7109375" style="106" bestFit="1" customWidth="1"/>
    <col min="14070" max="14317" width="7.85546875" style="106"/>
    <col min="14318" max="14318" width="51.28515625" style="106" customWidth="1"/>
    <col min="14319" max="14319" width="2.7109375" style="106" customWidth="1"/>
    <col min="14320" max="14320" width="13.140625" style="106" bestFit="1" customWidth="1"/>
    <col min="14321" max="14321" width="3.42578125" style="106" customWidth="1"/>
    <col min="14322" max="14322" width="13.140625" style="106" bestFit="1" customWidth="1"/>
    <col min="14323" max="14323" width="4.140625" style="106" customWidth="1"/>
    <col min="14324" max="14325" width="1.7109375" style="106" bestFit="1" customWidth="1"/>
    <col min="14326" max="14573" width="7.85546875" style="106"/>
    <col min="14574" max="14574" width="51.28515625" style="106" customWidth="1"/>
    <col min="14575" max="14575" width="2.7109375" style="106" customWidth="1"/>
    <col min="14576" max="14576" width="13.140625" style="106" bestFit="1" customWidth="1"/>
    <col min="14577" max="14577" width="3.42578125" style="106" customWidth="1"/>
    <col min="14578" max="14578" width="13.140625" style="106" bestFit="1" customWidth="1"/>
    <col min="14579" max="14579" width="4.140625" style="106" customWidth="1"/>
    <col min="14580" max="14581" width="1.7109375" style="106" bestFit="1" customWidth="1"/>
    <col min="14582" max="14829" width="7.85546875" style="106"/>
    <col min="14830" max="14830" width="51.28515625" style="106" customWidth="1"/>
    <col min="14831" max="14831" width="2.7109375" style="106" customWidth="1"/>
    <col min="14832" max="14832" width="13.140625" style="106" bestFit="1" customWidth="1"/>
    <col min="14833" max="14833" width="3.42578125" style="106" customWidth="1"/>
    <col min="14834" max="14834" width="13.140625" style="106" bestFit="1" customWidth="1"/>
    <col min="14835" max="14835" width="4.140625" style="106" customWidth="1"/>
    <col min="14836" max="14837" width="1.7109375" style="106" bestFit="1" customWidth="1"/>
    <col min="14838" max="15085" width="7.85546875" style="106"/>
    <col min="15086" max="15086" width="51.28515625" style="106" customWidth="1"/>
    <col min="15087" max="15087" width="2.7109375" style="106" customWidth="1"/>
    <col min="15088" max="15088" width="13.140625" style="106" bestFit="1" customWidth="1"/>
    <col min="15089" max="15089" width="3.42578125" style="106" customWidth="1"/>
    <col min="15090" max="15090" width="13.140625" style="106" bestFit="1" customWidth="1"/>
    <col min="15091" max="15091" width="4.140625" style="106" customWidth="1"/>
    <col min="15092" max="15093" width="1.7109375" style="106" bestFit="1" customWidth="1"/>
    <col min="15094" max="15341" width="7.85546875" style="106"/>
    <col min="15342" max="15342" width="51.28515625" style="106" customWidth="1"/>
    <col min="15343" max="15343" width="2.7109375" style="106" customWidth="1"/>
    <col min="15344" max="15344" width="13.140625" style="106" bestFit="1" customWidth="1"/>
    <col min="15345" max="15345" width="3.42578125" style="106" customWidth="1"/>
    <col min="15346" max="15346" width="13.140625" style="106" bestFit="1" customWidth="1"/>
    <col min="15347" max="15347" width="4.140625" style="106" customWidth="1"/>
    <col min="15348" max="15349" width="1.7109375" style="106" bestFit="1" customWidth="1"/>
    <col min="15350" max="15597" width="7.85546875" style="106"/>
    <col min="15598" max="15598" width="51.28515625" style="106" customWidth="1"/>
    <col min="15599" max="15599" width="2.7109375" style="106" customWidth="1"/>
    <col min="15600" max="15600" width="13.140625" style="106" bestFit="1" customWidth="1"/>
    <col min="15601" max="15601" width="3.42578125" style="106" customWidth="1"/>
    <col min="15602" max="15602" width="13.140625" style="106" bestFit="1" customWidth="1"/>
    <col min="15603" max="15603" width="4.140625" style="106" customWidth="1"/>
    <col min="15604" max="15605" width="1.7109375" style="106" bestFit="1" customWidth="1"/>
    <col min="15606" max="15853" width="7.85546875" style="106"/>
    <col min="15854" max="15854" width="51.28515625" style="106" customWidth="1"/>
    <col min="15855" max="15855" width="2.7109375" style="106" customWidth="1"/>
    <col min="15856" max="15856" width="13.140625" style="106" bestFit="1" customWidth="1"/>
    <col min="15857" max="15857" width="3.42578125" style="106" customWidth="1"/>
    <col min="15858" max="15858" width="13.140625" style="106" bestFit="1" customWidth="1"/>
    <col min="15859" max="15859" width="4.140625" style="106" customWidth="1"/>
    <col min="15860" max="15861" width="1.7109375" style="106" bestFit="1" customWidth="1"/>
    <col min="15862" max="16109" width="7.85546875" style="106"/>
    <col min="16110" max="16110" width="51.28515625" style="106" customWidth="1"/>
    <col min="16111" max="16111" width="2.7109375" style="106" customWidth="1"/>
    <col min="16112" max="16112" width="13.140625" style="106" bestFit="1" customWidth="1"/>
    <col min="16113" max="16113" width="3.42578125" style="106" customWidth="1"/>
    <col min="16114" max="16114" width="13.140625" style="106" bestFit="1" customWidth="1"/>
    <col min="16115" max="16115" width="4.140625" style="106" customWidth="1"/>
    <col min="16116" max="16117" width="1.7109375" style="106" bestFit="1" customWidth="1"/>
    <col min="16118" max="16384" width="7.85546875" style="106"/>
  </cols>
  <sheetData>
    <row r="1" spans="1:14" ht="22.5" x14ac:dyDescent="0.2">
      <c r="C1" s="107" t="s">
        <v>158</v>
      </c>
      <c r="E1" s="107" t="s">
        <v>159</v>
      </c>
      <c r="G1" s="107">
        <v>2019</v>
      </c>
      <c r="I1" s="107">
        <v>2018</v>
      </c>
      <c r="K1" s="107" t="s">
        <v>62</v>
      </c>
      <c r="L1" s="107" t="s">
        <v>144</v>
      </c>
      <c r="M1" s="126" t="s">
        <v>143</v>
      </c>
      <c r="N1" s="108" t="s">
        <v>145</v>
      </c>
    </row>
    <row r="2" spans="1:14" x14ac:dyDescent="0.2">
      <c r="A2" s="108" t="s">
        <v>160</v>
      </c>
      <c r="B2" s="108"/>
      <c r="C2" s="107"/>
      <c r="D2" s="108"/>
      <c r="E2" s="108"/>
    </row>
    <row r="3" spans="1:14" ht="22.5" x14ac:dyDescent="0.2">
      <c r="A3" s="109" t="s">
        <v>161</v>
      </c>
      <c r="B3" s="110"/>
      <c r="C3" s="111" t="s">
        <v>162</v>
      </c>
      <c r="D3" s="112"/>
      <c r="E3" s="113" t="s">
        <v>163</v>
      </c>
      <c r="G3" s="125">
        <f>+K3+L3+M3</f>
        <v>14392610</v>
      </c>
      <c r="H3" s="114"/>
      <c r="I3" s="115">
        <v>10764779</v>
      </c>
      <c r="K3" s="115">
        <v>14392610</v>
      </c>
    </row>
    <row r="4" spans="1:14" x14ac:dyDescent="0.2">
      <c r="A4" s="109" t="s">
        <v>164</v>
      </c>
      <c r="B4" s="110"/>
      <c r="C4" s="113" t="s">
        <v>165</v>
      </c>
      <c r="D4" s="112"/>
      <c r="E4" s="113" t="s">
        <v>163</v>
      </c>
      <c r="G4" s="125">
        <f t="shared" ref="G4:G16" si="0">+K4+L4+M4</f>
        <v>5813218</v>
      </c>
      <c r="H4" s="114"/>
      <c r="I4" s="115">
        <v>5731246</v>
      </c>
      <c r="K4" s="115">
        <v>5813218</v>
      </c>
    </row>
    <row r="5" spans="1:14" x14ac:dyDescent="0.2">
      <c r="A5" s="109" t="s">
        <v>166</v>
      </c>
      <c r="B5" s="110"/>
      <c r="C5" s="113" t="s">
        <v>165</v>
      </c>
      <c r="D5" s="112"/>
      <c r="E5" s="113" t="s">
        <v>163</v>
      </c>
      <c r="G5" s="125">
        <f t="shared" si="0"/>
        <v>0</v>
      </c>
      <c r="H5" s="114"/>
      <c r="I5" s="115">
        <v>5598038</v>
      </c>
      <c r="K5" s="115"/>
    </row>
    <row r="6" spans="1:14" x14ac:dyDescent="0.2">
      <c r="A6" s="109" t="s">
        <v>167</v>
      </c>
      <c r="B6" s="110"/>
      <c r="C6" s="113" t="s">
        <v>165</v>
      </c>
      <c r="D6" s="112"/>
      <c r="E6" s="113" t="s">
        <v>163</v>
      </c>
      <c r="G6" s="125">
        <f t="shared" si="0"/>
        <v>3443375</v>
      </c>
      <c r="H6" s="114"/>
      <c r="I6" s="115">
        <v>3833371</v>
      </c>
      <c r="K6" s="115">
        <v>3443375</v>
      </c>
    </row>
    <row r="7" spans="1:14" x14ac:dyDescent="0.2">
      <c r="A7" s="109" t="s">
        <v>168</v>
      </c>
      <c r="B7" s="110"/>
      <c r="C7" s="113" t="s">
        <v>169</v>
      </c>
      <c r="D7" s="112"/>
      <c r="E7" s="113" t="s">
        <v>170</v>
      </c>
      <c r="G7" s="125">
        <f t="shared" si="0"/>
        <v>5306616</v>
      </c>
      <c r="H7" s="114"/>
      <c r="I7" s="115">
        <v>2814611</v>
      </c>
      <c r="K7" s="115">
        <v>5306616</v>
      </c>
    </row>
    <row r="8" spans="1:14" x14ac:dyDescent="0.2">
      <c r="A8" s="109" t="s">
        <v>171</v>
      </c>
      <c r="B8" s="110"/>
      <c r="C8" s="113" t="s">
        <v>169</v>
      </c>
      <c r="D8" s="112"/>
      <c r="E8" s="113" t="s">
        <v>170</v>
      </c>
      <c r="G8" s="125">
        <f t="shared" si="0"/>
        <v>2162119</v>
      </c>
      <c r="H8" s="114"/>
      <c r="I8" s="115">
        <v>2673424</v>
      </c>
      <c r="K8" s="115">
        <v>2162119</v>
      </c>
    </row>
    <row r="9" spans="1:14" x14ac:dyDescent="0.2">
      <c r="A9" s="109" t="s">
        <v>172</v>
      </c>
      <c r="B9" s="110"/>
      <c r="C9" s="116" t="s">
        <v>173</v>
      </c>
      <c r="D9" s="112"/>
      <c r="E9" s="113" t="s">
        <v>163</v>
      </c>
      <c r="G9" s="125">
        <f t="shared" si="0"/>
        <v>0</v>
      </c>
      <c r="H9" s="114"/>
      <c r="I9" s="115">
        <v>1833777</v>
      </c>
      <c r="K9" s="123">
        <v>0</v>
      </c>
    </row>
    <row r="10" spans="1:14" x14ac:dyDescent="0.2">
      <c r="A10" s="109" t="s">
        <v>174</v>
      </c>
      <c r="B10" s="110"/>
      <c r="C10" s="113" t="s">
        <v>165</v>
      </c>
      <c r="D10" s="112"/>
      <c r="E10" s="113" t="s">
        <v>163</v>
      </c>
      <c r="G10" s="125">
        <f t="shared" si="0"/>
        <v>0</v>
      </c>
      <c r="H10" s="114"/>
      <c r="I10" s="115">
        <v>743522</v>
      </c>
      <c r="K10" s="115"/>
    </row>
    <row r="11" spans="1:14" ht="22.5" x14ac:dyDescent="0.2">
      <c r="A11" s="109" t="s">
        <v>175</v>
      </c>
      <c r="B11" s="110"/>
      <c r="C11" s="111" t="s">
        <v>162</v>
      </c>
      <c r="D11" s="112"/>
      <c r="E11" s="113" t="s">
        <v>163</v>
      </c>
      <c r="G11" s="125">
        <f t="shared" si="0"/>
        <v>104066</v>
      </c>
      <c r="H11" s="114"/>
      <c r="I11" s="115">
        <v>94548</v>
      </c>
      <c r="K11" s="115">
        <v>104066</v>
      </c>
    </row>
    <row r="12" spans="1:14" x14ac:dyDescent="0.2">
      <c r="A12" s="109" t="s">
        <v>176</v>
      </c>
      <c r="B12" s="110"/>
      <c r="C12" s="113" t="s">
        <v>165</v>
      </c>
      <c r="D12" s="112"/>
      <c r="E12" s="113" t="s">
        <v>163</v>
      </c>
      <c r="G12" s="125">
        <f t="shared" si="0"/>
        <v>68859</v>
      </c>
      <c r="H12" s="114"/>
      <c r="I12" s="115">
        <v>39811</v>
      </c>
      <c r="K12" s="115">
        <v>68859</v>
      </c>
    </row>
    <row r="13" spans="1:14" x14ac:dyDescent="0.2">
      <c r="A13" s="109" t="s">
        <v>177</v>
      </c>
      <c r="B13" s="110"/>
      <c r="C13" s="113" t="s">
        <v>178</v>
      </c>
      <c r="D13" s="112"/>
      <c r="E13" s="113" t="s">
        <v>163</v>
      </c>
      <c r="G13" s="125">
        <f t="shared" si="0"/>
        <v>13412</v>
      </c>
      <c r="H13" s="114"/>
      <c r="I13" s="115">
        <v>17327</v>
      </c>
      <c r="K13" s="115">
        <v>13412</v>
      </c>
    </row>
    <row r="14" spans="1:14" x14ac:dyDescent="0.2">
      <c r="A14" s="109" t="s">
        <v>179</v>
      </c>
      <c r="B14" s="110"/>
      <c r="C14" s="116" t="s">
        <v>173</v>
      </c>
      <c r="D14" s="112"/>
      <c r="E14" s="113" t="s">
        <v>163</v>
      </c>
      <c r="G14" s="125">
        <f t="shared" si="0"/>
        <v>29639</v>
      </c>
      <c r="H14" s="114"/>
      <c r="I14" s="115">
        <v>15095</v>
      </c>
      <c r="K14" s="115">
        <v>29639</v>
      </c>
    </row>
    <row r="15" spans="1:14" x14ac:dyDescent="0.2">
      <c r="A15" s="109" t="s">
        <v>180</v>
      </c>
      <c r="B15" s="110"/>
      <c r="C15" s="113" t="s">
        <v>165</v>
      </c>
      <c r="D15" s="112"/>
      <c r="E15" s="113" t="s">
        <v>163</v>
      </c>
      <c r="G15" s="125">
        <f t="shared" si="0"/>
        <v>233964</v>
      </c>
      <c r="H15" s="114"/>
      <c r="I15" s="115">
        <v>0</v>
      </c>
      <c r="M15" s="124">
        <v>233964</v>
      </c>
    </row>
    <row r="16" spans="1:14" x14ac:dyDescent="0.2">
      <c r="A16" s="109" t="s">
        <v>181</v>
      </c>
      <c r="B16" s="110"/>
      <c r="C16" s="113" t="s">
        <v>165</v>
      </c>
      <c r="D16" s="112"/>
      <c r="E16" s="113" t="s">
        <v>163</v>
      </c>
      <c r="G16" s="125">
        <f t="shared" si="0"/>
        <v>0</v>
      </c>
      <c r="H16" s="114"/>
      <c r="I16" s="115"/>
    </row>
    <row r="17" spans="1:21" x14ac:dyDescent="0.2">
      <c r="A17" s="109" t="s">
        <v>96</v>
      </c>
      <c r="B17" s="110"/>
      <c r="C17" s="113"/>
      <c r="D17" s="112"/>
      <c r="E17" s="113" t="s">
        <v>163</v>
      </c>
      <c r="G17" s="125">
        <f>31803746-31567878</f>
        <v>235868</v>
      </c>
      <c r="H17" s="114"/>
      <c r="I17" s="115">
        <v>47013</v>
      </c>
      <c r="L17" s="124">
        <v>696631</v>
      </c>
    </row>
    <row r="18" spans="1:21" ht="12" thickBot="1" x14ac:dyDescent="0.25">
      <c r="A18" s="110"/>
      <c r="B18" s="110"/>
      <c r="C18" s="113"/>
      <c r="D18" s="112"/>
      <c r="E18" s="112"/>
      <c r="G18" s="117">
        <f>+SUM(G3:G17)</f>
        <v>31803746</v>
      </c>
      <c r="H18" s="114"/>
      <c r="I18" s="117">
        <f>+SUM(I3:I17)</f>
        <v>34206562</v>
      </c>
      <c r="K18" s="117">
        <f>+SUM(K3:K17)</f>
        <v>31333914</v>
      </c>
      <c r="L18" s="117">
        <f>+SUM(L3:L17)</f>
        <v>696631</v>
      </c>
      <c r="M18" s="117">
        <f>+SUM(M3:M17)</f>
        <v>233964</v>
      </c>
      <c r="N18" s="106">
        <v>1763204</v>
      </c>
    </row>
    <row r="19" spans="1:21" ht="12" thickTop="1" x14ac:dyDescent="0.2">
      <c r="A19" s="108" t="s">
        <v>183</v>
      </c>
      <c r="B19" s="110"/>
      <c r="C19" s="113"/>
      <c r="D19" s="112"/>
      <c r="E19" s="112"/>
      <c r="G19" s="115"/>
      <c r="H19" s="114"/>
      <c r="I19" s="115"/>
      <c r="K19" s="125">
        <f>31419966-K18</f>
        <v>86052</v>
      </c>
      <c r="L19" s="125">
        <f>701364-L17</f>
        <v>4733</v>
      </c>
      <c r="M19" s="125">
        <f>256973-M18</f>
        <v>23009</v>
      </c>
      <c r="N19" s="106">
        <f>1763204-1696400</f>
        <v>66804</v>
      </c>
    </row>
    <row r="20" spans="1:21" ht="12" thickBot="1" x14ac:dyDescent="0.25">
      <c r="A20" s="109" t="s">
        <v>172</v>
      </c>
      <c r="B20" s="110"/>
      <c r="C20" s="116" t="s">
        <v>173</v>
      </c>
      <c r="D20" s="112"/>
      <c r="E20" s="113" t="s">
        <v>163</v>
      </c>
      <c r="G20" s="118">
        <v>2077739</v>
      </c>
      <c r="H20" s="114"/>
      <c r="I20" s="118">
        <v>2077739</v>
      </c>
      <c r="K20" s="124">
        <f>32500374-31333914</f>
        <v>1166460</v>
      </c>
    </row>
    <row r="21" spans="1:21" ht="12" thickTop="1" x14ac:dyDescent="0.2">
      <c r="A21" s="110"/>
      <c r="B21" s="110"/>
      <c r="C21" s="113"/>
      <c r="D21" s="112"/>
      <c r="E21" s="112"/>
      <c r="G21" s="115"/>
      <c r="H21" s="114"/>
      <c r="I21" s="115"/>
    </row>
    <row r="22" spans="1:21" x14ac:dyDescent="0.2">
      <c r="A22" s="108" t="s">
        <v>184</v>
      </c>
      <c r="B22" s="108"/>
      <c r="C22" s="119"/>
      <c r="D22" s="120"/>
      <c r="E22" s="120"/>
      <c r="G22" s="115"/>
      <c r="H22" s="114"/>
      <c r="I22" s="115"/>
      <c r="K22" s="107" t="s">
        <v>62</v>
      </c>
      <c r="L22" s="107"/>
      <c r="M22" s="107"/>
      <c r="R22" s="106" t="s">
        <v>62</v>
      </c>
      <c r="S22" s="124">
        <v>5096876</v>
      </c>
      <c r="T22" s="124">
        <f>-1724063-1672067</f>
        <v>-3396130</v>
      </c>
      <c r="U22" s="124">
        <f>+S22+T22</f>
        <v>1700746</v>
      </c>
    </row>
    <row r="23" spans="1:21" x14ac:dyDescent="0.2">
      <c r="A23" s="110" t="s">
        <v>185</v>
      </c>
      <c r="B23" s="110"/>
      <c r="C23" s="111" t="s">
        <v>178</v>
      </c>
      <c r="D23" s="112"/>
      <c r="E23" s="113" t="s">
        <v>163</v>
      </c>
      <c r="G23" s="121">
        <f>+K23+L23+M23</f>
        <v>1019647</v>
      </c>
      <c r="H23" s="114"/>
      <c r="I23" s="121">
        <v>1612042</v>
      </c>
      <c r="K23" s="124">
        <v>1019647</v>
      </c>
      <c r="L23" s="124"/>
      <c r="M23" s="124"/>
      <c r="R23" s="106" t="s">
        <v>189</v>
      </c>
      <c r="S23" s="124">
        <v>637079</v>
      </c>
      <c r="T23" s="124">
        <f>-579877-4733</f>
        <v>-584610</v>
      </c>
      <c r="U23" s="124">
        <f t="shared" ref="U23:U27" si="1">+S23+T23</f>
        <v>52469</v>
      </c>
    </row>
    <row r="24" spans="1:21" x14ac:dyDescent="0.2">
      <c r="A24" s="109" t="s">
        <v>180</v>
      </c>
      <c r="B24" s="110"/>
      <c r="C24" s="113" t="s">
        <v>165</v>
      </c>
      <c r="D24" s="112"/>
      <c r="E24" s="111" t="s">
        <v>163</v>
      </c>
      <c r="G24" s="121">
        <f t="shared" ref="G24:G28" si="2">+K24+L24+M24</f>
        <v>0</v>
      </c>
      <c r="H24" s="114"/>
      <c r="I24" s="115">
        <v>493488</v>
      </c>
      <c r="K24" s="124"/>
      <c r="L24" s="124"/>
      <c r="M24" s="124"/>
      <c r="R24" s="106" t="s">
        <v>144</v>
      </c>
      <c r="S24" s="124">
        <v>412280</v>
      </c>
      <c r="T24" s="124">
        <v>-412280</v>
      </c>
      <c r="U24" s="124">
        <f t="shared" si="1"/>
        <v>0</v>
      </c>
    </row>
    <row r="25" spans="1:21" x14ac:dyDescent="0.2">
      <c r="A25" s="109" t="s">
        <v>190</v>
      </c>
      <c r="B25" s="110"/>
      <c r="C25" s="113" t="s">
        <v>178</v>
      </c>
      <c r="D25" s="112"/>
      <c r="E25" s="111" t="s">
        <v>163</v>
      </c>
      <c r="G25" s="121">
        <f t="shared" si="2"/>
        <v>150402</v>
      </c>
      <c r="H25" s="114"/>
      <c r="I25" s="115">
        <v>0</v>
      </c>
      <c r="K25" s="124">
        <v>150402</v>
      </c>
      <c r="L25" s="124"/>
      <c r="M25" s="124"/>
      <c r="R25" s="106" t="s">
        <v>145</v>
      </c>
      <c r="S25" s="124">
        <v>18283</v>
      </c>
      <c r="T25" s="124"/>
      <c r="U25" s="124">
        <f t="shared" si="1"/>
        <v>18283</v>
      </c>
    </row>
    <row r="26" spans="1:21" x14ac:dyDescent="0.2">
      <c r="A26" s="110" t="s">
        <v>175</v>
      </c>
      <c r="B26" s="110"/>
      <c r="C26" s="116" t="s">
        <v>165</v>
      </c>
      <c r="D26" s="112"/>
      <c r="E26" s="113" t="s">
        <v>163</v>
      </c>
      <c r="G26" s="121">
        <f t="shared" si="2"/>
        <v>79170</v>
      </c>
      <c r="H26" s="114"/>
      <c r="I26" s="115">
        <f>64862+5743</f>
        <v>70605</v>
      </c>
      <c r="K26" s="124">
        <v>79170</v>
      </c>
      <c r="L26" s="124"/>
      <c r="M26" s="124"/>
      <c r="R26" s="106" t="s">
        <v>146</v>
      </c>
      <c r="S26" s="124">
        <v>381101</v>
      </c>
      <c r="T26" s="124">
        <v>-381101</v>
      </c>
      <c r="U26" s="124">
        <f t="shared" si="1"/>
        <v>0</v>
      </c>
    </row>
    <row r="27" spans="1:21" x14ac:dyDescent="0.2">
      <c r="A27" s="110" t="s">
        <v>186</v>
      </c>
      <c r="B27" s="110"/>
      <c r="C27" s="116" t="s">
        <v>165</v>
      </c>
      <c r="D27" s="112"/>
      <c r="E27" s="113" t="s">
        <v>163</v>
      </c>
      <c r="G27" s="121">
        <f t="shared" si="2"/>
        <v>262354</v>
      </c>
      <c r="H27" s="114"/>
      <c r="I27" s="115">
        <v>72370</v>
      </c>
      <c r="K27" s="124">
        <v>262354</v>
      </c>
      <c r="L27" s="124"/>
      <c r="M27" s="124"/>
      <c r="R27" s="106" t="s">
        <v>147</v>
      </c>
      <c r="S27" s="124">
        <v>31795</v>
      </c>
      <c r="T27" s="124">
        <v>-31795</v>
      </c>
      <c r="U27" s="124">
        <f t="shared" si="1"/>
        <v>0</v>
      </c>
    </row>
    <row r="28" spans="1:21" x14ac:dyDescent="0.2">
      <c r="A28" s="109" t="s">
        <v>177</v>
      </c>
      <c r="B28" s="110"/>
      <c r="C28" s="111" t="s">
        <v>178</v>
      </c>
      <c r="D28" s="112"/>
      <c r="E28" s="113" t="s">
        <v>163</v>
      </c>
      <c r="G28" s="121">
        <f t="shared" si="2"/>
        <v>70000</v>
      </c>
      <c r="H28" s="114"/>
      <c r="I28" s="115">
        <v>70000</v>
      </c>
      <c r="K28" s="124">
        <v>70000</v>
      </c>
      <c r="L28" s="124"/>
      <c r="M28" s="124"/>
      <c r="S28" s="124">
        <f>SUM(S22:S27)</f>
        <v>6577414</v>
      </c>
      <c r="T28" s="124">
        <f t="shared" ref="T28:U28" si="3">SUM(T22:T27)</f>
        <v>-4805916</v>
      </c>
      <c r="U28" s="124">
        <f t="shared" si="3"/>
        <v>1771498</v>
      </c>
    </row>
    <row r="29" spans="1:21" x14ac:dyDescent="0.2">
      <c r="A29" s="109" t="s">
        <v>182</v>
      </c>
      <c r="B29" s="110"/>
      <c r="C29" s="111" t="s">
        <v>178</v>
      </c>
      <c r="D29" s="112"/>
      <c r="E29" s="111" t="s">
        <v>163</v>
      </c>
      <c r="G29" s="121">
        <f>1744498-1581173</f>
        <v>163325</v>
      </c>
      <c r="H29" s="114"/>
      <c r="I29" s="115">
        <f>40887+30665+80651</f>
        <v>152203</v>
      </c>
      <c r="K29" s="124"/>
      <c r="L29" s="124"/>
      <c r="M29" s="124"/>
      <c r="S29" s="124"/>
    </row>
    <row r="30" spans="1:21" x14ac:dyDescent="0.2">
      <c r="A30" s="110"/>
      <c r="B30" s="110"/>
      <c r="C30" s="113"/>
      <c r="D30" s="112"/>
      <c r="E30" s="112"/>
      <c r="G30" s="122">
        <f>SUM(G23:G29)</f>
        <v>1744898</v>
      </c>
      <c r="H30" s="114"/>
      <c r="I30" s="122">
        <f>SUM(I23:I29)</f>
        <v>2470708</v>
      </c>
      <c r="K30" s="124"/>
      <c r="L30" s="124"/>
      <c r="M30" s="124"/>
      <c r="S30" s="124"/>
    </row>
    <row r="31" spans="1:21" x14ac:dyDescent="0.2">
      <c r="C31" s="113"/>
      <c r="D31" s="114"/>
      <c r="E31" s="114"/>
      <c r="G31" s="114"/>
      <c r="H31" s="114"/>
      <c r="I31" s="114"/>
      <c r="S31" s="124"/>
    </row>
    <row r="32" spans="1:21" x14ac:dyDescent="0.2">
      <c r="A32" s="108" t="s">
        <v>187</v>
      </c>
      <c r="B32" s="108"/>
      <c r="C32" s="119"/>
      <c r="D32" s="120"/>
      <c r="E32" s="120"/>
      <c r="G32" s="115"/>
      <c r="H32" s="114"/>
      <c r="I32" s="115"/>
    </row>
    <row r="33" spans="1:9" x14ac:dyDescent="0.2">
      <c r="A33" s="110" t="s">
        <v>188</v>
      </c>
      <c r="B33" s="108"/>
      <c r="C33" s="113" t="s">
        <v>169</v>
      </c>
      <c r="D33" s="112"/>
      <c r="E33" s="113" t="s">
        <v>170</v>
      </c>
      <c r="G33" s="115">
        <v>0</v>
      </c>
      <c r="H33" s="115"/>
      <c r="I33" s="115">
        <v>10628880</v>
      </c>
    </row>
    <row r="34" spans="1:9" x14ac:dyDescent="0.2">
      <c r="A34" s="109" t="s">
        <v>180</v>
      </c>
      <c r="C34" s="113" t="s">
        <v>165</v>
      </c>
      <c r="D34" s="112"/>
      <c r="E34" s="111" t="s">
        <v>163</v>
      </c>
      <c r="G34" s="115">
        <v>506758</v>
      </c>
      <c r="H34" s="115"/>
      <c r="I34" s="115">
        <v>403022</v>
      </c>
    </row>
    <row r="35" spans="1:9" ht="12" thickBot="1" x14ac:dyDescent="0.25">
      <c r="C35" s="113"/>
      <c r="D35" s="114"/>
      <c r="E35" s="114"/>
      <c r="G35" s="117">
        <f>+G33+G34</f>
        <v>506758</v>
      </c>
      <c r="H35" s="115"/>
      <c r="I35" s="117">
        <f>+I33+I34</f>
        <v>11031902</v>
      </c>
    </row>
    <row r="36" spans="1:9" ht="5.0999999999999996" customHeight="1" thickTop="1" x14ac:dyDescent="0.2">
      <c r="C36" s="113"/>
      <c r="D36" s="114"/>
      <c r="E36" s="1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163-9F8C-493C-BF3A-2AA1670C320D}">
  <dimension ref="A1:H20"/>
  <sheetViews>
    <sheetView workbookViewId="0">
      <selection activeCell="D6" sqref="D6"/>
    </sheetView>
  </sheetViews>
  <sheetFormatPr defaultRowHeight="15" x14ac:dyDescent="0.25"/>
  <cols>
    <col min="2" max="2" width="23.7109375" bestFit="1" customWidth="1"/>
    <col min="3" max="3" width="12.5703125" bestFit="1" customWidth="1"/>
    <col min="4" max="4" width="12.140625" bestFit="1" customWidth="1"/>
    <col min="5" max="5" width="11.7109375" bestFit="1" customWidth="1"/>
    <col min="6" max="7" width="10" bestFit="1" customWidth="1"/>
    <col min="13" max="13" width="10" bestFit="1" customWidth="1"/>
  </cols>
  <sheetData>
    <row r="1" spans="1:8" x14ac:dyDescent="0.25">
      <c r="A1" s="26"/>
      <c r="B1" s="26"/>
      <c r="C1" s="26"/>
      <c r="D1" s="26"/>
      <c r="E1" s="26"/>
      <c r="F1" s="26"/>
      <c r="G1" s="26"/>
      <c r="H1" s="26"/>
    </row>
    <row r="2" spans="1:8" x14ac:dyDescent="0.25">
      <c r="A2" s="26"/>
      <c r="B2" s="26"/>
      <c r="C2" s="127" t="s">
        <v>63</v>
      </c>
      <c r="D2" s="26" t="s">
        <v>54</v>
      </c>
      <c r="E2" s="128" t="s">
        <v>64</v>
      </c>
      <c r="F2" s="26" t="s">
        <v>65</v>
      </c>
      <c r="G2" s="26"/>
      <c r="H2" s="26"/>
    </row>
    <row r="3" spans="1:8" x14ac:dyDescent="0.25">
      <c r="A3" s="26"/>
      <c r="B3" s="26"/>
      <c r="C3" s="26"/>
      <c r="D3" s="26"/>
      <c r="E3" s="26"/>
      <c r="F3" s="26"/>
      <c r="G3" s="26"/>
      <c r="H3" s="26"/>
    </row>
    <row r="4" spans="1:8" x14ac:dyDescent="0.25">
      <c r="A4" s="26"/>
      <c r="B4" s="26" t="s">
        <v>66</v>
      </c>
      <c r="C4" s="129">
        <v>2852912</v>
      </c>
      <c r="D4" s="129">
        <v>4208257</v>
      </c>
      <c r="E4" s="129">
        <f>-(+C4+D4-F4)</f>
        <v>-2853013</v>
      </c>
      <c r="F4" s="129">
        <f>231682+3976474</f>
        <v>4208156</v>
      </c>
      <c r="G4" s="26"/>
      <c r="H4" s="26"/>
    </row>
    <row r="5" spans="1:8" x14ac:dyDescent="0.25">
      <c r="A5" s="26"/>
      <c r="B5" s="26" t="s">
        <v>68</v>
      </c>
      <c r="C5" s="130">
        <v>2902405</v>
      </c>
      <c r="D5" s="130">
        <f>40793028-4208257</f>
        <v>36584771</v>
      </c>
      <c r="E5" s="130">
        <f>-(+C5+D5-F5)</f>
        <v>-36394287</v>
      </c>
      <c r="F5" s="130">
        <f>7899793-4806904</f>
        <v>3092889</v>
      </c>
      <c r="G5" s="26"/>
      <c r="H5" s="26"/>
    </row>
    <row r="6" spans="1:8" x14ac:dyDescent="0.25">
      <c r="A6" s="26"/>
      <c r="B6" s="26"/>
      <c r="C6" s="129">
        <f>+C4+C5</f>
        <v>5755317</v>
      </c>
      <c r="D6" s="129">
        <f t="shared" ref="D6:F6" si="0">+D4+D5</f>
        <v>40793028</v>
      </c>
      <c r="E6" s="129">
        <f t="shared" si="0"/>
        <v>-39247300</v>
      </c>
      <c r="F6" s="129">
        <f t="shared" si="0"/>
        <v>7301045</v>
      </c>
      <c r="G6" s="26"/>
      <c r="H6" s="26"/>
    </row>
    <row r="7" spans="1:8" x14ac:dyDescent="0.25">
      <c r="A7" s="26"/>
      <c r="B7" s="26" t="s">
        <v>67</v>
      </c>
      <c r="C7" s="129">
        <v>470080</v>
      </c>
      <c r="D7" s="129"/>
      <c r="E7" s="129"/>
      <c r="F7" s="129">
        <f>3078+595670</f>
        <v>598748</v>
      </c>
      <c r="G7" s="26"/>
      <c r="H7" s="26"/>
    </row>
    <row r="8" spans="1:8" ht="15.75" thickBot="1" x14ac:dyDescent="0.3">
      <c r="A8" s="26"/>
      <c r="B8" s="26" t="s">
        <v>191</v>
      </c>
      <c r="C8" s="132">
        <f>+C6+C7</f>
        <v>6225397</v>
      </c>
      <c r="D8" s="129"/>
      <c r="E8" s="129"/>
      <c r="F8" s="132">
        <f>+F6+F7</f>
        <v>7899793</v>
      </c>
      <c r="G8" s="26"/>
      <c r="H8" s="26"/>
    </row>
    <row r="9" spans="1:8" ht="15.75" thickTop="1" x14ac:dyDescent="0.25">
      <c r="A9" s="26"/>
      <c r="B9" s="26"/>
      <c r="C9" s="129"/>
      <c r="D9" s="129"/>
      <c r="E9" s="129"/>
      <c r="F9" s="129"/>
      <c r="G9" s="26"/>
      <c r="H9" s="26"/>
    </row>
    <row r="10" spans="1:8" x14ac:dyDescent="0.25">
      <c r="A10" s="26"/>
      <c r="B10" s="26" t="s">
        <v>62</v>
      </c>
      <c r="C10" s="129">
        <v>6162582</v>
      </c>
      <c r="D10" s="129">
        <v>40561345</v>
      </c>
      <c r="E10" s="129">
        <v>-39141814</v>
      </c>
      <c r="F10" s="131">
        <f>SUM(C10:E10)</f>
        <v>7582113</v>
      </c>
      <c r="G10" s="129"/>
      <c r="H10" s="26"/>
    </row>
    <row r="11" spans="1:8" x14ac:dyDescent="0.25">
      <c r="A11" s="26"/>
      <c r="B11" s="26" t="s">
        <v>145</v>
      </c>
      <c r="C11" s="129">
        <v>5964</v>
      </c>
      <c r="D11" s="129">
        <v>231683</v>
      </c>
      <c r="E11" s="129"/>
      <c r="F11" s="131">
        <f>SUM(C11:E11)</f>
        <v>237647</v>
      </c>
      <c r="G11" s="26"/>
      <c r="H11" s="26"/>
    </row>
    <row r="12" spans="1:8" x14ac:dyDescent="0.25">
      <c r="A12" s="26"/>
      <c r="B12" s="26"/>
      <c r="C12" s="129"/>
      <c r="D12" s="129">
        <f>+D10+D11</f>
        <v>40793028</v>
      </c>
      <c r="E12" s="129">
        <f>+E10+E11</f>
        <v>-39141814</v>
      </c>
      <c r="F12" s="129"/>
      <c r="G12" s="26"/>
      <c r="H12" s="26"/>
    </row>
    <row r="13" spans="1:8" x14ac:dyDescent="0.25">
      <c r="A13" s="26"/>
      <c r="B13" s="26"/>
      <c r="C13" s="129"/>
      <c r="D13" s="129"/>
      <c r="E13" s="129"/>
      <c r="F13" s="129"/>
      <c r="G13" s="26"/>
      <c r="H13" s="26"/>
    </row>
    <row r="14" spans="1:8" x14ac:dyDescent="0.25">
      <c r="A14" s="26"/>
      <c r="B14" s="26"/>
      <c r="C14" s="129"/>
      <c r="D14" s="129"/>
      <c r="E14" s="129"/>
      <c r="F14" s="129"/>
      <c r="G14" s="26"/>
      <c r="H14" s="26"/>
    </row>
    <row r="15" spans="1:8" x14ac:dyDescent="0.25">
      <c r="A15" s="26"/>
      <c r="B15" s="26"/>
      <c r="C15" s="129"/>
      <c r="D15" s="129"/>
      <c r="E15" s="129"/>
      <c r="F15" s="129"/>
      <c r="G15" s="26"/>
      <c r="H15" s="26"/>
    </row>
    <row r="16" spans="1:8" x14ac:dyDescent="0.25">
      <c r="A16" s="26"/>
      <c r="B16" s="26"/>
      <c r="C16" s="129"/>
      <c r="D16" s="129"/>
      <c r="E16" s="129"/>
      <c r="F16" s="129"/>
      <c r="G16" s="26"/>
      <c r="H16" s="26"/>
    </row>
    <row r="17" spans="1:8" x14ac:dyDescent="0.25">
      <c r="A17" s="26"/>
      <c r="B17" s="26"/>
      <c r="C17" s="129"/>
      <c r="D17" s="129"/>
      <c r="E17" s="129"/>
      <c r="F17" s="129"/>
      <c r="G17" s="26"/>
      <c r="H17" s="26"/>
    </row>
    <row r="18" spans="1:8" x14ac:dyDescent="0.25">
      <c r="A18" s="26"/>
      <c r="B18" s="26"/>
      <c r="C18" s="129"/>
      <c r="D18" s="129"/>
      <c r="E18" s="129"/>
      <c r="F18" s="129"/>
      <c r="G18" s="26"/>
      <c r="H18" s="26"/>
    </row>
    <row r="19" spans="1:8" x14ac:dyDescent="0.25">
      <c r="A19" s="26"/>
      <c r="B19" s="26"/>
      <c r="C19" s="129"/>
      <c r="D19" s="129"/>
      <c r="E19" s="129"/>
      <c r="F19" s="129"/>
      <c r="G19" s="26"/>
      <c r="H19" s="26"/>
    </row>
    <row r="20" spans="1:8" x14ac:dyDescent="0.25">
      <c r="A20" s="26"/>
      <c r="B20" s="26"/>
      <c r="C20" s="129"/>
      <c r="D20" s="129"/>
      <c r="E20" s="129"/>
      <c r="F20" s="129"/>
      <c r="G20" s="26"/>
      <c r="H20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73AE-65DE-43C0-B89B-5ECBF05B377F}">
  <dimension ref="A1:K17"/>
  <sheetViews>
    <sheetView workbookViewId="0">
      <selection activeCell="E19" sqref="E19"/>
    </sheetView>
  </sheetViews>
  <sheetFormatPr defaultColWidth="11.42578125" defaultRowHeight="11.25" x14ac:dyDescent="0.2"/>
  <cols>
    <col min="1" max="1" width="33.140625" style="31" bestFit="1" customWidth="1"/>
    <col min="2" max="2" width="1.7109375" style="31" customWidth="1"/>
    <col min="3" max="3" width="11.28515625" style="31" bestFit="1" customWidth="1"/>
    <col min="4" max="4" width="1.7109375" style="31" customWidth="1"/>
    <col min="5" max="5" width="12.7109375" style="31" bestFit="1" customWidth="1"/>
    <col min="6" max="6" width="4" style="31" bestFit="1" customWidth="1"/>
    <col min="7" max="7" width="13.5703125" style="31" bestFit="1" customWidth="1"/>
    <col min="8" max="8" width="1.7109375" style="31" customWidth="1"/>
    <col min="9" max="9" width="12.42578125" style="31" bestFit="1" customWidth="1"/>
    <col min="10" max="10" width="1.7109375" style="31" customWidth="1"/>
    <col min="11" max="16384" width="11.42578125" style="31"/>
  </cols>
  <sheetData>
    <row r="1" spans="1:11" ht="14.25" x14ac:dyDescent="0.2">
      <c r="A1" s="35"/>
      <c r="B1" s="35"/>
      <c r="C1" s="36" t="s">
        <v>51</v>
      </c>
      <c r="D1" s="36"/>
      <c r="E1" s="36"/>
      <c r="F1" s="36"/>
      <c r="G1" s="37" t="s">
        <v>52</v>
      </c>
      <c r="H1" s="36"/>
      <c r="I1" s="36" t="s">
        <v>51</v>
      </c>
      <c r="J1" s="32"/>
    </row>
    <row r="2" spans="1:11" ht="14.25" x14ac:dyDescent="0.2">
      <c r="A2" s="35"/>
      <c r="B2" s="35"/>
      <c r="C2" s="38" t="s">
        <v>53</v>
      </c>
      <c r="D2" s="36"/>
      <c r="E2" s="39" t="s">
        <v>54</v>
      </c>
      <c r="F2" s="36"/>
      <c r="G2" s="40" t="s">
        <v>55</v>
      </c>
      <c r="H2" s="36"/>
      <c r="I2" s="38" t="s">
        <v>56</v>
      </c>
      <c r="J2" s="32"/>
    </row>
    <row r="3" spans="1:11" ht="14.25" x14ac:dyDescent="0.2">
      <c r="A3" s="35"/>
      <c r="B3" s="35"/>
      <c r="C3" s="38"/>
      <c r="D3" s="36"/>
      <c r="E3" s="39"/>
      <c r="F3" s="36"/>
      <c r="G3" s="40"/>
      <c r="H3" s="36"/>
      <c r="I3" s="38"/>
      <c r="J3" s="32"/>
    </row>
    <row r="4" spans="1:11" ht="14.25" x14ac:dyDescent="0.2">
      <c r="A4" s="41" t="s">
        <v>57</v>
      </c>
      <c r="B4" s="41"/>
      <c r="C4" s="42"/>
      <c r="D4" s="43"/>
      <c r="E4" s="44"/>
      <c r="F4" s="36"/>
      <c r="G4" s="40"/>
      <c r="H4" s="43"/>
      <c r="I4" s="42"/>
      <c r="J4" s="32"/>
    </row>
    <row r="5" spans="1:11" ht="14.25" x14ac:dyDescent="0.2">
      <c r="A5" s="41"/>
      <c r="B5" s="41"/>
      <c r="C5" s="42"/>
      <c r="D5" s="43"/>
      <c r="E5" s="42"/>
      <c r="F5" s="36"/>
      <c r="G5" s="40"/>
      <c r="H5" s="43"/>
      <c r="I5" s="42"/>
      <c r="J5" s="32"/>
    </row>
    <row r="6" spans="1:11" ht="14.25" x14ac:dyDescent="0.2">
      <c r="A6" s="35" t="s">
        <v>1</v>
      </c>
      <c r="B6" s="35"/>
      <c r="C6" s="44">
        <f>+I13</f>
        <v>6225397</v>
      </c>
      <c r="D6" s="43"/>
      <c r="E6" s="45">
        <f>+'24'!D6</f>
        <v>40793028</v>
      </c>
      <c r="F6" s="45"/>
      <c r="G6" s="45">
        <f>+'24'!E6+128668</f>
        <v>-39118632</v>
      </c>
      <c r="H6" s="46"/>
      <c r="I6" s="44">
        <f>SUM(C6:G6)</f>
        <v>7899793</v>
      </c>
      <c r="J6" s="32"/>
      <c r="K6" s="49">
        <f>+I6-'24'!F8</f>
        <v>0</v>
      </c>
    </row>
    <row r="7" spans="1:11" ht="14.25" x14ac:dyDescent="0.2">
      <c r="A7" s="35" t="s">
        <v>58</v>
      </c>
      <c r="B7" s="35"/>
      <c r="C7" s="44">
        <f>+I14</f>
        <v>4280661</v>
      </c>
      <c r="D7" s="43"/>
      <c r="E7" s="45">
        <v>1543591</v>
      </c>
      <c r="F7" s="45"/>
      <c r="G7" s="45">
        <f>-5824252+5792997</f>
        <v>-31255</v>
      </c>
      <c r="H7" s="46"/>
      <c r="I7" s="44">
        <f t="shared" ref="I7" si="0">SUM(C7:G7)</f>
        <v>5792997</v>
      </c>
      <c r="J7" s="32"/>
    </row>
    <row r="8" spans="1:11" ht="14.25" x14ac:dyDescent="0.2">
      <c r="A8" s="35" t="s">
        <v>59</v>
      </c>
      <c r="B8" s="35"/>
      <c r="C8" s="44">
        <f>+I15</f>
        <v>1678346</v>
      </c>
      <c r="D8" s="43"/>
      <c r="E8" s="45">
        <v>1430027</v>
      </c>
      <c r="F8" s="45"/>
      <c r="G8" s="45">
        <f>-3108373+2450483</f>
        <v>-657890</v>
      </c>
      <c r="H8" s="43"/>
      <c r="I8" s="44">
        <f>SUM(C8:G8)</f>
        <v>2450483</v>
      </c>
      <c r="J8" s="33"/>
      <c r="K8" s="49"/>
    </row>
    <row r="9" spans="1:11" ht="14.25" x14ac:dyDescent="0.2">
      <c r="A9" s="35" t="s">
        <v>60</v>
      </c>
      <c r="B9" s="35"/>
      <c r="C9" s="44">
        <f>+I16</f>
        <v>1802291</v>
      </c>
      <c r="D9" s="43"/>
      <c r="E9" s="45">
        <v>49680</v>
      </c>
      <c r="F9" s="45"/>
      <c r="G9" s="45">
        <v>-26</v>
      </c>
      <c r="H9" s="43"/>
      <c r="I9" s="44">
        <f>SUM(C9:G9)</f>
        <v>1851945</v>
      </c>
      <c r="J9" s="32"/>
    </row>
    <row r="10" spans="1:11" ht="14.25" x14ac:dyDescent="0.2">
      <c r="A10" s="35"/>
      <c r="B10" s="35"/>
      <c r="C10" s="38"/>
      <c r="D10" s="36"/>
      <c r="E10" s="39"/>
      <c r="F10" s="36"/>
      <c r="G10" s="40"/>
      <c r="H10" s="36"/>
      <c r="I10" s="38"/>
      <c r="J10" s="32"/>
    </row>
    <row r="11" spans="1:11" ht="14.25" x14ac:dyDescent="0.2">
      <c r="A11" s="41" t="s">
        <v>61</v>
      </c>
      <c r="B11" s="41"/>
      <c r="C11" s="47"/>
      <c r="D11" s="43"/>
      <c r="E11" s="44"/>
      <c r="F11" s="36"/>
      <c r="G11" s="40"/>
      <c r="H11" s="43"/>
      <c r="I11" s="47"/>
      <c r="J11" s="32"/>
    </row>
    <row r="12" spans="1:11" ht="14.25" x14ac:dyDescent="0.2">
      <c r="A12" s="35"/>
      <c r="B12" s="41"/>
      <c r="C12" s="42"/>
      <c r="D12" s="43"/>
      <c r="E12" s="42"/>
      <c r="F12" s="36"/>
      <c r="G12" s="40"/>
      <c r="H12" s="43"/>
      <c r="I12" s="42"/>
      <c r="J12" s="32"/>
    </row>
    <row r="13" spans="1:11" ht="14.25" x14ac:dyDescent="0.2">
      <c r="A13" s="35" t="s">
        <v>1</v>
      </c>
      <c r="B13" s="35"/>
      <c r="C13" s="44">
        <v>4559467</v>
      </c>
      <c r="D13" s="43"/>
      <c r="E13" s="45">
        <v>36914549</v>
      </c>
      <c r="F13" s="48"/>
      <c r="G13" s="45">
        <v>-35248619</v>
      </c>
      <c r="H13" s="46"/>
      <c r="I13" s="44">
        <v>6225397</v>
      </c>
      <c r="J13" s="32"/>
    </row>
    <row r="14" spans="1:11" ht="14.25" x14ac:dyDescent="0.2">
      <c r="A14" s="35" t="s">
        <v>58</v>
      </c>
      <c r="B14" s="35"/>
      <c r="C14" s="44">
        <v>3625964</v>
      </c>
      <c r="D14" s="43"/>
      <c r="E14" s="45">
        <v>925660</v>
      </c>
      <c r="F14" s="45"/>
      <c r="G14" s="45">
        <v>-270963</v>
      </c>
      <c r="H14" s="46"/>
      <c r="I14" s="44">
        <v>4280661</v>
      </c>
      <c r="J14" s="33"/>
    </row>
    <row r="15" spans="1:11" ht="14.25" x14ac:dyDescent="0.2">
      <c r="A15" s="35" t="s">
        <v>59</v>
      </c>
      <c r="B15" s="35"/>
      <c r="C15" s="44">
        <v>1559583</v>
      </c>
      <c r="D15" s="43"/>
      <c r="E15" s="45">
        <v>372093</v>
      </c>
      <c r="F15" s="45"/>
      <c r="G15" s="45">
        <v>-253330</v>
      </c>
      <c r="H15" s="43"/>
      <c r="I15" s="44">
        <v>1678346</v>
      </c>
      <c r="J15" s="34"/>
    </row>
    <row r="16" spans="1:11" ht="14.25" x14ac:dyDescent="0.2">
      <c r="A16" s="35" t="s">
        <v>60</v>
      </c>
      <c r="B16" s="35"/>
      <c r="C16" s="44">
        <v>2632920</v>
      </c>
      <c r="D16" s="43"/>
      <c r="E16" s="45">
        <v>23826</v>
      </c>
      <c r="F16" s="36"/>
      <c r="G16" s="45">
        <v>-854455</v>
      </c>
      <c r="H16" s="43"/>
      <c r="I16" s="44">
        <v>1802291</v>
      </c>
      <c r="J16" s="34"/>
    </row>
    <row r="17" spans="1:10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637C-D333-4D2D-AE61-066042394758}">
  <dimension ref="A1:H39"/>
  <sheetViews>
    <sheetView workbookViewId="0">
      <pane ySplit="1" topLeftCell="A20" activePane="bottomLeft" state="frozen"/>
      <selection pane="bottomLeft" activeCell="G33" sqref="G33"/>
    </sheetView>
  </sheetViews>
  <sheetFormatPr defaultColWidth="9.140625" defaultRowHeight="12.75" x14ac:dyDescent="0.2"/>
  <cols>
    <col min="1" max="1" width="47.42578125" style="79" customWidth="1"/>
    <col min="2" max="2" width="1.140625" style="79" customWidth="1"/>
    <col min="3" max="3" width="11.28515625" style="79" bestFit="1" customWidth="1"/>
    <col min="4" max="4" width="2.140625" style="79" customWidth="1"/>
    <col min="5" max="5" width="11.28515625" style="79" bestFit="1" customWidth="1"/>
    <col min="6" max="6" width="1.7109375" style="79" customWidth="1"/>
    <col min="7" max="7" width="10.7109375" style="79" bestFit="1" customWidth="1"/>
    <col min="8" max="252" width="9.140625" style="79"/>
    <col min="253" max="253" width="55" style="79" customWidth="1"/>
    <col min="254" max="254" width="2.140625" style="79" customWidth="1"/>
    <col min="255" max="255" width="13.140625" style="79" customWidth="1"/>
    <col min="256" max="256" width="2.5703125" style="79" customWidth="1"/>
    <col min="257" max="257" width="12.42578125" style="79" customWidth="1"/>
    <col min="258" max="508" width="9.140625" style="79"/>
    <col min="509" max="509" width="55" style="79" customWidth="1"/>
    <col min="510" max="510" width="2.140625" style="79" customWidth="1"/>
    <col min="511" max="511" width="13.140625" style="79" customWidth="1"/>
    <col min="512" max="512" width="2.5703125" style="79" customWidth="1"/>
    <col min="513" max="513" width="12.42578125" style="79" customWidth="1"/>
    <col min="514" max="764" width="9.140625" style="79"/>
    <col min="765" max="765" width="55" style="79" customWidth="1"/>
    <col min="766" max="766" width="2.140625" style="79" customWidth="1"/>
    <col min="767" max="767" width="13.140625" style="79" customWidth="1"/>
    <col min="768" max="768" width="2.5703125" style="79" customWidth="1"/>
    <col min="769" max="769" width="12.42578125" style="79" customWidth="1"/>
    <col min="770" max="1020" width="9.140625" style="79"/>
    <col min="1021" max="1021" width="55" style="79" customWidth="1"/>
    <col min="1022" max="1022" width="2.140625" style="79" customWidth="1"/>
    <col min="1023" max="1023" width="13.140625" style="79" customWidth="1"/>
    <col min="1024" max="1024" width="2.5703125" style="79" customWidth="1"/>
    <col min="1025" max="1025" width="12.42578125" style="79" customWidth="1"/>
    <col min="1026" max="1276" width="9.140625" style="79"/>
    <col min="1277" max="1277" width="55" style="79" customWidth="1"/>
    <col min="1278" max="1278" width="2.140625" style="79" customWidth="1"/>
    <col min="1279" max="1279" width="13.140625" style="79" customWidth="1"/>
    <col min="1280" max="1280" width="2.5703125" style="79" customWidth="1"/>
    <col min="1281" max="1281" width="12.42578125" style="79" customWidth="1"/>
    <col min="1282" max="1532" width="9.140625" style="79"/>
    <col min="1533" max="1533" width="55" style="79" customWidth="1"/>
    <col min="1534" max="1534" width="2.140625" style="79" customWidth="1"/>
    <col min="1535" max="1535" width="13.140625" style="79" customWidth="1"/>
    <col min="1536" max="1536" width="2.5703125" style="79" customWidth="1"/>
    <col min="1537" max="1537" width="12.42578125" style="79" customWidth="1"/>
    <col min="1538" max="1788" width="9.140625" style="79"/>
    <col min="1789" max="1789" width="55" style="79" customWidth="1"/>
    <col min="1790" max="1790" width="2.140625" style="79" customWidth="1"/>
    <col min="1791" max="1791" width="13.140625" style="79" customWidth="1"/>
    <col min="1792" max="1792" width="2.5703125" style="79" customWidth="1"/>
    <col min="1793" max="1793" width="12.42578125" style="79" customWidth="1"/>
    <col min="1794" max="2044" width="9.140625" style="79"/>
    <col min="2045" max="2045" width="55" style="79" customWidth="1"/>
    <col min="2046" max="2046" width="2.140625" style="79" customWidth="1"/>
    <col min="2047" max="2047" width="13.140625" style="79" customWidth="1"/>
    <col min="2048" max="2048" width="2.5703125" style="79" customWidth="1"/>
    <col min="2049" max="2049" width="12.42578125" style="79" customWidth="1"/>
    <col min="2050" max="2300" width="9.140625" style="79"/>
    <col min="2301" max="2301" width="55" style="79" customWidth="1"/>
    <col min="2302" max="2302" width="2.140625" style="79" customWidth="1"/>
    <col min="2303" max="2303" width="13.140625" style="79" customWidth="1"/>
    <col min="2304" max="2304" width="2.5703125" style="79" customWidth="1"/>
    <col min="2305" max="2305" width="12.42578125" style="79" customWidth="1"/>
    <col min="2306" max="2556" width="9.140625" style="79"/>
    <col min="2557" max="2557" width="55" style="79" customWidth="1"/>
    <col min="2558" max="2558" width="2.140625" style="79" customWidth="1"/>
    <col min="2559" max="2559" width="13.140625" style="79" customWidth="1"/>
    <col min="2560" max="2560" width="2.5703125" style="79" customWidth="1"/>
    <col min="2561" max="2561" width="12.42578125" style="79" customWidth="1"/>
    <col min="2562" max="2812" width="9.140625" style="79"/>
    <col min="2813" max="2813" width="55" style="79" customWidth="1"/>
    <col min="2814" max="2814" width="2.140625" style="79" customWidth="1"/>
    <col min="2815" max="2815" width="13.140625" style="79" customWidth="1"/>
    <col min="2816" max="2816" width="2.5703125" style="79" customWidth="1"/>
    <col min="2817" max="2817" width="12.42578125" style="79" customWidth="1"/>
    <col min="2818" max="3068" width="9.140625" style="79"/>
    <col min="3069" max="3069" width="55" style="79" customWidth="1"/>
    <col min="3070" max="3070" width="2.140625" style="79" customWidth="1"/>
    <col min="3071" max="3071" width="13.140625" style="79" customWidth="1"/>
    <col min="3072" max="3072" width="2.5703125" style="79" customWidth="1"/>
    <col min="3073" max="3073" width="12.42578125" style="79" customWidth="1"/>
    <col min="3074" max="3324" width="9.140625" style="79"/>
    <col min="3325" max="3325" width="55" style="79" customWidth="1"/>
    <col min="3326" max="3326" width="2.140625" style="79" customWidth="1"/>
    <col min="3327" max="3327" width="13.140625" style="79" customWidth="1"/>
    <col min="3328" max="3328" width="2.5703125" style="79" customWidth="1"/>
    <col min="3329" max="3329" width="12.42578125" style="79" customWidth="1"/>
    <col min="3330" max="3580" width="9.140625" style="79"/>
    <col min="3581" max="3581" width="55" style="79" customWidth="1"/>
    <col min="3582" max="3582" width="2.140625" style="79" customWidth="1"/>
    <col min="3583" max="3583" width="13.140625" style="79" customWidth="1"/>
    <col min="3584" max="3584" width="2.5703125" style="79" customWidth="1"/>
    <col min="3585" max="3585" width="12.42578125" style="79" customWidth="1"/>
    <col min="3586" max="3836" width="9.140625" style="79"/>
    <col min="3837" max="3837" width="55" style="79" customWidth="1"/>
    <col min="3838" max="3838" width="2.140625" style="79" customWidth="1"/>
    <col min="3839" max="3839" width="13.140625" style="79" customWidth="1"/>
    <col min="3840" max="3840" width="2.5703125" style="79" customWidth="1"/>
    <col min="3841" max="3841" width="12.42578125" style="79" customWidth="1"/>
    <col min="3842" max="4092" width="9.140625" style="79"/>
    <col min="4093" max="4093" width="55" style="79" customWidth="1"/>
    <col min="4094" max="4094" width="2.140625" style="79" customWidth="1"/>
    <col min="4095" max="4095" width="13.140625" style="79" customWidth="1"/>
    <col min="4096" max="4096" width="2.5703125" style="79" customWidth="1"/>
    <col min="4097" max="4097" width="12.42578125" style="79" customWidth="1"/>
    <col min="4098" max="4348" width="9.140625" style="79"/>
    <col min="4349" max="4349" width="55" style="79" customWidth="1"/>
    <col min="4350" max="4350" width="2.140625" style="79" customWidth="1"/>
    <col min="4351" max="4351" width="13.140625" style="79" customWidth="1"/>
    <col min="4352" max="4352" width="2.5703125" style="79" customWidth="1"/>
    <col min="4353" max="4353" width="12.42578125" style="79" customWidth="1"/>
    <col min="4354" max="4604" width="9.140625" style="79"/>
    <col min="4605" max="4605" width="55" style="79" customWidth="1"/>
    <col min="4606" max="4606" width="2.140625" style="79" customWidth="1"/>
    <col min="4607" max="4607" width="13.140625" style="79" customWidth="1"/>
    <col min="4608" max="4608" width="2.5703125" style="79" customWidth="1"/>
    <col min="4609" max="4609" width="12.42578125" style="79" customWidth="1"/>
    <col min="4610" max="4860" width="9.140625" style="79"/>
    <col min="4861" max="4861" width="55" style="79" customWidth="1"/>
    <col min="4862" max="4862" width="2.140625" style="79" customWidth="1"/>
    <col min="4863" max="4863" width="13.140625" style="79" customWidth="1"/>
    <col min="4864" max="4864" width="2.5703125" style="79" customWidth="1"/>
    <col min="4865" max="4865" width="12.42578125" style="79" customWidth="1"/>
    <col min="4866" max="5116" width="9.140625" style="79"/>
    <col min="5117" max="5117" width="55" style="79" customWidth="1"/>
    <col min="5118" max="5118" width="2.140625" style="79" customWidth="1"/>
    <col min="5119" max="5119" width="13.140625" style="79" customWidth="1"/>
    <col min="5120" max="5120" width="2.5703125" style="79" customWidth="1"/>
    <col min="5121" max="5121" width="12.42578125" style="79" customWidth="1"/>
    <col min="5122" max="5372" width="9.140625" style="79"/>
    <col min="5373" max="5373" width="55" style="79" customWidth="1"/>
    <col min="5374" max="5374" width="2.140625" style="79" customWidth="1"/>
    <col min="5375" max="5375" width="13.140625" style="79" customWidth="1"/>
    <col min="5376" max="5376" width="2.5703125" style="79" customWidth="1"/>
    <col min="5377" max="5377" width="12.42578125" style="79" customWidth="1"/>
    <col min="5378" max="5628" width="9.140625" style="79"/>
    <col min="5629" max="5629" width="55" style="79" customWidth="1"/>
    <col min="5630" max="5630" width="2.140625" style="79" customWidth="1"/>
    <col min="5631" max="5631" width="13.140625" style="79" customWidth="1"/>
    <col min="5632" max="5632" width="2.5703125" style="79" customWidth="1"/>
    <col min="5633" max="5633" width="12.42578125" style="79" customWidth="1"/>
    <col min="5634" max="5884" width="9.140625" style="79"/>
    <col min="5885" max="5885" width="55" style="79" customWidth="1"/>
    <col min="5886" max="5886" width="2.140625" style="79" customWidth="1"/>
    <col min="5887" max="5887" width="13.140625" style="79" customWidth="1"/>
    <col min="5888" max="5888" width="2.5703125" style="79" customWidth="1"/>
    <col min="5889" max="5889" width="12.42578125" style="79" customWidth="1"/>
    <col min="5890" max="6140" width="9.140625" style="79"/>
    <col min="6141" max="6141" width="55" style="79" customWidth="1"/>
    <col min="6142" max="6142" width="2.140625" style="79" customWidth="1"/>
    <col min="6143" max="6143" width="13.140625" style="79" customWidth="1"/>
    <col min="6144" max="6144" width="2.5703125" style="79" customWidth="1"/>
    <col min="6145" max="6145" width="12.42578125" style="79" customWidth="1"/>
    <col min="6146" max="6396" width="9.140625" style="79"/>
    <col min="6397" max="6397" width="55" style="79" customWidth="1"/>
    <col min="6398" max="6398" width="2.140625" style="79" customWidth="1"/>
    <col min="6399" max="6399" width="13.140625" style="79" customWidth="1"/>
    <col min="6400" max="6400" width="2.5703125" style="79" customWidth="1"/>
    <col min="6401" max="6401" width="12.42578125" style="79" customWidth="1"/>
    <col min="6402" max="6652" width="9.140625" style="79"/>
    <col min="6653" max="6653" width="55" style="79" customWidth="1"/>
    <col min="6654" max="6654" width="2.140625" style="79" customWidth="1"/>
    <col min="6655" max="6655" width="13.140625" style="79" customWidth="1"/>
    <col min="6656" max="6656" width="2.5703125" style="79" customWidth="1"/>
    <col min="6657" max="6657" width="12.42578125" style="79" customWidth="1"/>
    <col min="6658" max="6908" width="9.140625" style="79"/>
    <col min="6909" max="6909" width="55" style="79" customWidth="1"/>
    <col min="6910" max="6910" width="2.140625" style="79" customWidth="1"/>
    <col min="6911" max="6911" width="13.140625" style="79" customWidth="1"/>
    <col min="6912" max="6912" width="2.5703125" style="79" customWidth="1"/>
    <col min="6913" max="6913" width="12.42578125" style="79" customWidth="1"/>
    <col min="6914" max="7164" width="9.140625" style="79"/>
    <col min="7165" max="7165" width="55" style="79" customWidth="1"/>
    <col min="7166" max="7166" width="2.140625" style="79" customWidth="1"/>
    <col min="7167" max="7167" width="13.140625" style="79" customWidth="1"/>
    <col min="7168" max="7168" width="2.5703125" style="79" customWidth="1"/>
    <col min="7169" max="7169" width="12.42578125" style="79" customWidth="1"/>
    <col min="7170" max="7420" width="9.140625" style="79"/>
    <col min="7421" max="7421" width="55" style="79" customWidth="1"/>
    <col min="7422" max="7422" width="2.140625" style="79" customWidth="1"/>
    <col min="7423" max="7423" width="13.140625" style="79" customWidth="1"/>
    <col min="7424" max="7424" width="2.5703125" style="79" customWidth="1"/>
    <col min="7425" max="7425" width="12.42578125" style="79" customWidth="1"/>
    <col min="7426" max="7676" width="9.140625" style="79"/>
    <col min="7677" max="7677" width="55" style="79" customWidth="1"/>
    <col min="7678" max="7678" width="2.140625" style="79" customWidth="1"/>
    <col min="7679" max="7679" width="13.140625" style="79" customWidth="1"/>
    <col min="7680" max="7680" width="2.5703125" style="79" customWidth="1"/>
    <col min="7681" max="7681" width="12.42578125" style="79" customWidth="1"/>
    <col min="7682" max="7932" width="9.140625" style="79"/>
    <col min="7933" max="7933" width="55" style="79" customWidth="1"/>
    <col min="7934" max="7934" width="2.140625" style="79" customWidth="1"/>
    <col min="7935" max="7935" width="13.140625" style="79" customWidth="1"/>
    <col min="7936" max="7936" width="2.5703125" style="79" customWidth="1"/>
    <col min="7937" max="7937" width="12.42578125" style="79" customWidth="1"/>
    <col min="7938" max="8188" width="9.140625" style="79"/>
    <col min="8189" max="8189" width="55" style="79" customWidth="1"/>
    <col min="8190" max="8190" width="2.140625" style="79" customWidth="1"/>
    <col min="8191" max="8191" width="13.140625" style="79" customWidth="1"/>
    <col min="8192" max="8192" width="2.5703125" style="79" customWidth="1"/>
    <col min="8193" max="8193" width="12.42578125" style="79" customWidth="1"/>
    <col min="8194" max="8444" width="9.140625" style="79"/>
    <col min="8445" max="8445" width="55" style="79" customWidth="1"/>
    <col min="8446" max="8446" width="2.140625" style="79" customWidth="1"/>
    <col min="8447" max="8447" width="13.140625" style="79" customWidth="1"/>
    <col min="8448" max="8448" width="2.5703125" style="79" customWidth="1"/>
    <col min="8449" max="8449" width="12.42578125" style="79" customWidth="1"/>
    <col min="8450" max="8700" width="9.140625" style="79"/>
    <col min="8701" max="8701" width="55" style="79" customWidth="1"/>
    <col min="8702" max="8702" width="2.140625" style="79" customWidth="1"/>
    <col min="8703" max="8703" width="13.140625" style="79" customWidth="1"/>
    <col min="8704" max="8704" width="2.5703125" style="79" customWidth="1"/>
    <col min="8705" max="8705" width="12.42578125" style="79" customWidth="1"/>
    <col min="8706" max="8956" width="9.140625" style="79"/>
    <col min="8957" max="8957" width="55" style="79" customWidth="1"/>
    <col min="8958" max="8958" width="2.140625" style="79" customWidth="1"/>
    <col min="8959" max="8959" width="13.140625" style="79" customWidth="1"/>
    <col min="8960" max="8960" width="2.5703125" style="79" customWidth="1"/>
    <col min="8961" max="8961" width="12.42578125" style="79" customWidth="1"/>
    <col min="8962" max="9212" width="9.140625" style="79"/>
    <col min="9213" max="9213" width="55" style="79" customWidth="1"/>
    <col min="9214" max="9214" width="2.140625" style="79" customWidth="1"/>
    <col min="9215" max="9215" width="13.140625" style="79" customWidth="1"/>
    <col min="9216" max="9216" width="2.5703125" style="79" customWidth="1"/>
    <col min="9217" max="9217" width="12.42578125" style="79" customWidth="1"/>
    <col min="9218" max="9468" width="9.140625" style="79"/>
    <col min="9469" max="9469" width="55" style="79" customWidth="1"/>
    <col min="9470" max="9470" width="2.140625" style="79" customWidth="1"/>
    <col min="9471" max="9471" width="13.140625" style="79" customWidth="1"/>
    <col min="9472" max="9472" width="2.5703125" style="79" customWidth="1"/>
    <col min="9473" max="9473" width="12.42578125" style="79" customWidth="1"/>
    <col min="9474" max="9724" width="9.140625" style="79"/>
    <col min="9725" max="9725" width="55" style="79" customWidth="1"/>
    <col min="9726" max="9726" width="2.140625" style="79" customWidth="1"/>
    <col min="9727" max="9727" width="13.140625" style="79" customWidth="1"/>
    <col min="9728" max="9728" width="2.5703125" style="79" customWidth="1"/>
    <col min="9729" max="9729" width="12.42578125" style="79" customWidth="1"/>
    <col min="9730" max="9980" width="9.140625" style="79"/>
    <col min="9981" max="9981" width="55" style="79" customWidth="1"/>
    <col min="9982" max="9982" width="2.140625" style="79" customWidth="1"/>
    <col min="9983" max="9983" width="13.140625" style="79" customWidth="1"/>
    <col min="9984" max="9984" width="2.5703125" style="79" customWidth="1"/>
    <col min="9985" max="9985" width="12.42578125" style="79" customWidth="1"/>
    <col min="9986" max="10236" width="9.140625" style="79"/>
    <col min="10237" max="10237" width="55" style="79" customWidth="1"/>
    <col min="10238" max="10238" width="2.140625" style="79" customWidth="1"/>
    <col min="10239" max="10239" width="13.140625" style="79" customWidth="1"/>
    <col min="10240" max="10240" width="2.5703125" style="79" customWidth="1"/>
    <col min="10241" max="10241" width="12.42578125" style="79" customWidth="1"/>
    <col min="10242" max="10492" width="9.140625" style="79"/>
    <col min="10493" max="10493" width="55" style="79" customWidth="1"/>
    <col min="10494" max="10494" width="2.140625" style="79" customWidth="1"/>
    <col min="10495" max="10495" width="13.140625" style="79" customWidth="1"/>
    <col min="10496" max="10496" width="2.5703125" style="79" customWidth="1"/>
    <col min="10497" max="10497" width="12.42578125" style="79" customWidth="1"/>
    <col min="10498" max="10748" width="9.140625" style="79"/>
    <col min="10749" max="10749" width="55" style="79" customWidth="1"/>
    <col min="10750" max="10750" width="2.140625" style="79" customWidth="1"/>
    <col min="10751" max="10751" width="13.140625" style="79" customWidth="1"/>
    <col min="10752" max="10752" width="2.5703125" style="79" customWidth="1"/>
    <col min="10753" max="10753" width="12.42578125" style="79" customWidth="1"/>
    <col min="10754" max="11004" width="9.140625" style="79"/>
    <col min="11005" max="11005" width="55" style="79" customWidth="1"/>
    <col min="11006" max="11006" width="2.140625" style="79" customWidth="1"/>
    <col min="11007" max="11007" width="13.140625" style="79" customWidth="1"/>
    <col min="11008" max="11008" width="2.5703125" style="79" customWidth="1"/>
    <col min="11009" max="11009" width="12.42578125" style="79" customWidth="1"/>
    <col min="11010" max="11260" width="9.140625" style="79"/>
    <col min="11261" max="11261" width="55" style="79" customWidth="1"/>
    <col min="11262" max="11262" width="2.140625" style="79" customWidth="1"/>
    <col min="11263" max="11263" width="13.140625" style="79" customWidth="1"/>
    <col min="11264" max="11264" width="2.5703125" style="79" customWidth="1"/>
    <col min="11265" max="11265" width="12.42578125" style="79" customWidth="1"/>
    <col min="11266" max="11516" width="9.140625" style="79"/>
    <col min="11517" max="11517" width="55" style="79" customWidth="1"/>
    <col min="11518" max="11518" width="2.140625" style="79" customWidth="1"/>
    <col min="11519" max="11519" width="13.140625" style="79" customWidth="1"/>
    <col min="11520" max="11520" width="2.5703125" style="79" customWidth="1"/>
    <col min="11521" max="11521" width="12.42578125" style="79" customWidth="1"/>
    <col min="11522" max="11772" width="9.140625" style="79"/>
    <col min="11773" max="11773" width="55" style="79" customWidth="1"/>
    <col min="11774" max="11774" width="2.140625" style="79" customWidth="1"/>
    <col min="11775" max="11775" width="13.140625" style="79" customWidth="1"/>
    <col min="11776" max="11776" width="2.5703125" style="79" customWidth="1"/>
    <col min="11777" max="11777" width="12.42578125" style="79" customWidth="1"/>
    <col min="11778" max="12028" width="9.140625" style="79"/>
    <col min="12029" max="12029" width="55" style="79" customWidth="1"/>
    <col min="12030" max="12030" width="2.140625" style="79" customWidth="1"/>
    <col min="12031" max="12031" width="13.140625" style="79" customWidth="1"/>
    <col min="12032" max="12032" width="2.5703125" style="79" customWidth="1"/>
    <col min="12033" max="12033" width="12.42578125" style="79" customWidth="1"/>
    <col min="12034" max="12284" width="9.140625" style="79"/>
    <col min="12285" max="12285" width="55" style="79" customWidth="1"/>
    <col min="12286" max="12286" width="2.140625" style="79" customWidth="1"/>
    <col min="12287" max="12287" width="13.140625" style="79" customWidth="1"/>
    <col min="12288" max="12288" width="2.5703125" style="79" customWidth="1"/>
    <col min="12289" max="12289" width="12.42578125" style="79" customWidth="1"/>
    <col min="12290" max="12540" width="9.140625" style="79"/>
    <col min="12541" max="12541" width="55" style="79" customWidth="1"/>
    <col min="12542" max="12542" width="2.140625" style="79" customWidth="1"/>
    <col min="12543" max="12543" width="13.140625" style="79" customWidth="1"/>
    <col min="12544" max="12544" width="2.5703125" style="79" customWidth="1"/>
    <col min="12545" max="12545" width="12.42578125" style="79" customWidth="1"/>
    <col min="12546" max="12796" width="9.140625" style="79"/>
    <col min="12797" max="12797" width="55" style="79" customWidth="1"/>
    <col min="12798" max="12798" width="2.140625" style="79" customWidth="1"/>
    <col min="12799" max="12799" width="13.140625" style="79" customWidth="1"/>
    <col min="12800" max="12800" width="2.5703125" style="79" customWidth="1"/>
    <col min="12801" max="12801" width="12.42578125" style="79" customWidth="1"/>
    <col min="12802" max="13052" width="9.140625" style="79"/>
    <col min="13053" max="13053" width="55" style="79" customWidth="1"/>
    <col min="13054" max="13054" width="2.140625" style="79" customWidth="1"/>
    <col min="13055" max="13055" width="13.140625" style="79" customWidth="1"/>
    <col min="13056" max="13056" width="2.5703125" style="79" customWidth="1"/>
    <col min="13057" max="13057" width="12.42578125" style="79" customWidth="1"/>
    <col min="13058" max="13308" width="9.140625" style="79"/>
    <col min="13309" max="13309" width="55" style="79" customWidth="1"/>
    <col min="13310" max="13310" width="2.140625" style="79" customWidth="1"/>
    <col min="13311" max="13311" width="13.140625" style="79" customWidth="1"/>
    <col min="13312" max="13312" width="2.5703125" style="79" customWidth="1"/>
    <col min="13313" max="13313" width="12.42578125" style="79" customWidth="1"/>
    <col min="13314" max="13564" width="9.140625" style="79"/>
    <col min="13565" max="13565" width="55" style="79" customWidth="1"/>
    <col min="13566" max="13566" width="2.140625" style="79" customWidth="1"/>
    <col min="13567" max="13567" width="13.140625" style="79" customWidth="1"/>
    <col min="13568" max="13568" width="2.5703125" style="79" customWidth="1"/>
    <col min="13569" max="13569" width="12.42578125" style="79" customWidth="1"/>
    <col min="13570" max="13820" width="9.140625" style="79"/>
    <col min="13821" max="13821" width="55" style="79" customWidth="1"/>
    <col min="13822" max="13822" width="2.140625" style="79" customWidth="1"/>
    <col min="13823" max="13823" width="13.140625" style="79" customWidth="1"/>
    <col min="13824" max="13824" width="2.5703125" style="79" customWidth="1"/>
    <col min="13825" max="13825" width="12.42578125" style="79" customWidth="1"/>
    <col min="13826" max="14076" width="9.140625" style="79"/>
    <col min="14077" max="14077" width="55" style="79" customWidth="1"/>
    <col min="14078" max="14078" width="2.140625" style="79" customWidth="1"/>
    <col min="14079" max="14079" width="13.140625" style="79" customWidth="1"/>
    <col min="14080" max="14080" width="2.5703125" style="79" customWidth="1"/>
    <col min="14081" max="14081" width="12.42578125" style="79" customWidth="1"/>
    <col min="14082" max="14332" width="9.140625" style="79"/>
    <col min="14333" max="14333" width="55" style="79" customWidth="1"/>
    <col min="14334" max="14334" width="2.140625" style="79" customWidth="1"/>
    <col min="14335" max="14335" width="13.140625" style="79" customWidth="1"/>
    <col min="14336" max="14336" width="2.5703125" style="79" customWidth="1"/>
    <col min="14337" max="14337" width="12.42578125" style="79" customWidth="1"/>
    <col min="14338" max="14588" width="9.140625" style="79"/>
    <col min="14589" max="14589" width="55" style="79" customWidth="1"/>
    <col min="14590" max="14590" width="2.140625" style="79" customWidth="1"/>
    <col min="14591" max="14591" width="13.140625" style="79" customWidth="1"/>
    <col min="14592" max="14592" width="2.5703125" style="79" customWidth="1"/>
    <col min="14593" max="14593" width="12.42578125" style="79" customWidth="1"/>
    <col min="14594" max="14844" width="9.140625" style="79"/>
    <col min="14845" max="14845" width="55" style="79" customWidth="1"/>
    <col min="14846" max="14846" width="2.140625" style="79" customWidth="1"/>
    <col min="14847" max="14847" width="13.140625" style="79" customWidth="1"/>
    <col min="14848" max="14848" width="2.5703125" style="79" customWidth="1"/>
    <col min="14849" max="14849" width="12.42578125" style="79" customWidth="1"/>
    <col min="14850" max="15100" width="9.140625" style="79"/>
    <col min="15101" max="15101" width="55" style="79" customWidth="1"/>
    <col min="15102" max="15102" width="2.140625" style="79" customWidth="1"/>
    <col min="15103" max="15103" width="13.140625" style="79" customWidth="1"/>
    <col min="15104" max="15104" width="2.5703125" style="79" customWidth="1"/>
    <col min="15105" max="15105" width="12.42578125" style="79" customWidth="1"/>
    <col min="15106" max="15356" width="9.140625" style="79"/>
    <col min="15357" max="15357" width="55" style="79" customWidth="1"/>
    <col min="15358" max="15358" width="2.140625" style="79" customWidth="1"/>
    <col min="15359" max="15359" width="13.140625" style="79" customWidth="1"/>
    <col min="15360" max="15360" width="2.5703125" style="79" customWidth="1"/>
    <col min="15361" max="15361" width="12.42578125" style="79" customWidth="1"/>
    <col min="15362" max="15612" width="9.140625" style="79"/>
    <col min="15613" max="15613" width="55" style="79" customWidth="1"/>
    <col min="15614" max="15614" width="2.140625" style="79" customWidth="1"/>
    <col min="15615" max="15615" width="13.140625" style="79" customWidth="1"/>
    <col min="15616" max="15616" width="2.5703125" style="79" customWidth="1"/>
    <col min="15617" max="15617" width="12.42578125" style="79" customWidth="1"/>
    <col min="15618" max="15868" width="9.140625" style="79"/>
    <col min="15869" max="15869" width="55" style="79" customWidth="1"/>
    <col min="15870" max="15870" width="2.140625" style="79" customWidth="1"/>
    <col min="15871" max="15871" width="13.140625" style="79" customWidth="1"/>
    <col min="15872" max="15872" width="2.5703125" style="79" customWidth="1"/>
    <col min="15873" max="15873" width="12.42578125" style="79" customWidth="1"/>
    <col min="15874" max="16124" width="9.140625" style="79"/>
    <col min="16125" max="16125" width="55" style="79" customWidth="1"/>
    <col min="16126" max="16126" width="2.140625" style="79" customWidth="1"/>
    <col min="16127" max="16127" width="13.140625" style="79" customWidth="1"/>
    <col min="16128" max="16128" width="2.5703125" style="79" customWidth="1"/>
    <col min="16129" max="16129" width="12.42578125" style="79" customWidth="1"/>
    <col min="16130" max="16384" width="9.140625" style="79"/>
  </cols>
  <sheetData>
    <row r="1" spans="1:8" x14ac:dyDescent="0.2">
      <c r="A1" s="79" t="s">
        <v>127</v>
      </c>
      <c r="C1" s="80">
        <v>2019</v>
      </c>
      <c r="E1" s="80">
        <v>2018</v>
      </c>
      <c r="F1" s="80"/>
      <c r="G1" s="97" t="s">
        <v>62</v>
      </c>
      <c r="H1" s="97" t="s">
        <v>145</v>
      </c>
    </row>
    <row r="3" spans="1:8" x14ac:dyDescent="0.2">
      <c r="A3" s="79" t="s">
        <v>128</v>
      </c>
      <c r="C3" s="94">
        <v>24245427</v>
      </c>
      <c r="E3" s="81">
        <v>11579006</v>
      </c>
    </row>
    <row r="4" spans="1:8" ht="1.9" customHeight="1" x14ac:dyDescent="0.2">
      <c r="C4" s="82"/>
      <c r="E4" s="82"/>
      <c r="F4" s="83"/>
    </row>
    <row r="5" spans="1:8" x14ac:dyDescent="0.2">
      <c r="A5" s="79" t="s">
        <v>129</v>
      </c>
      <c r="C5" s="84">
        <f>+G5+H5</f>
        <v>-4208157</v>
      </c>
      <c r="E5" s="84">
        <v>-2417615</v>
      </c>
      <c r="G5" s="79">
        <v>-3976474</v>
      </c>
      <c r="H5" s="79">
        <v>-231683</v>
      </c>
    </row>
    <row r="6" spans="1:8" ht="2.25" customHeight="1" x14ac:dyDescent="0.2">
      <c r="C6" s="85"/>
      <c r="E6" s="85"/>
      <c r="F6" s="86"/>
    </row>
    <row r="7" spans="1:8" x14ac:dyDescent="0.2">
      <c r="A7" s="79" t="s">
        <v>130</v>
      </c>
      <c r="C7" s="79">
        <f>SUM(C3:C6)</f>
        <v>20037270</v>
      </c>
      <c r="E7" s="79">
        <f>SUM(E3:E6)</f>
        <v>9161391</v>
      </c>
    </row>
    <row r="8" spans="1:8" ht="5.0999999999999996" customHeight="1" x14ac:dyDescent="0.2">
      <c r="C8" s="87"/>
      <c r="E8" s="87"/>
      <c r="F8" s="83"/>
    </row>
    <row r="9" spans="1:8" x14ac:dyDescent="0.2">
      <c r="A9" s="79" t="s">
        <v>131</v>
      </c>
      <c r="C9" s="79">
        <f t="shared" ref="C9:C16" si="0">+G9+H9</f>
        <v>-281847</v>
      </c>
      <c r="E9" s="79">
        <v>-237154</v>
      </c>
      <c r="G9" s="79">
        <v>-281847</v>
      </c>
    </row>
    <row r="10" spans="1:8" x14ac:dyDescent="0.2">
      <c r="A10" s="79" t="s">
        <v>132</v>
      </c>
      <c r="C10" s="79">
        <f t="shared" si="0"/>
        <v>-75883</v>
      </c>
      <c r="E10" s="79">
        <v>-193817</v>
      </c>
      <c r="G10" s="79">
        <v>-75883</v>
      </c>
    </row>
    <row r="11" spans="1:8" x14ac:dyDescent="0.2">
      <c r="A11" s="79" t="s">
        <v>133</v>
      </c>
      <c r="C11" s="79">
        <f t="shared" si="0"/>
        <v>307789</v>
      </c>
      <c r="E11" s="79">
        <v>388651</v>
      </c>
      <c r="G11" s="79">
        <v>307789</v>
      </c>
    </row>
    <row r="12" spans="1:8" x14ac:dyDescent="0.2">
      <c r="A12" s="79" t="s">
        <v>134</v>
      </c>
      <c r="C12" s="79">
        <f t="shared" si="0"/>
        <v>7244172</v>
      </c>
      <c r="E12" s="79">
        <f>6511927+4466540</f>
        <v>10978467</v>
      </c>
      <c r="G12" s="79">
        <v>7163111</v>
      </c>
      <c r="H12" s="79">
        <v>81061</v>
      </c>
    </row>
    <row r="13" spans="1:8" x14ac:dyDescent="0.2">
      <c r="A13" s="79" t="s">
        <v>135</v>
      </c>
    </row>
    <row r="14" spans="1:8" x14ac:dyDescent="0.2">
      <c r="A14" s="79" t="s">
        <v>136</v>
      </c>
      <c r="C14" s="79">
        <f t="shared" si="0"/>
        <v>7490</v>
      </c>
      <c r="E14" s="79">
        <v>6348</v>
      </c>
      <c r="G14" s="79">
        <v>7490</v>
      </c>
    </row>
    <row r="15" spans="1:8" x14ac:dyDescent="0.2">
      <c r="A15" s="79" t="s">
        <v>153</v>
      </c>
      <c r="C15" s="79">
        <f t="shared" si="0"/>
        <v>-332913</v>
      </c>
      <c r="E15" s="98">
        <v>0</v>
      </c>
      <c r="H15" s="79">
        <v>-332913</v>
      </c>
    </row>
    <row r="16" spans="1:8" x14ac:dyDescent="0.2">
      <c r="A16" s="79" t="s">
        <v>149</v>
      </c>
      <c r="C16" s="79">
        <f t="shared" si="0"/>
        <v>-449429</v>
      </c>
      <c r="E16" s="98">
        <v>0</v>
      </c>
      <c r="G16" s="79">
        <v>-387149</v>
      </c>
      <c r="H16" s="79">
        <v>-62280</v>
      </c>
    </row>
    <row r="17" spans="1:8" ht="16.899999999999999" customHeight="1" x14ac:dyDescent="0.2">
      <c r="A17" s="88" t="s">
        <v>150</v>
      </c>
      <c r="C17" s="99">
        <f>30265603-26456649</f>
        <v>3808954</v>
      </c>
      <c r="E17" s="79">
        <f>1291142-111146</f>
        <v>1179996</v>
      </c>
    </row>
    <row r="18" spans="1:8" ht="5.0999999999999996" customHeight="1" x14ac:dyDescent="0.2">
      <c r="C18" s="95"/>
      <c r="E18" s="89"/>
      <c r="F18" s="83"/>
    </row>
    <row r="19" spans="1:8" x14ac:dyDescent="0.2">
      <c r="A19" s="79" t="s">
        <v>137</v>
      </c>
      <c r="C19" s="79">
        <f>SUM(C7:C17)</f>
        <v>30265603</v>
      </c>
      <c r="E19" s="79">
        <f>SUM(E7:E17)</f>
        <v>21283882</v>
      </c>
    </row>
    <row r="20" spans="1:8" ht="5.0999999999999996" customHeight="1" x14ac:dyDescent="0.2">
      <c r="C20" s="82"/>
      <c r="E20" s="83"/>
      <c r="F20" s="83"/>
    </row>
    <row r="21" spans="1:8" x14ac:dyDescent="0.2">
      <c r="A21" s="79" t="s">
        <v>151</v>
      </c>
      <c r="C21" s="98">
        <f>+G21+H21</f>
        <v>0</v>
      </c>
      <c r="E21" s="79">
        <v>8215675</v>
      </c>
      <c r="F21" s="90"/>
      <c r="G21" s="79">
        <v>0</v>
      </c>
    </row>
    <row r="22" spans="1:8" x14ac:dyDescent="0.2">
      <c r="A22" s="79" t="s">
        <v>152</v>
      </c>
      <c r="C22" s="79">
        <f>+G22+H22</f>
        <v>30265603</v>
      </c>
      <c r="E22" s="79">
        <f>+E19-E21</f>
        <v>13068207</v>
      </c>
      <c r="F22" s="90"/>
      <c r="G22" s="79">
        <v>29266861</v>
      </c>
      <c r="H22" s="79">
        <v>998742</v>
      </c>
    </row>
    <row r="23" spans="1:8" ht="5.0999999999999996" customHeight="1" x14ac:dyDescent="0.2">
      <c r="C23" s="90"/>
      <c r="E23" s="90"/>
      <c r="F23" s="90"/>
    </row>
    <row r="24" spans="1:8" x14ac:dyDescent="0.2">
      <c r="A24" s="79" t="s">
        <v>138</v>
      </c>
      <c r="C24" s="91">
        <f>+(C21*15%)+(C22*25%)-1</f>
        <v>7566399.75</v>
      </c>
      <c r="E24" s="91">
        <f>+(E21*15%)+(E22*25%)+16510</f>
        <v>4515913</v>
      </c>
      <c r="F24" s="92"/>
    </row>
    <row r="25" spans="1:8" ht="5.0999999999999996" customHeight="1" x14ac:dyDescent="0.2"/>
    <row r="26" spans="1:8" x14ac:dyDescent="0.2">
      <c r="A26" s="79" t="s">
        <v>139</v>
      </c>
      <c r="C26" s="98">
        <f>+G26+H26</f>
        <v>0</v>
      </c>
      <c r="E26" s="79">
        <v>1729151</v>
      </c>
      <c r="G26" s="79">
        <v>0</v>
      </c>
    </row>
    <row r="27" spans="1:8" ht="5.0999999999999996" customHeight="1" x14ac:dyDescent="0.2"/>
    <row r="28" spans="1:8" ht="13.5" thickBot="1" x14ac:dyDescent="0.25">
      <c r="A28" s="79" t="s">
        <v>140</v>
      </c>
      <c r="C28" s="93">
        <f>+C24</f>
        <v>7566399.75</v>
      </c>
      <c r="E28" s="93">
        <f>+E24</f>
        <v>4515913</v>
      </c>
    </row>
    <row r="29" spans="1:8" ht="3" customHeight="1" thickTop="1" x14ac:dyDescent="0.2"/>
    <row r="30" spans="1:8" ht="5.0999999999999996" customHeight="1" x14ac:dyDescent="0.2"/>
    <row r="32" spans="1:8" x14ac:dyDescent="0.2">
      <c r="A32" s="79" t="s">
        <v>127</v>
      </c>
      <c r="C32" s="80">
        <v>2019</v>
      </c>
      <c r="D32" s="96"/>
      <c r="E32" s="80">
        <v>2018</v>
      </c>
    </row>
    <row r="33" spans="1:5" x14ac:dyDescent="0.2">
      <c r="D33" s="96"/>
    </row>
    <row r="34" spans="1:5" x14ac:dyDescent="0.2">
      <c r="A34" s="79" t="s">
        <v>140</v>
      </c>
      <c r="C34" s="100">
        <f>+C28</f>
        <v>7566399.75</v>
      </c>
      <c r="D34" s="101"/>
      <c r="E34" s="100">
        <v>4515913</v>
      </c>
    </row>
    <row r="35" spans="1:5" x14ac:dyDescent="0.2">
      <c r="A35" s="79" t="s">
        <v>154</v>
      </c>
      <c r="C35" s="100"/>
      <c r="D35" s="102"/>
      <c r="E35" s="100"/>
    </row>
    <row r="36" spans="1:5" x14ac:dyDescent="0.2">
      <c r="A36" s="103" t="s">
        <v>155</v>
      </c>
      <c r="C36" s="100"/>
      <c r="D36" s="102"/>
      <c r="E36" s="100">
        <v>-1124779</v>
      </c>
    </row>
    <row r="37" spans="1:5" x14ac:dyDescent="0.2">
      <c r="A37" s="103" t="s">
        <v>156</v>
      </c>
      <c r="C37" s="100">
        <f>-3635739-15074</f>
        <v>-3650813</v>
      </c>
      <c r="D37" s="104"/>
      <c r="E37" s="100">
        <f>-3372148-146528</f>
        <v>-3518676</v>
      </c>
    </row>
    <row r="38" spans="1:5" ht="13.5" thickBot="1" x14ac:dyDescent="0.25">
      <c r="A38" s="79" t="s">
        <v>157</v>
      </c>
      <c r="C38" s="105">
        <f>SUM(C34:C37)</f>
        <v>3915586.75</v>
      </c>
      <c r="D38" s="102"/>
      <c r="E38" s="105">
        <f>SUM(E34:E37)</f>
        <v>-127542</v>
      </c>
    </row>
    <row r="39" spans="1:5" ht="13.5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3E5-4BB8-42E7-ABF1-047BC492DCDD}">
  <dimension ref="A1:P29"/>
  <sheetViews>
    <sheetView topLeftCell="A5" workbookViewId="0">
      <pane xSplit="1" ySplit="1" topLeftCell="N6" activePane="bottomRight" state="frozen"/>
      <selection activeCell="A5" sqref="A5"/>
      <selection pane="topRight" activeCell="B5" sqref="B5"/>
      <selection pane="bottomLeft" activeCell="A6" sqref="A6"/>
      <selection pane="bottomRight" activeCell="O18" sqref="O18"/>
    </sheetView>
  </sheetViews>
  <sheetFormatPr defaultColWidth="14.28515625" defaultRowHeight="15" x14ac:dyDescent="0.25"/>
  <cols>
    <col min="1" max="1" width="39.85546875" bestFit="1" customWidth="1"/>
    <col min="2" max="2" width="16.28515625" style="58" bestFit="1" customWidth="1"/>
    <col min="3" max="13" width="14.5703125" style="58" bestFit="1" customWidth="1"/>
    <col min="14" max="14" width="16.28515625" style="58" bestFit="1" customWidth="1"/>
    <col min="15" max="15" width="14.5703125" style="58" bestFit="1" customWidth="1"/>
    <col min="16" max="16" width="16.28515625" style="58" bestFit="1" customWidth="1"/>
  </cols>
  <sheetData>
    <row r="1" spans="1:16" hidden="1" x14ac:dyDescent="0.25"/>
    <row r="2" spans="1:16" hidden="1" x14ac:dyDescent="0.25">
      <c r="A2" s="51" t="s">
        <v>70</v>
      </c>
      <c r="B2" s="52">
        <f>B3+B29</f>
        <v>0</v>
      </c>
      <c r="C2" s="52">
        <f t="shared" ref="C2:P2" si="0">C3+C29</f>
        <v>0</v>
      </c>
      <c r="D2" s="52">
        <f t="shared" si="0"/>
        <v>0</v>
      </c>
      <c r="E2" s="52">
        <f t="shared" si="0"/>
        <v>0</v>
      </c>
      <c r="F2" s="52">
        <f t="shared" si="0"/>
        <v>0</v>
      </c>
      <c r="G2" s="52">
        <f t="shared" si="0"/>
        <v>0</v>
      </c>
      <c r="H2" s="52">
        <f t="shared" si="0"/>
        <v>0</v>
      </c>
      <c r="I2" s="52">
        <f t="shared" si="0"/>
        <v>0</v>
      </c>
      <c r="J2" s="52">
        <f t="shared" si="0"/>
        <v>0</v>
      </c>
      <c r="K2" s="52">
        <f t="shared" si="0"/>
        <v>0</v>
      </c>
      <c r="L2" s="52">
        <f t="shared" si="0"/>
        <v>0</v>
      </c>
      <c r="M2" s="52">
        <f t="shared" si="0"/>
        <v>0</v>
      </c>
      <c r="N2" s="52">
        <f t="shared" si="0"/>
        <v>0</v>
      </c>
      <c r="O2" s="52">
        <f t="shared" si="0"/>
        <v>-50000</v>
      </c>
      <c r="P2" s="52">
        <f t="shared" si="0"/>
        <v>-50000</v>
      </c>
    </row>
    <row r="3" spans="1:16" hidden="1" x14ac:dyDescent="0.25">
      <c r="A3" s="51" t="s">
        <v>71</v>
      </c>
      <c r="B3" s="54">
        <v>-119055718</v>
      </c>
      <c r="C3" s="54">
        <v>-5496133</v>
      </c>
      <c r="D3" s="54">
        <v>-520037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-459541</v>
      </c>
      <c r="L3" s="54">
        <v>-253218</v>
      </c>
      <c r="M3" s="54">
        <v>-155573</v>
      </c>
      <c r="N3" s="56">
        <v>-125940220</v>
      </c>
      <c r="O3" s="57">
        <v>4840533</v>
      </c>
      <c r="P3" s="54">
        <v>-121099687</v>
      </c>
    </row>
    <row r="5" spans="1:16" ht="36" x14ac:dyDescent="0.25">
      <c r="A5" s="59" t="s">
        <v>72</v>
      </c>
      <c r="B5" s="60" t="s">
        <v>3</v>
      </c>
      <c r="C5" s="60" t="s">
        <v>4</v>
      </c>
      <c r="D5" s="60" t="s">
        <v>5</v>
      </c>
      <c r="E5" s="60" t="s">
        <v>6</v>
      </c>
      <c r="F5" s="60" t="s">
        <v>7</v>
      </c>
      <c r="G5" s="60" t="s">
        <v>8</v>
      </c>
      <c r="H5" s="60" t="s">
        <v>9</v>
      </c>
      <c r="I5" s="60" t="s">
        <v>10</v>
      </c>
      <c r="J5" s="60" t="s">
        <v>11</v>
      </c>
      <c r="K5" s="60" t="s">
        <v>12</v>
      </c>
      <c r="L5" s="60" t="s">
        <v>13</v>
      </c>
      <c r="M5" s="60" t="s">
        <v>14</v>
      </c>
      <c r="N5" s="60" t="s">
        <v>0</v>
      </c>
      <c r="O5" s="60" t="s">
        <v>73</v>
      </c>
      <c r="P5" s="60" t="s">
        <v>74</v>
      </c>
    </row>
    <row r="6" spans="1:16" x14ac:dyDescent="0.25">
      <c r="A6" s="51" t="s">
        <v>75</v>
      </c>
      <c r="B6" s="52">
        <v>14523314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8">
        <v>113157</v>
      </c>
      <c r="M6" s="52">
        <v>118856</v>
      </c>
      <c r="N6" s="52">
        <f>SUM(B6:M6)</f>
        <v>14755327</v>
      </c>
      <c r="O6" s="52"/>
      <c r="P6" s="52">
        <f>N6+O6</f>
        <v>14755327</v>
      </c>
    </row>
    <row r="7" spans="1:16" x14ac:dyDescent="0.25">
      <c r="A7" s="51" t="s">
        <v>76</v>
      </c>
      <c r="B7" s="52">
        <v>39102742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52762</v>
      </c>
      <c r="L7" s="52">
        <v>0</v>
      </c>
      <c r="M7" s="52">
        <v>0</v>
      </c>
      <c r="N7" s="52">
        <f t="shared" ref="N7:N27" si="1">SUM(B7:M7)</f>
        <v>39155504</v>
      </c>
      <c r="O7" s="52"/>
      <c r="P7" s="52">
        <f t="shared" ref="P7:P27" si="2">N7+O7</f>
        <v>39155504</v>
      </c>
    </row>
    <row r="8" spans="1:16" x14ac:dyDescent="0.25">
      <c r="A8" s="51" t="s">
        <v>77</v>
      </c>
      <c r="B8" s="52">
        <v>3384924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89818</v>
      </c>
      <c r="M8" s="52">
        <v>0</v>
      </c>
      <c r="N8" s="52">
        <f t="shared" si="1"/>
        <v>3474742</v>
      </c>
      <c r="O8" s="52"/>
      <c r="P8" s="52">
        <f t="shared" si="2"/>
        <v>3474742</v>
      </c>
    </row>
    <row r="9" spans="1:16" x14ac:dyDescent="0.25">
      <c r="A9" s="51" t="s">
        <v>78</v>
      </c>
      <c r="B9" s="52">
        <v>5408875</v>
      </c>
      <c r="C9" s="52">
        <v>383760</v>
      </c>
      <c r="D9" s="52">
        <v>126199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18880</v>
      </c>
      <c r="N9" s="52">
        <f>SUM(B9:M9)</f>
        <v>5937714</v>
      </c>
      <c r="O9" s="52"/>
      <c r="P9" s="52">
        <f t="shared" si="2"/>
        <v>5937714</v>
      </c>
    </row>
    <row r="10" spans="1:16" x14ac:dyDescent="0.25">
      <c r="A10" s="51" t="s">
        <v>79</v>
      </c>
      <c r="B10" s="52">
        <v>10166658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145895</v>
      </c>
      <c r="L10" s="52">
        <v>0</v>
      </c>
      <c r="M10" s="58">
        <v>17837</v>
      </c>
      <c r="N10" s="52">
        <f t="shared" si="1"/>
        <v>10330390</v>
      </c>
      <c r="O10" s="52"/>
      <c r="P10" s="52">
        <f t="shared" si="2"/>
        <v>10330390</v>
      </c>
    </row>
    <row r="11" spans="1:16" x14ac:dyDescent="0.25">
      <c r="A11" s="51" t="s">
        <v>80</v>
      </c>
      <c r="B11" s="52">
        <v>8032742</v>
      </c>
      <c r="C11" s="52">
        <v>108739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f t="shared" si="1"/>
        <v>8141481</v>
      </c>
      <c r="O11" s="52"/>
      <c r="P11" s="52">
        <f t="shared" si="2"/>
        <v>8141481</v>
      </c>
    </row>
    <row r="12" spans="1:16" x14ac:dyDescent="0.25">
      <c r="A12" s="51" t="s">
        <v>81</v>
      </c>
      <c r="B12" s="52">
        <v>18603320</v>
      </c>
      <c r="C12" s="52">
        <v>2330698</v>
      </c>
      <c r="D12" s="52">
        <v>176834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134303</v>
      </c>
      <c r="L12" s="52">
        <v>0</v>
      </c>
      <c r="M12" s="52">
        <v>0</v>
      </c>
      <c r="N12" s="52">
        <f>SUM(B12:M12)</f>
        <v>21245155</v>
      </c>
      <c r="O12" s="52">
        <v>1484293</v>
      </c>
      <c r="P12" s="52">
        <f t="shared" si="2"/>
        <v>22729448</v>
      </c>
    </row>
    <row r="13" spans="1:16" x14ac:dyDescent="0.25">
      <c r="A13" s="51" t="s">
        <v>82</v>
      </c>
      <c r="B13" s="52">
        <v>12280596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f t="shared" si="1"/>
        <v>12280596</v>
      </c>
      <c r="O13" s="52"/>
      <c r="P13" s="52">
        <f t="shared" si="2"/>
        <v>12280596</v>
      </c>
    </row>
    <row r="14" spans="1:16" hidden="1" x14ac:dyDescent="0.25">
      <c r="A14" s="51" t="s">
        <v>83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f t="shared" si="1"/>
        <v>0</v>
      </c>
      <c r="O14" s="52"/>
      <c r="P14" s="52">
        <f t="shared" si="2"/>
        <v>0</v>
      </c>
    </row>
    <row r="15" spans="1:16" x14ac:dyDescent="0.25">
      <c r="A15" s="51" t="s">
        <v>84</v>
      </c>
      <c r="B15" s="52">
        <v>0</v>
      </c>
      <c r="C15" s="52">
        <v>8667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107510</v>
      </c>
      <c r="L15" s="52">
        <v>0</v>
      </c>
      <c r="M15" s="52">
        <v>0</v>
      </c>
      <c r="N15" s="52">
        <f t="shared" si="1"/>
        <v>116177</v>
      </c>
      <c r="O15" s="52"/>
      <c r="P15" s="52">
        <f t="shared" si="2"/>
        <v>116177</v>
      </c>
    </row>
    <row r="16" spans="1:16" hidden="1" x14ac:dyDescent="0.25">
      <c r="A16" s="51" t="s">
        <v>85</v>
      </c>
      <c r="B16" s="52">
        <v>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f t="shared" si="1"/>
        <v>0</v>
      </c>
      <c r="O16" s="52"/>
      <c r="P16" s="52">
        <f t="shared" si="2"/>
        <v>0</v>
      </c>
    </row>
    <row r="17" spans="1:16" x14ac:dyDescent="0.25">
      <c r="A17" s="51" t="s">
        <v>86</v>
      </c>
      <c r="B17" s="52">
        <v>0</v>
      </c>
      <c r="C17" s="52">
        <v>0</v>
      </c>
      <c r="D17" s="52">
        <v>42000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f t="shared" si="1"/>
        <v>42000</v>
      </c>
      <c r="O17" s="52"/>
      <c r="P17" s="52">
        <f t="shared" si="2"/>
        <v>42000</v>
      </c>
    </row>
    <row r="18" spans="1:16" x14ac:dyDescent="0.25">
      <c r="A18" s="51" t="s">
        <v>87</v>
      </c>
      <c r="B18" s="52">
        <v>0</v>
      </c>
      <c r="C18" s="52">
        <v>2663771</v>
      </c>
      <c r="D18" s="52">
        <v>175004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19071</v>
      </c>
      <c r="L18" s="52">
        <f>2314+47859</f>
        <v>50173</v>
      </c>
      <c r="M18" s="52">
        <v>0</v>
      </c>
      <c r="N18" s="52">
        <f t="shared" si="1"/>
        <v>2908019</v>
      </c>
      <c r="O18" s="52"/>
      <c r="P18" s="52">
        <f t="shared" si="2"/>
        <v>2908019</v>
      </c>
    </row>
    <row r="19" spans="1:16" hidden="1" x14ac:dyDescent="0.25">
      <c r="A19" s="51" t="s">
        <v>88</v>
      </c>
      <c r="B19" s="52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f t="shared" si="1"/>
        <v>0</v>
      </c>
      <c r="O19" s="52"/>
      <c r="P19" s="52">
        <f t="shared" si="2"/>
        <v>0</v>
      </c>
    </row>
    <row r="20" spans="1:16" hidden="1" x14ac:dyDescent="0.25">
      <c r="A20" s="51" t="s">
        <v>89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f t="shared" si="1"/>
        <v>0</v>
      </c>
      <c r="O20" s="52"/>
      <c r="P20" s="52">
        <f t="shared" si="2"/>
        <v>0</v>
      </c>
    </row>
    <row r="21" spans="1:16" hidden="1" x14ac:dyDescent="0.25">
      <c r="A21" s="51" t="s">
        <v>90</v>
      </c>
      <c r="B21" s="52"/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f t="shared" si="1"/>
        <v>0</v>
      </c>
      <c r="O21" s="52"/>
      <c r="P21" s="52">
        <f t="shared" si="2"/>
        <v>0</v>
      </c>
    </row>
    <row r="22" spans="1:16" hidden="1" x14ac:dyDescent="0.25">
      <c r="A22" s="51" t="s">
        <v>91</v>
      </c>
      <c r="B22" s="52">
        <v>0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f t="shared" si="1"/>
        <v>0</v>
      </c>
      <c r="O22" s="52"/>
      <c r="P22" s="52">
        <f t="shared" si="2"/>
        <v>0</v>
      </c>
    </row>
    <row r="23" spans="1:16" hidden="1" x14ac:dyDescent="0.25">
      <c r="A23" s="51" t="s">
        <v>92</v>
      </c>
      <c r="B23" s="52">
        <v>0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f t="shared" si="1"/>
        <v>0</v>
      </c>
      <c r="O23" s="52"/>
      <c r="P23" s="52">
        <f t="shared" si="2"/>
        <v>0</v>
      </c>
    </row>
    <row r="24" spans="1:16" x14ac:dyDescent="0.25">
      <c r="A24" s="51" t="s">
        <v>93</v>
      </c>
      <c r="B24" s="52">
        <v>0</v>
      </c>
      <c r="C24" s="52">
        <v>498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f t="shared" si="1"/>
        <v>498</v>
      </c>
      <c r="O24" s="52"/>
      <c r="P24" s="52">
        <f t="shared" si="2"/>
        <v>498</v>
      </c>
    </row>
    <row r="25" spans="1:16" hidden="1" x14ac:dyDescent="0.25">
      <c r="A25" s="51" t="s">
        <v>94</v>
      </c>
      <c r="B25" s="52">
        <v>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f t="shared" si="1"/>
        <v>0</v>
      </c>
      <c r="O25" s="52"/>
      <c r="P25" s="52">
        <f t="shared" si="2"/>
        <v>0</v>
      </c>
    </row>
    <row r="26" spans="1:16" x14ac:dyDescent="0.25">
      <c r="A26" s="51" t="s">
        <v>95</v>
      </c>
      <c r="B26" s="52">
        <v>1484293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f t="shared" si="1"/>
        <v>1484293</v>
      </c>
      <c r="O26" s="52">
        <v>-1484293</v>
      </c>
      <c r="P26" s="52">
        <f t="shared" si="2"/>
        <v>0</v>
      </c>
    </row>
    <row r="27" spans="1:16" x14ac:dyDescent="0.25">
      <c r="A27" s="51" t="s">
        <v>96</v>
      </c>
      <c r="B27" s="52">
        <v>6068254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70</v>
      </c>
      <c r="M27" s="52">
        <v>0</v>
      </c>
      <c r="N27" s="52">
        <f t="shared" si="1"/>
        <v>6068324</v>
      </c>
      <c r="O27" s="52">
        <v>-4890533</v>
      </c>
      <c r="P27" s="52">
        <f t="shared" si="2"/>
        <v>1177791</v>
      </c>
    </row>
    <row r="28" spans="1:16" x14ac:dyDescent="0.25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1:16" x14ac:dyDescent="0.25">
      <c r="A29" s="51" t="s">
        <v>0</v>
      </c>
      <c r="B29" s="52">
        <f>SUM(B6:B27)</f>
        <v>119055718</v>
      </c>
      <c r="C29" s="52">
        <f t="shared" ref="C29:P29" si="3">SUM(C6:C27)</f>
        <v>5496133</v>
      </c>
      <c r="D29" s="52">
        <f t="shared" si="3"/>
        <v>520037</v>
      </c>
      <c r="E29" s="52">
        <f t="shared" si="3"/>
        <v>0</v>
      </c>
      <c r="F29" s="52">
        <f t="shared" si="3"/>
        <v>0</v>
      </c>
      <c r="G29" s="52">
        <f t="shared" si="3"/>
        <v>0</v>
      </c>
      <c r="H29" s="52">
        <f t="shared" si="3"/>
        <v>0</v>
      </c>
      <c r="I29" s="52">
        <f t="shared" si="3"/>
        <v>0</v>
      </c>
      <c r="J29" s="52">
        <f t="shared" si="3"/>
        <v>0</v>
      </c>
      <c r="K29" s="52">
        <f t="shared" si="3"/>
        <v>459541</v>
      </c>
      <c r="L29" s="52">
        <f>SUM(L6:L27)</f>
        <v>253218</v>
      </c>
      <c r="M29" s="52">
        <f t="shared" si="3"/>
        <v>155573</v>
      </c>
      <c r="N29" s="52">
        <f t="shared" si="3"/>
        <v>125940220</v>
      </c>
      <c r="O29" s="52">
        <f t="shared" si="3"/>
        <v>-4890533</v>
      </c>
      <c r="P29" s="52">
        <f t="shared" si="3"/>
        <v>121049687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C1E6-4185-4A35-914F-E9DB80500F34}">
  <dimension ref="A1:P29"/>
  <sheetViews>
    <sheetView topLeftCell="A5" workbookViewId="0">
      <pane xSplit="1" ySplit="1" topLeftCell="P12" activePane="bottomRight" state="frozen"/>
      <selection activeCell="A5" sqref="A5"/>
      <selection pane="topRight" activeCell="B5" sqref="B5"/>
      <selection pane="bottomLeft" activeCell="A6" sqref="A6"/>
      <selection pane="bottomRight" activeCell="P7" sqref="P7"/>
    </sheetView>
  </sheetViews>
  <sheetFormatPr defaultColWidth="14.28515625" defaultRowHeight="15" x14ac:dyDescent="0.25"/>
  <cols>
    <col min="1" max="1" width="44.28515625" customWidth="1"/>
  </cols>
  <sheetData>
    <row r="1" spans="1:16" hidden="1" x14ac:dyDescent="0.25">
      <c r="L1" t="s">
        <v>69</v>
      </c>
    </row>
    <row r="2" spans="1:16" hidden="1" x14ac:dyDescent="0.25">
      <c r="A2" s="51" t="s">
        <v>70</v>
      </c>
      <c r="B2" s="52">
        <f t="shared" ref="B2:P2" si="0">B3+B29</f>
        <v>0</v>
      </c>
      <c r="C2" s="52">
        <f t="shared" si="0"/>
        <v>0</v>
      </c>
      <c r="D2" s="52">
        <f t="shared" si="0"/>
        <v>0</v>
      </c>
      <c r="E2" s="52">
        <f t="shared" si="0"/>
        <v>0</v>
      </c>
      <c r="F2" s="52">
        <f t="shared" si="0"/>
        <v>0</v>
      </c>
      <c r="G2" s="52">
        <f t="shared" si="0"/>
        <v>0</v>
      </c>
      <c r="H2" s="52">
        <f t="shared" si="0"/>
        <v>0</v>
      </c>
      <c r="I2" s="52">
        <f t="shared" si="0"/>
        <v>0</v>
      </c>
      <c r="J2" s="52">
        <f t="shared" si="0"/>
        <v>0</v>
      </c>
      <c r="K2" s="52">
        <f t="shared" si="0"/>
        <v>656</v>
      </c>
      <c r="L2" s="53">
        <f t="shared" si="0"/>
        <v>-8789</v>
      </c>
      <c r="M2" s="52">
        <f t="shared" si="0"/>
        <v>0</v>
      </c>
      <c r="N2" s="52">
        <f t="shared" si="0"/>
        <v>-8133</v>
      </c>
      <c r="O2" s="52">
        <f t="shared" si="0"/>
        <v>0</v>
      </c>
      <c r="P2" s="52">
        <f t="shared" si="0"/>
        <v>-8133</v>
      </c>
    </row>
    <row r="3" spans="1:16" hidden="1" x14ac:dyDescent="0.25">
      <c r="A3" s="51" t="s">
        <v>71</v>
      </c>
      <c r="B3" s="54">
        <v>-41266215</v>
      </c>
      <c r="C3" s="54">
        <v>-955246</v>
      </c>
      <c r="D3" s="54">
        <v>-287277</v>
      </c>
      <c r="E3" s="54">
        <v>0</v>
      </c>
      <c r="F3" s="54">
        <v>-44933</v>
      </c>
      <c r="G3" s="54">
        <v>-13474</v>
      </c>
      <c r="H3" s="54"/>
      <c r="I3" s="54"/>
      <c r="J3" s="54">
        <v>-40586</v>
      </c>
      <c r="K3" s="54">
        <v>-440067</v>
      </c>
      <c r="L3" s="55">
        <v>-824891</v>
      </c>
      <c r="M3" s="54">
        <v>-576801</v>
      </c>
      <c r="N3" s="56">
        <v>-44449490</v>
      </c>
      <c r="O3" s="57">
        <v>40586</v>
      </c>
      <c r="P3" s="54">
        <v>-44408904</v>
      </c>
    </row>
    <row r="4" spans="1:16" hidden="1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ht="36" x14ac:dyDescent="0.25">
      <c r="A5" s="59" t="s">
        <v>72</v>
      </c>
      <c r="B5" s="60" t="s">
        <v>3</v>
      </c>
      <c r="C5" s="60" t="s">
        <v>4</v>
      </c>
      <c r="D5" s="60" t="s">
        <v>5</v>
      </c>
      <c r="E5" s="60" t="s">
        <v>6</v>
      </c>
      <c r="F5" s="60" t="s">
        <v>7</v>
      </c>
      <c r="G5" s="60" t="s">
        <v>8</v>
      </c>
      <c r="H5" s="60" t="s">
        <v>9</v>
      </c>
      <c r="I5" s="60" t="s">
        <v>10</v>
      </c>
      <c r="J5" s="60" t="s">
        <v>11</v>
      </c>
      <c r="K5" s="60" t="s">
        <v>12</v>
      </c>
      <c r="L5" s="60" t="s">
        <v>13</v>
      </c>
      <c r="M5" s="60" t="s">
        <v>14</v>
      </c>
      <c r="N5" s="60" t="s">
        <v>0</v>
      </c>
      <c r="O5" s="60" t="s">
        <v>73</v>
      </c>
      <c r="P5" s="60" t="s">
        <v>74</v>
      </c>
    </row>
    <row r="6" spans="1:16" x14ac:dyDescent="0.25">
      <c r="A6" s="51" t="s">
        <v>75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f>SUM(B6:M6)</f>
        <v>0</v>
      </c>
      <c r="O6" s="52"/>
      <c r="P6" s="52">
        <f>N6-O6</f>
        <v>0</v>
      </c>
    </row>
    <row r="7" spans="1:16" x14ac:dyDescent="0.25">
      <c r="A7" s="51" t="s">
        <v>76</v>
      </c>
      <c r="B7" s="52">
        <v>6387672</v>
      </c>
      <c r="C7" s="52">
        <v>662698</v>
      </c>
      <c r="D7" s="52">
        <f>6378+38038</f>
        <v>44416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196656</v>
      </c>
      <c r="L7" s="52">
        <v>196727</v>
      </c>
      <c r="M7" s="52">
        <f>272338+105</f>
        <v>272443</v>
      </c>
      <c r="N7" s="52">
        <f t="shared" ref="N7:N27" si="1">SUM(B7:M7)</f>
        <v>7760612</v>
      </c>
      <c r="O7" s="52"/>
      <c r="P7" s="52">
        <f t="shared" ref="P7:P27" si="2">N7-O7</f>
        <v>7760612</v>
      </c>
    </row>
    <row r="8" spans="1:16" x14ac:dyDescent="0.25">
      <c r="A8" s="51" t="s">
        <v>77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f t="shared" si="1"/>
        <v>0</v>
      </c>
      <c r="O8" s="52"/>
      <c r="P8" s="52">
        <f t="shared" si="2"/>
        <v>0</v>
      </c>
    </row>
    <row r="9" spans="1:16" x14ac:dyDescent="0.25">
      <c r="A9" s="51" t="s">
        <v>78</v>
      </c>
      <c r="B9" s="52">
        <v>0</v>
      </c>
      <c r="C9" s="52">
        <v>0</v>
      </c>
      <c r="D9" s="52">
        <v>119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f t="shared" si="1"/>
        <v>119</v>
      </c>
      <c r="O9" s="52"/>
      <c r="P9" s="52">
        <f t="shared" si="2"/>
        <v>119</v>
      </c>
    </row>
    <row r="10" spans="1:16" x14ac:dyDescent="0.25">
      <c r="A10" s="51" t="s">
        <v>79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f t="shared" si="1"/>
        <v>0</v>
      </c>
      <c r="O10" s="52"/>
      <c r="P10" s="52">
        <f t="shared" si="2"/>
        <v>0</v>
      </c>
    </row>
    <row r="11" spans="1:16" x14ac:dyDescent="0.25">
      <c r="A11" s="51" t="s">
        <v>80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f t="shared" si="1"/>
        <v>0</v>
      </c>
      <c r="O11" s="52"/>
      <c r="P11" s="52">
        <f t="shared" si="2"/>
        <v>0</v>
      </c>
    </row>
    <row r="12" spans="1:16" x14ac:dyDescent="0.25">
      <c r="A12" s="51" t="s">
        <v>81</v>
      </c>
      <c r="B12" s="52">
        <v>2650855</v>
      </c>
      <c r="C12" s="52">
        <v>0</v>
      </c>
      <c r="D12" s="52">
        <v>2162</v>
      </c>
      <c r="E12" s="52">
        <v>0</v>
      </c>
      <c r="F12" s="52">
        <f>313+2783+5795</f>
        <v>8891</v>
      </c>
      <c r="G12" s="52">
        <v>13474</v>
      </c>
      <c r="H12" s="52">
        <v>0</v>
      </c>
      <c r="I12" s="52">
        <v>0</v>
      </c>
      <c r="J12" s="52">
        <v>40586</v>
      </c>
      <c r="K12" s="52">
        <v>0</v>
      </c>
      <c r="L12" s="52">
        <v>23513</v>
      </c>
      <c r="M12" s="52">
        <v>104244</v>
      </c>
      <c r="N12" s="52">
        <f t="shared" si="1"/>
        <v>2843725</v>
      </c>
      <c r="O12" s="52">
        <v>-40586</v>
      </c>
      <c r="P12" s="52">
        <f>N12+O12</f>
        <v>2803139</v>
      </c>
    </row>
    <row r="13" spans="1:16" x14ac:dyDescent="0.25">
      <c r="A13" s="51" t="s">
        <v>82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f t="shared" si="1"/>
        <v>0</v>
      </c>
      <c r="O13" s="52"/>
      <c r="P13" s="52">
        <f t="shared" si="2"/>
        <v>0</v>
      </c>
    </row>
    <row r="14" spans="1:16" x14ac:dyDescent="0.25">
      <c r="A14" s="51" t="s">
        <v>83</v>
      </c>
      <c r="B14" s="52">
        <v>694576</v>
      </c>
      <c r="C14" s="52">
        <v>0</v>
      </c>
      <c r="D14" s="52">
        <v>0</v>
      </c>
      <c r="E14" s="52">
        <v>0</v>
      </c>
      <c r="F14" s="52">
        <v>18893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f t="shared" si="1"/>
        <v>713469</v>
      </c>
      <c r="O14" s="52"/>
      <c r="P14" s="52">
        <f t="shared" si="2"/>
        <v>713469</v>
      </c>
    </row>
    <row r="15" spans="1:16" x14ac:dyDescent="0.25">
      <c r="A15" s="51" t="s">
        <v>84</v>
      </c>
      <c r="B15" s="52">
        <v>1393480</v>
      </c>
      <c r="C15" s="52">
        <v>13152</v>
      </c>
      <c r="D15" s="52">
        <f>1449+1580</f>
        <v>3029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25969</v>
      </c>
      <c r="L15" s="52">
        <v>456351</v>
      </c>
      <c r="M15" s="52">
        <v>38521</v>
      </c>
      <c r="N15" s="52">
        <f t="shared" si="1"/>
        <v>1930502</v>
      </c>
      <c r="O15" s="52"/>
      <c r="P15" s="52">
        <f t="shared" si="2"/>
        <v>1930502</v>
      </c>
    </row>
    <row r="16" spans="1:16" x14ac:dyDescent="0.25">
      <c r="A16" s="51" t="s">
        <v>85</v>
      </c>
      <c r="B16" s="52">
        <v>988793</v>
      </c>
      <c r="C16" s="52">
        <v>2199</v>
      </c>
      <c r="D16" s="52">
        <v>6961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67797</v>
      </c>
      <c r="L16" s="52">
        <v>2606</v>
      </c>
      <c r="M16" s="52">
        <v>12253</v>
      </c>
      <c r="N16" s="52">
        <f t="shared" si="1"/>
        <v>1080609</v>
      </c>
      <c r="O16" s="52"/>
      <c r="P16" s="52">
        <f t="shared" si="2"/>
        <v>1080609</v>
      </c>
    </row>
    <row r="17" spans="1:16" x14ac:dyDescent="0.25">
      <c r="A17" s="51" t="s">
        <v>86</v>
      </c>
      <c r="B17" s="52">
        <v>6375368</v>
      </c>
      <c r="C17" s="52">
        <f>9900+9463+97606</f>
        <v>116969</v>
      </c>
      <c r="D17" s="52">
        <f>79152+30000</f>
        <v>109152</v>
      </c>
      <c r="E17" s="52">
        <v>0</v>
      </c>
      <c r="F17" s="52">
        <v>536</v>
      </c>
      <c r="G17" s="52">
        <v>0</v>
      </c>
      <c r="H17" s="52">
        <v>0</v>
      </c>
      <c r="I17" s="52">
        <v>0</v>
      </c>
      <c r="J17" s="52">
        <v>0</v>
      </c>
      <c r="K17" s="52">
        <v>21096</v>
      </c>
      <c r="L17" s="52">
        <f>221+100191</f>
        <v>100412</v>
      </c>
      <c r="M17" s="52">
        <f>10406+2437</f>
        <v>12843</v>
      </c>
      <c r="N17" s="52">
        <f t="shared" si="1"/>
        <v>6736376</v>
      </c>
      <c r="O17" s="52"/>
      <c r="P17" s="52">
        <f t="shared" si="2"/>
        <v>6736376</v>
      </c>
    </row>
    <row r="18" spans="1:16" x14ac:dyDescent="0.25">
      <c r="A18" s="51" t="s">
        <v>87</v>
      </c>
      <c r="B18" s="52">
        <v>4407771</v>
      </c>
      <c r="C18" s="52">
        <v>4</v>
      </c>
      <c r="D18" s="52">
        <v>107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f>150+150</f>
        <v>300</v>
      </c>
      <c r="M18" s="52">
        <v>2625</v>
      </c>
      <c r="N18" s="52">
        <f t="shared" si="1"/>
        <v>4410807</v>
      </c>
      <c r="O18" s="52"/>
      <c r="P18" s="52">
        <f t="shared" si="2"/>
        <v>4410807</v>
      </c>
    </row>
    <row r="19" spans="1:16" x14ac:dyDescent="0.25">
      <c r="A19" s="51" t="s">
        <v>88</v>
      </c>
      <c r="B19" s="52">
        <v>2285351</v>
      </c>
      <c r="C19" s="52">
        <f>125217+8334</f>
        <v>133551</v>
      </c>
      <c r="D19" s="52">
        <f>52+3819</f>
        <v>3871</v>
      </c>
      <c r="E19" s="52">
        <v>0</v>
      </c>
      <c r="F19" s="52">
        <f>1649+300</f>
        <v>1949</v>
      </c>
      <c r="G19" s="52">
        <v>0</v>
      </c>
      <c r="H19" s="52">
        <v>0</v>
      </c>
      <c r="I19" s="52">
        <v>0</v>
      </c>
      <c r="J19" s="52">
        <v>0</v>
      </c>
      <c r="K19" s="52">
        <v>11644</v>
      </c>
      <c r="L19" s="52">
        <v>9780</v>
      </c>
      <c r="M19" s="52">
        <v>883</v>
      </c>
      <c r="N19" s="52">
        <f t="shared" si="1"/>
        <v>2447029</v>
      </c>
      <c r="O19" s="52"/>
      <c r="P19" s="52">
        <f t="shared" si="2"/>
        <v>2447029</v>
      </c>
    </row>
    <row r="20" spans="1:16" x14ac:dyDescent="0.25">
      <c r="A20" s="51" t="s">
        <v>89</v>
      </c>
      <c r="B20" s="52">
        <v>2374072</v>
      </c>
      <c r="C20" s="52">
        <v>0</v>
      </c>
      <c r="D20" s="52">
        <f>21735</f>
        <v>21735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2513</v>
      </c>
      <c r="M20" s="52">
        <v>23800</v>
      </c>
      <c r="N20" s="52">
        <f t="shared" si="1"/>
        <v>2422120</v>
      </c>
      <c r="O20" s="52"/>
      <c r="P20" s="52">
        <f t="shared" si="2"/>
        <v>2422120</v>
      </c>
    </row>
    <row r="21" spans="1:16" x14ac:dyDescent="0.25">
      <c r="A21" s="51" t="s">
        <v>90</v>
      </c>
      <c r="B21" s="52">
        <v>1139290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15016</v>
      </c>
      <c r="L21" s="52">
        <v>0</v>
      </c>
      <c r="M21" s="52">
        <v>0</v>
      </c>
      <c r="N21" s="52">
        <f t="shared" si="1"/>
        <v>1154306</v>
      </c>
      <c r="O21" s="52"/>
      <c r="P21" s="52">
        <f t="shared" si="2"/>
        <v>1154306</v>
      </c>
    </row>
    <row r="22" spans="1:16" x14ac:dyDescent="0.25">
      <c r="A22" s="51" t="s">
        <v>91</v>
      </c>
      <c r="B22" s="52">
        <v>819267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f>165+2862</f>
        <v>3027</v>
      </c>
      <c r="M22" s="52">
        <v>364</v>
      </c>
      <c r="N22" s="52">
        <f t="shared" si="1"/>
        <v>822658</v>
      </c>
      <c r="O22" s="52"/>
      <c r="P22" s="52">
        <f t="shared" si="2"/>
        <v>822658</v>
      </c>
    </row>
    <row r="23" spans="1:16" x14ac:dyDescent="0.25">
      <c r="A23" s="51" t="s">
        <v>92</v>
      </c>
      <c r="B23" s="52">
        <v>2966107</v>
      </c>
      <c r="C23" s="52">
        <f>806+214+516+46</f>
        <v>1582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f>2762+152+988+256+233</f>
        <v>4391</v>
      </c>
      <c r="M23" s="52">
        <f>5600+55229</f>
        <v>60829</v>
      </c>
      <c r="N23" s="52">
        <f t="shared" si="1"/>
        <v>3032909</v>
      </c>
      <c r="O23" s="52"/>
      <c r="P23" s="52">
        <f t="shared" si="2"/>
        <v>3032909</v>
      </c>
    </row>
    <row r="24" spans="1:16" x14ac:dyDescent="0.25">
      <c r="A24" s="51" t="s">
        <v>93</v>
      </c>
      <c r="B24" s="52">
        <v>143174</v>
      </c>
      <c r="C24" s="52">
        <v>90</v>
      </c>
      <c r="D24" s="52">
        <v>339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15580</v>
      </c>
      <c r="L24" s="52">
        <f>1417</f>
        <v>1417</v>
      </c>
      <c r="M24" s="52">
        <f>104+1526</f>
        <v>1630</v>
      </c>
      <c r="N24" s="52">
        <f t="shared" si="1"/>
        <v>162230</v>
      </c>
      <c r="O24" s="52"/>
      <c r="P24" s="52">
        <f t="shared" si="2"/>
        <v>162230</v>
      </c>
    </row>
    <row r="25" spans="1:16" x14ac:dyDescent="0.25">
      <c r="A25" s="51" t="s">
        <v>94</v>
      </c>
      <c r="B25" s="52">
        <v>1101105</v>
      </c>
      <c r="C25" s="52">
        <v>24618</v>
      </c>
      <c r="D25" s="52">
        <f>63+1338</f>
        <v>1401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62400</v>
      </c>
      <c r="L25" s="52">
        <f>1412+100</f>
        <v>1512</v>
      </c>
      <c r="M25" s="52">
        <f>4322+5+709</f>
        <v>5036</v>
      </c>
      <c r="N25" s="52">
        <f t="shared" si="1"/>
        <v>1196072</v>
      </c>
      <c r="O25" s="52"/>
      <c r="P25" s="52">
        <f t="shared" si="2"/>
        <v>1196072</v>
      </c>
    </row>
    <row r="26" spans="1:16" x14ac:dyDescent="0.25">
      <c r="A26" s="51" t="s">
        <v>95</v>
      </c>
      <c r="B26" s="52">
        <v>0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/>
      <c r="M26" s="52">
        <v>0</v>
      </c>
      <c r="N26" s="52">
        <f t="shared" si="1"/>
        <v>0</v>
      </c>
      <c r="O26" s="52"/>
      <c r="P26" s="52">
        <f t="shared" si="2"/>
        <v>0</v>
      </c>
    </row>
    <row r="27" spans="1:16" x14ac:dyDescent="0.25">
      <c r="A27" s="51" t="s">
        <v>96</v>
      </c>
      <c r="B27" s="52">
        <v>7539334</v>
      </c>
      <c r="C27" s="52">
        <f>136+247</f>
        <v>383</v>
      </c>
      <c r="D27" s="52">
        <f>2615+141+710+88083+1799+637</f>
        <v>93985</v>
      </c>
      <c r="E27" s="52">
        <v>0</v>
      </c>
      <c r="F27" s="52">
        <f>826+177+325+13336</f>
        <v>14664</v>
      </c>
      <c r="G27" s="52">
        <v>0</v>
      </c>
      <c r="H27" s="52">
        <v>0</v>
      </c>
      <c r="I27" s="52">
        <v>0</v>
      </c>
      <c r="J27" s="52">
        <v>0</v>
      </c>
      <c r="K27" s="52">
        <v>24565</v>
      </c>
      <c r="L27" s="52">
        <f>1555+10653+889+456</f>
        <v>13553</v>
      </c>
      <c r="M27" s="52">
        <f>3780+500+8038+29012</f>
        <v>41330</v>
      </c>
      <c r="N27" s="52">
        <f t="shared" si="1"/>
        <v>7727814</v>
      </c>
      <c r="O27" s="52"/>
      <c r="P27" s="52">
        <f t="shared" si="2"/>
        <v>7727814</v>
      </c>
    </row>
    <row r="28" spans="1:16" x14ac:dyDescent="0.25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1:16" x14ac:dyDescent="0.25">
      <c r="A29" s="51" t="s">
        <v>0</v>
      </c>
      <c r="B29" s="52">
        <f>SUM(B6:B27)</f>
        <v>41266215</v>
      </c>
      <c r="C29" s="52">
        <f>SUM(C6:C28)</f>
        <v>955246</v>
      </c>
      <c r="D29" s="52">
        <f t="shared" ref="D29:P29" si="3">SUM(D6:D27)</f>
        <v>287277</v>
      </c>
      <c r="E29" s="52">
        <f t="shared" si="3"/>
        <v>0</v>
      </c>
      <c r="F29" s="52">
        <f t="shared" si="3"/>
        <v>44933</v>
      </c>
      <c r="G29" s="52">
        <f t="shared" si="3"/>
        <v>13474</v>
      </c>
      <c r="H29" s="52">
        <f t="shared" si="3"/>
        <v>0</v>
      </c>
      <c r="I29" s="52">
        <f t="shared" si="3"/>
        <v>0</v>
      </c>
      <c r="J29" s="52">
        <f t="shared" si="3"/>
        <v>40586</v>
      </c>
      <c r="K29" s="52">
        <f t="shared" si="3"/>
        <v>440723</v>
      </c>
      <c r="L29" s="52">
        <f t="shared" si="3"/>
        <v>816102</v>
      </c>
      <c r="M29" s="52">
        <f t="shared" si="3"/>
        <v>576801</v>
      </c>
      <c r="N29" s="52">
        <f t="shared" si="3"/>
        <v>44441357</v>
      </c>
      <c r="O29" s="52">
        <f t="shared" si="3"/>
        <v>-40586</v>
      </c>
      <c r="P29" s="52">
        <f t="shared" si="3"/>
        <v>44400771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8993-0056-43E8-9FB4-A004230AD64B}">
  <dimension ref="A1:P37"/>
  <sheetViews>
    <sheetView topLeftCell="B5" workbookViewId="0">
      <pane ySplit="1" topLeftCell="A11" activePane="bottomLeft" state="frozen"/>
      <selection activeCell="A5" sqref="A5"/>
      <selection pane="bottomLeft" activeCell="O27" sqref="O27"/>
    </sheetView>
  </sheetViews>
  <sheetFormatPr defaultColWidth="11.42578125" defaultRowHeight="15" x14ac:dyDescent="0.25"/>
  <cols>
    <col min="1" max="1" width="31.140625" customWidth="1"/>
    <col min="2" max="2" width="14.140625" bestFit="1" customWidth="1"/>
    <col min="16" max="16" width="14.42578125" customWidth="1"/>
  </cols>
  <sheetData>
    <row r="1" spans="1:16" hidden="1" x14ac:dyDescent="0.25"/>
    <row r="2" spans="1:16" hidden="1" x14ac:dyDescent="0.25">
      <c r="A2" s="51" t="s">
        <v>70</v>
      </c>
      <c r="B2" s="133">
        <f t="shared" ref="B2:M2" si="0">B3-B8</f>
        <v>0</v>
      </c>
      <c r="C2" s="133">
        <f t="shared" si="0"/>
        <v>23010</v>
      </c>
      <c r="D2" s="133">
        <f t="shared" si="0"/>
        <v>0</v>
      </c>
      <c r="E2" s="133">
        <f t="shared" si="0"/>
        <v>0</v>
      </c>
      <c r="F2" s="133">
        <f t="shared" si="0"/>
        <v>0</v>
      </c>
      <c r="G2" s="133">
        <f t="shared" si="0"/>
        <v>0</v>
      </c>
      <c r="H2" s="133">
        <f t="shared" si="0"/>
        <v>0</v>
      </c>
      <c r="I2" s="133">
        <f t="shared" si="0"/>
        <v>0</v>
      </c>
      <c r="J2" s="133">
        <f t="shared" si="0"/>
        <v>0</v>
      </c>
      <c r="K2" s="133">
        <f t="shared" si="0"/>
        <v>0</v>
      </c>
      <c r="L2" s="141">
        <f t="shared" si="0"/>
        <v>0</v>
      </c>
      <c r="M2" s="134">
        <f t="shared" si="0"/>
        <v>0</v>
      </c>
      <c r="N2" s="133">
        <f>SUM(B2:M2)</f>
        <v>23010</v>
      </c>
      <c r="O2" s="133">
        <f>O3-O8</f>
        <v>0</v>
      </c>
      <c r="P2" s="133">
        <f>N2+O2</f>
        <v>23010</v>
      </c>
    </row>
    <row r="3" spans="1:16" hidden="1" x14ac:dyDescent="0.25">
      <c r="A3" s="51" t="s">
        <v>71</v>
      </c>
      <c r="B3" s="142">
        <v>10095277</v>
      </c>
      <c r="C3" s="142">
        <v>308808</v>
      </c>
      <c r="D3" s="142">
        <v>332952</v>
      </c>
      <c r="E3" s="143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113091</v>
      </c>
      <c r="L3" s="146">
        <v>66000</v>
      </c>
      <c r="M3" s="144">
        <v>193437</v>
      </c>
      <c r="N3" s="143">
        <f t="shared" ref="N3:P3" si="1">SUM(B3:M3)</f>
        <v>11109565</v>
      </c>
      <c r="O3" s="142"/>
      <c r="P3" s="143">
        <f t="shared" si="1"/>
        <v>11815045</v>
      </c>
    </row>
    <row r="4" spans="1:16" hidden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48" x14ac:dyDescent="0.25">
      <c r="A5" s="51"/>
      <c r="B5" s="136" t="s">
        <v>3</v>
      </c>
      <c r="C5" s="136" t="s">
        <v>4</v>
      </c>
      <c r="D5" s="136" t="s">
        <v>5</v>
      </c>
      <c r="E5" s="136" t="s">
        <v>6</v>
      </c>
      <c r="F5" s="136" t="s">
        <v>7</v>
      </c>
      <c r="G5" s="136" t="s">
        <v>8</v>
      </c>
      <c r="H5" s="136" t="s">
        <v>9</v>
      </c>
      <c r="I5" s="136" t="s">
        <v>10</v>
      </c>
      <c r="J5" s="136" t="s">
        <v>11</v>
      </c>
      <c r="K5" s="136" t="s">
        <v>12</v>
      </c>
      <c r="L5" s="136" t="s">
        <v>13</v>
      </c>
      <c r="M5" s="136" t="s">
        <v>14</v>
      </c>
      <c r="N5" s="136" t="s">
        <v>0</v>
      </c>
      <c r="O5" s="136" t="s">
        <v>38</v>
      </c>
      <c r="P5" s="136" t="s">
        <v>74</v>
      </c>
    </row>
    <row r="6" spans="1:16" x14ac:dyDescent="0.25">
      <c r="A6" s="51" t="s">
        <v>195</v>
      </c>
      <c r="B6" s="133">
        <v>11900808</v>
      </c>
      <c r="C6" s="133">
        <v>285798</v>
      </c>
      <c r="D6" s="133">
        <v>332952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113091</v>
      </c>
      <c r="L6" s="133">
        <f>66000+46414</f>
        <v>112414</v>
      </c>
      <c r="M6" s="133">
        <v>193437</v>
      </c>
      <c r="N6" s="133">
        <f>SUM(B6:M6)</f>
        <v>12938500</v>
      </c>
      <c r="O6" s="133">
        <v>0</v>
      </c>
      <c r="P6" s="133">
        <f>N6+O6</f>
        <v>12938500</v>
      </c>
    </row>
    <row r="7" spans="1:16" x14ac:dyDescent="0.25">
      <c r="A7" s="51" t="s">
        <v>196</v>
      </c>
      <c r="B7" s="133">
        <v>-1805531</v>
      </c>
      <c r="C7" s="133">
        <v>0</v>
      </c>
      <c r="D7" s="133">
        <v>0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-46414</v>
      </c>
      <c r="M7" s="133">
        <v>0</v>
      </c>
      <c r="N7" s="133">
        <f>SUM(B7:M7)</f>
        <v>-1851945</v>
      </c>
      <c r="O7" s="133">
        <v>0</v>
      </c>
      <c r="P7" s="133">
        <f>N7+O7</f>
        <v>-1851945</v>
      </c>
    </row>
    <row r="8" spans="1:16" x14ac:dyDescent="0.25">
      <c r="A8" s="51" t="s">
        <v>0</v>
      </c>
      <c r="B8" s="133">
        <f t="shared" ref="B8:P8" si="2">SUM(B6:B7)</f>
        <v>10095277</v>
      </c>
      <c r="C8" s="133">
        <f t="shared" si="2"/>
        <v>285798</v>
      </c>
      <c r="D8" s="133">
        <f t="shared" si="2"/>
        <v>332952</v>
      </c>
      <c r="E8" s="133">
        <f t="shared" si="2"/>
        <v>0</v>
      </c>
      <c r="F8" s="133">
        <f t="shared" si="2"/>
        <v>0</v>
      </c>
      <c r="G8" s="133">
        <f t="shared" si="2"/>
        <v>0</v>
      </c>
      <c r="H8" s="133">
        <f t="shared" si="2"/>
        <v>0</v>
      </c>
      <c r="I8" s="133">
        <f t="shared" si="2"/>
        <v>0</v>
      </c>
      <c r="J8" s="133">
        <f t="shared" si="2"/>
        <v>0</v>
      </c>
      <c r="K8" s="133">
        <f t="shared" si="2"/>
        <v>113091</v>
      </c>
      <c r="L8" s="133">
        <f t="shared" si="2"/>
        <v>66000</v>
      </c>
      <c r="M8" s="133">
        <f t="shared" si="2"/>
        <v>193437</v>
      </c>
      <c r="N8" s="133">
        <f t="shared" si="2"/>
        <v>11086555</v>
      </c>
      <c r="O8" s="133">
        <f t="shared" si="2"/>
        <v>0</v>
      </c>
      <c r="P8" s="133">
        <f t="shared" si="2"/>
        <v>11086555</v>
      </c>
    </row>
    <row r="10" spans="1:16" ht="48" x14ac:dyDescent="0.25">
      <c r="A10" s="51"/>
      <c r="B10" s="136" t="s">
        <v>3</v>
      </c>
      <c r="C10" s="136" t="s">
        <v>4</v>
      </c>
      <c r="D10" s="136" t="s">
        <v>5</v>
      </c>
      <c r="E10" s="136" t="s">
        <v>6</v>
      </c>
      <c r="F10" s="136" t="s">
        <v>7</v>
      </c>
      <c r="G10" s="136" t="s">
        <v>8</v>
      </c>
      <c r="H10" s="136" t="s">
        <v>9</v>
      </c>
      <c r="I10" s="136" t="s">
        <v>10</v>
      </c>
      <c r="J10" s="136" t="s">
        <v>11</v>
      </c>
      <c r="K10" s="136" t="s">
        <v>12</v>
      </c>
      <c r="L10" s="136" t="s">
        <v>13</v>
      </c>
      <c r="M10" s="136" t="s">
        <v>14</v>
      </c>
      <c r="N10" s="136" t="s">
        <v>0</v>
      </c>
    </row>
    <row r="11" spans="1:16" x14ac:dyDescent="0.25">
      <c r="A11" s="51" t="s">
        <v>197</v>
      </c>
      <c r="B11" s="136">
        <v>4823198</v>
      </c>
      <c r="C11" s="133">
        <v>285798</v>
      </c>
      <c r="D11" s="133">
        <v>332952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113091</v>
      </c>
      <c r="L11" s="133">
        <f>112414-46414</f>
        <v>66000</v>
      </c>
      <c r="M11" s="133">
        <v>193437</v>
      </c>
      <c r="N11" s="133">
        <f>SUM(B11:M11)</f>
        <v>5814476</v>
      </c>
    </row>
    <row r="12" spans="1:16" x14ac:dyDescent="0.25">
      <c r="A12" s="51" t="s">
        <v>198</v>
      </c>
      <c r="B12" s="133">
        <v>4055470</v>
      </c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45">
        <v>0</v>
      </c>
      <c r="M12" s="133">
        <v>0</v>
      </c>
      <c r="N12" s="133">
        <f t="shared" ref="N12:N16" si="3">SUM(B12:M12)</f>
        <v>4055470</v>
      </c>
    </row>
    <row r="13" spans="1:16" x14ac:dyDescent="0.25">
      <c r="A13" s="51" t="s">
        <v>199</v>
      </c>
      <c r="B13" s="133">
        <v>210522</v>
      </c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f t="shared" si="3"/>
        <v>210522</v>
      </c>
    </row>
    <row r="14" spans="1:16" x14ac:dyDescent="0.25">
      <c r="A14" s="51" t="s">
        <v>200</v>
      </c>
      <c r="B14" s="133">
        <v>217936</v>
      </c>
      <c r="C14" s="133">
        <v>0</v>
      </c>
      <c r="D14" s="133">
        <v>0</v>
      </c>
      <c r="E14" s="133">
        <v>0</v>
      </c>
      <c r="F14" s="133">
        <v>0</v>
      </c>
      <c r="G14" s="133">
        <v>0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f t="shared" si="3"/>
        <v>217936</v>
      </c>
    </row>
    <row r="15" spans="1:16" x14ac:dyDescent="0.25">
      <c r="A15" s="51" t="s">
        <v>201</v>
      </c>
      <c r="B15" s="133">
        <v>654493</v>
      </c>
      <c r="C15" s="133">
        <v>0</v>
      </c>
      <c r="D15" s="133">
        <v>0</v>
      </c>
      <c r="E15" s="133">
        <v>0</v>
      </c>
      <c r="F15" s="133">
        <v>0</v>
      </c>
      <c r="G15" s="133">
        <v>0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f t="shared" si="3"/>
        <v>654493</v>
      </c>
    </row>
    <row r="16" spans="1:16" x14ac:dyDescent="0.25">
      <c r="A16" s="51" t="s">
        <v>202</v>
      </c>
      <c r="B16" s="133">
        <v>1939189</v>
      </c>
      <c r="C16" s="133"/>
      <c r="D16" s="133">
        <v>0</v>
      </c>
      <c r="E16" s="133">
        <v>0</v>
      </c>
      <c r="F16" s="133">
        <v>0</v>
      </c>
      <c r="G16" s="133">
        <v>0</v>
      </c>
      <c r="H16" s="133">
        <v>0</v>
      </c>
      <c r="I16" s="133">
        <v>0</v>
      </c>
      <c r="J16" s="133">
        <v>0</v>
      </c>
      <c r="K16" s="133">
        <v>0</v>
      </c>
      <c r="L16" s="133">
        <v>46414</v>
      </c>
      <c r="M16" s="133">
        <v>0</v>
      </c>
      <c r="N16" s="133">
        <f t="shared" si="3"/>
        <v>1985603</v>
      </c>
    </row>
    <row r="17" spans="1:15" x14ac:dyDescent="0.25">
      <c r="A17" s="51" t="s">
        <v>0</v>
      </c>
      <c r="B17" s="133">
        <f t="shared" ref="B17:N17" si="4">SUM(B11:B16)</f>
        <v>11900808</v>
      </c>
      <c r="C17" s="133">
        <f t="shared" si="4"/>
        <v>285798</v>
      </c>
      <c r="D17" s="133">
        <f t="shared" si="4"/>
        <v>332952</v>
      </c>
      <c r="E17" s="133">
        <f t="shared" si="4"/>
        <v>0</v>
      </c>
      <c r="F17" s="133">
        <f t="shared" si="4"/>
        <v>0</v>
      </c>
      <c r="G17" s="133">
        <f t="shared" si="4"/>
        <v>0</v>
      </c>
      <c r="H17" s="133">
        <f t="shared" si="4"/>
        <v>0</v>
      </c>
      <c r="I17" s="133">
        <f t="shared" si="4"/>
        <v>0</v>
      </c>
      <c r="J17" s="133">
        <f t="shared" si="4"/>
        <v>0</v>
      </c>
      <c r="K17" s="133">
        <f t="shared" si="4"/>
        <v>113091</v>
      </c>
      <c r="L17" s="133">
        <f t="shared" si="4"/>
        <v>112414</v>
      </c>
      <c r="M17" s="133">
        <f t="shared" si="4"/>
        <v>193437</v>
      </c>
      <c r="N17" s="133">
        <f t="shared" si="4"/>
        <v>12938500</v>
      </c>
    </row>
    <row r="18" spans="1:15" x14ac:dyDescent="0.25">
      <c r="A18" s="147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</row>
    <row r="19" spans="1:15" x14ac:dyDescent="0.25">
      <c r="A19" s="149"/>
      <c r="B19" s="149"/>
      <c r="C19" s="150" t="s">
        <v>210</v>
      </c>
      <c r="D19" s="149"/>
      <c r="E19" s="150" t="s">
        <v>211</v>
      </c>
      <c r="F19" s="150"/>
      <c r="G19" s="150" t="s">
        <v>211</v>
      </c>
      <c r="H19" s="150"/>
      <c r="I19" s="150" t="s">
        <v>211</v>
      </c>
      <c r="J19" s="149"/>
      <c r="K19" s="150" t="s">
        <v>211</v>
      </c>
      <c r="L19" s="149"/>
      <c r="M19" s="150" t="s">
        <v>211</v>
      </c>
      <c r="N19" s="149"/>
      <c r="O19" s="149"/>
    </row>
    <row r="20" spans="1:15" x14ac:dyDescent="0.25">
      <c r="A20" s="149"/>
      <c r="B20" s="149"/>
      <c r="C20" s="153" t="s">
        <v>212</v>
      </c>
      <c r="D20" s="149"/>
      <c r="E20" s="153" t="s">
        <v>213</v>
      </c>
      <c r="F20" s="150"/>
      <c r="G20" s="153" t="s">
        <v>214</v>
      </c>
      <c r="H20" s="150"/>
      <c r="I20" s="153" t="s">
        <v>215</v>
      </c>
      <c r="J20" s="149"/>
      <c r="K20" s="153" t="s">
        <v>216</v>
      </c>
      <c r="L20" s="149"/>
      <c r="M20" s="153" t="s">
        <v>217</v>
      </c>
      <c r="N20" s="149"/>
      <c r="O20" s="153" t="s">
        <v>0</v>
      </c>
    </row>
    <row r="21" spans="1:15" x14ac:dyDescent="0.25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</row>
    <row r="22" spans="1:15" x14ac:dyDescent="0.25">
      <c r="A22" s="149" t="s">
        <v>218</v>
      </c>
      <c r="B22" s="149"/>
      <c r="C22" s="163">
        <v>3.5200000000000002E-2</v>
      </c>
      <c r="D22" s="162"/>
      <c r="E22" s="163">
        <v>7.0400000000000004E-2</v>
      </c>
      <c r="F22" s="163"/>
      <c r="G22" s="163">
        <v>0.1056</v>
      </c>
      <c r="H22" s="163"/>
      <c r="I22" s="163">
        <v>0.1108</v>
      </c>
      <c r="J22" s="164"/>
      <c r="K22" s="163">
        <v>0.42230000000000001</v>
      </c>
      <c r="L22" s="164"/>
      <c r="M22" s="163">
        <v>1</v>
      </c>
      <c r="N22" s="165"/>
      <c r="O22" s="149"/>
    </row>
    <row r="23" spans="1:15" x14ac:dyDescent="0.25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</row>
    <row r="24" spans="1:15" x14ac:dyDescent="0.25">
      <c r="A24" s="149" t="s">
        <v>219</v>
      </c>
      <c r="B24" s="149"/>
      <c r="C24" s="151">
        <v>5814476</v>
      </c>
      <c r="D24" s="149"/>
      <c r="E24" s="151">
        <v>4055470</v>
      </c>
      <c r="F24" s="152"/>
      <c r="G24" s="151">
        <v>210522</v>
      </c>
      <c r="H24" s="152"/>
      <c r="I24" s="151"/>
      <c r="J24" s="152"/>
      <c r="K24" s="151"/>
      <c r="L24" s="152"/>
      <c r="M24" s="151"/>
      <c r="N24" s="149"/>
      <c r="O24" s="154">
        <f>+SUM(C24:M24)</f>
        <v>10080468</v>
      </c>
    </row>
    <row r="25" spans="1:15" x14ac:dyDescent="0.25">
      <c r="A25" s="155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</row>
    <row r="26" spans="1:15" ht="15.75" thickBot="1" x14ac:dyDescent="0.3">
      <c r="A26" s="149" t="s">
        <v>220</v>
      </c>
      <c r="B26" s="149"/>
      <c r="C26" s="156">
        <f>+C24*C22</f>
        <v>204669.5552</v>
      </c>
      <c r="D26" s="157"/>
      <c r="E26" s="156">
        <f>+E24*E22</f>
        <v>285505.08799999999</v>
      </c>
      <c r="F26" s="157"/>
      <c r="G26" s="156">
        <f>+G24*G22</f>
        <v>22231.123199999998</v>
      </c>
      <c r="H26" s="157"/>
      <c r="I26" s="156">
        <f>+I24*I22</f>
        <v>0</v>
      </c>
      <c r="J26" s="157"/>
      <c r="K26" s="156">
        <f>+K24*K22</f>
        <v>0</v>
      </c>
      <c r="L26" s="157"/>
      <c r="M26" s="156">
        <f>+M24*M22</f>
        <v>0</v>
      </c>
      <c r="N26" s="149"/>
      <c r="O26" s="158">
        <f>+SUM(C26:M26)</f>
        <v>512405.76639999996</v>
      </c>
    </row>
    <row r="27" spans="1:15" ht="15.75" thickTop="1" x14ac:dyDescent="0.25">
      <c r="A27" s="161"/>
      <c r="B27" s="161"/>
      <c r="C27" s="159"/>
      <c r="D27" s="152"/>
      <c r="E27" s="159"/>
      <c r="F27" s="152"/>
      <c r="G27" s="159"/>
      <c r="H27" s="152"/>
      <c r="I27" s="159"/>
      <c r="J27" s="152"/>
      <c r="K27" s="159"/>
      <c r="L27" s="152"/>
      <c r="M27" s="159"/>
      <c r="N27" s="161"/>
      <c r="O27" s="160"/>
    </row>
    <row r="28" spans="1:15" x14ac:dyDescent="0.25">
      <c r="A28" s="161"/>
      <c r="B28" s="161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61"/>
      <c r="O28" s="160"/>
    </row>
    <row r="29" spans="1:15" x14ac:dyDescent="0.25">
      <c r="A29" s="51" t="s">
        <v>203</v>
      </c>
      <c r="B29" s="136">
        <v>592886</v>
      </c>
      <c r="C29" s="136">
        <v>0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6">
        <v>0</v>
      </c>
      <c r="M29" s="136">
        <v>0</v>
      </c>
      <c r="N29" s="136">
        <f t="shared" ref="N29:N36" si="5">SUM(B29:M29)</f>
        <v>592886</v>
      </c>
    </row>
    <row r="30" spans="1:15" x14ac:dyDescent="0.25">
      <c r="A30" s="51" t="s">
        <v>204</v>
      </c>
      <c r="B30" s="136">
        <v>269104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f t="shared" si="5"/>
        <v>269104</v>
      </c>
    </row>
    <row r="31" spans="1:15" x14ac:dyDescent="0.25">
      <c r="A31" s="51" t="s">
        <v>205</v>
      </c>
      <c r="B31" s="136">
        <v>1296155</v>
      </c>
      <c r="C31" s="136">
        <v>0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108045</v>
      </c>
      <c r="L31" s="136">
        <f>113+9</f>
        <v>122</v>
      </c>
      <c r="M31" s="136">
        <v>0</v>
      </c>
      <c r="N31" s="136">
        <f t="shared" si="5"/>
        <v>1404322</v>
      </c>
    </row>
    <row r="32" spans="1:15" x14ac:dyDescent="0.25">
      <c r="A32" s="51" t="s">
        <v>206</v>
      </c>
      <c r="B32" s="136">
        <v>56268</v>
      </c>
      <c r="C32" s="136">
        <v>6476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0</v>
      </c>
      <c r="J32" s="136">
        <v>0</v>
      </c>
      <c r="K32" s="136">
        <v>0</v>
      </c>
      <c r="L32" s="136">
        <v>0</v>
      </c>
      <c r="M32" s="136">
        <v>0</v>
      </c>
      <c r="N32" s="136">
        <f t="shared" si="5"/>
        <v>62744</v>
      </c>
    </row>
    <row r="33" spans="1:14" x14ac:dyDescent="0.25">
      <c r="A33" s="51" t="s">
        <v>207</v>
      </c>
      <c r="B33" s="136">
        <v>6809712</v>
      </c>
      <c r="C33" s="136">
        <v>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6">
        <v>0</v>
      </c>
      <c r="M33" s="136">
        <v>0</v>
      </c>
      <c r="N33" s="136">
        <f t="shared" si="5"/>
        <v>6809712</v>
      </c>
    </row>
    <row r="34" spans="1:14" x14ac:dyDescent="0.25">
      <c r="A34" s="51" t="s">
        <v>208</v>
      </c>
      <c r="B34" s="133">
        <v>16657</v>
      </c>
      <c r="C34" s="133">
        <v>0</v>
      </c>
      <c r="D34" s="133">
        <v>0</v>
      </c>
      <c r="E34" s="133">
        <v>0</v>
      </c>
      <c r="F34" s="133">
        <v>0</v>
      </c>
      <c r="G34" s="133">
        <v>0</v>
      </c>
      <c r="H34" s="133">
        <v>0</v>
      </c>
      <c r="I34" s="133">
        <v>0</v>
      </c>
      <c r="J34" s="133">
        <v>0</v>
      </c>
      <c r="K34" s="133">
        <v>5046</v>
      </c>
      <c r="L34" s="133"/>
      <c r="M34" s="133">
        <v>0</v>
      </c>
      <c r="N34" s="136">
        <f t="shared" si="5"/>
        <v>21703</v>
      </c>
    </row>
    <row r="35" spans="1:14" x14ac:dyDescent="0.25">
      <c r="A35" s="51" t="s">
        <v>209</v>
      </c>
      <c r="B35" s="133">
        <v>517075</v>
      </c>
      <c r="C35" s="133">
        <v>78750</v>
      </c>
      <c r="D35" s="133">
        <v>0</v>
      </c>
      <c r="E35" s="133">
        <v>0</v>
      </c>
      <c r="F35" s="133">
        <v>0</v>
      </c>
      <c r="G35" s="133">
        <v>0</v>
      </c>
      <c r="H35" s="133">
        <v>0</v>
      </c>
      <c r="I35" s="133">
        <v>0</v>
      </c>
      <c r="J35" s="133">
        <v>0</v>
      </c>
      <c r="K35" s="133">
        <v>0</v>
      </c>
      <c r="L35" s="133">
        <v>10862</v>
      </c>
      <c r="M35" s="133">
        <v>0</v>
      </c>
      <c r="N35" s="136">
        <f t="shared" si="5"/>
        <v>606687</v>
      </c>
    </row>
    <row r="36" spans="1:14" x14ac:dyDescent="0.25">
      <c r="A36" s="51" t="s">
        <v>96</v>
      </c>
      <c r="B36" s="133">
        <v>3553</v>
      </c>
      <c r="C36" s="133">
        <f>285798-199399</f>
        <v>86399</v>
      </c>
      <c r="D36" s="133">
        <v>332952</v>
      </c>
      <c r="E36" s="133">
        <v>0</v>
      </c>
      <c r="F36" s="133">
        <v>0</v>
      </c>
      <c r="G36" s="133">
        <v>0</v>
      </c>
      <c r="H36" s="133">
        <v>0</v>
      </c>
      <c r="I36" s="133">
        <v>0</v>
      </c>
      <c r="J36" s="133">
        <v>0</v>
      </c>
      <c r="K36" s="133">
        <v>0</v>
      </c>
      <c r="L36" s="133">
        <f>112414-10984</f>
        <v>101430</v>
      </c>
      <c r="M36" s="133">
        <v>193437</v>
      </c>
      <c r="N36" s="136">
        <f t="shared" si="5"/>
        <v>717771</v>
      </c>
    </row>
    <row r="37" spans="1:14" x14ac:dyDescent="0.25">
      <c r="A37" s="51" t="s">
        <v>0</v>
      </c>
      <c r="B37" s="133">
        <f>SUM(B25:B36)</f>
        <v>9561410</v>
      </c>
      <c r="C37" s="133">
        <f t="shared" ref="C37:N37" si="6">SUM(C25:C36)</f>
        <v>376294.5552</v>
      </c>
      <c r="D37" s="133">
        <f t="shared" si="6"/>
        <v>332952</v>
      </c>
      <c r="E37" s="133">
        <f t="shared" si="6"/>
        <v>285505.08799999999</v>
      </c>
      <c r="F37" s="133">
        <f t="shared" si="6"/>
        <v>0</v>
      </c>
      <c r="G37" s="133">
        <f t="shared" si="6"/>
        <v>22231.123199999998</v>
      </c>
      <c r="H37" s="133">
        <f t="shared" si="6"/>
        <v>0</v>
      </c>
      <c r="I37" s="133">
        <f t="shared" si="6"/>
        <v>0</v>
      </c>
      <c r="J37" s="133">
        <f t="shared" si="6"/>
        <v>0</v>
      </c>
      <c r="K37" s="133">
        <f t="shared" si="6"/>
        <v>113091</v>
      </c>
      <c r="L37" s="133">
        <f t="shared" si="6"/>
        <v>112414</v>
      </c>
      <c r="M37" s="133">
        <f t="shared" si="6"/>
        <v>193437</v>
      </c>
      <c r="N37" s="133">
        <f t="shared" si="6"/>
        <v>10484929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7142-D630-4B59-B9B2-075B5A8B349A}">
  <dimension ref="B1:Q8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E14" sqref="E14"/>
    </sheetView>
  </sheetViews>
  <sheetFormatPr defaultColWidth="11.42578125" defaultRowHeight="15" x14ac:dyDescent="0.25"/>
  <cols>
    <col min="1" max="1" width="2.5703125" customWidth="1"/>
    <col min="2" max="2" width="49.85546875" customWidth="1"/>
    <col min="17" max="17" width="12.140625" customWidth="1"/>
  </cols>
  <sheetData>
    <row r="1" spans="2:17" hidden="1" x14ac:dyDescent="0.25">
      <c r="G1" t="s">
        <v>221</v>
      </c>
      <c r="L1" t="s">
        <v>222</v>
      </c>
    </row>
    <row r="2" spans="2:17" hidden="1" x14ac:dyDescent="0.25">
      <c r="B2" s="51" t="s">
        <v>70</v>
      </c>
      <c r="C2" s="133">
        <f t="shared" ref="C2:N2" si="0">C3-C8</f>
        <v>0</v>
      </c>
      <c r="D2" s="133">
        <f t="shared" si="0"/>
        <v>0</v>
      </c>
      <c r="E2" s="133">
        <f t="shared" si="0"/>
        <v>0</v>
      </c>
      <c r="F2" s="133">
        <f t="shared" si="0"/>
        <v>0</v>
      </c>
      <c r="G2" s="133">
        <f t="shared" si="0"/>
        <v>-38503</v>
      </c>
      <c r="H2" s="133">
        <f t="shared" si="0"/>
        <v>0</v>
      </c>
      <c r="I2" s="133">
        <f t="shared" si="0"/>
        <v>0</v>
      </c>
      <c r="J2" s="133">
        <f t="shared" si="0"/>
        <v>0</v>
      </c>
      <c r="K2" s="133">
        <f t="shared" si="0"/>
        <v>0</v>
      </c>
      <c r="L2" s="133">
        <f t="shared" si="0"/>
        <v>0</v>
      </c>
      <c r="M2" s="133">
        <f t="shared" si="0"/>
        <v>0</v>
      </c>
      <c r="N2" s="134">
        <f t="shared" si="0"/>
        <v>0</v>
      </c>
      <c r="O2" s="133">
        <f>SUM(C2:N2)</f>
        <v>-38503</v>
      </c>
      <c r="P2" s="133">
        <f>P3-P8</f>
        <v>0</v>
      </c>
      <c r="Q2" s="133">
        <f>Q3-Q8</f>
        <v>-38503</v>
      </c>
    </row>
    <row r="3" spans="2:17" hidden="1" x14ac:dyDescent="0.25">
      <c r="B3" s="51" t="s">
        <v>71</v>
      </c>
      <c r="C3" s="142">
        <v>4638</v>
      </c>
      <c r="D3" s="142"/>
      <c r="E3" s="142">
        <v>132493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279416</v>
      </c>
      <c r="M3" s="142">
        <v>66979</v>
      </c>
      <c r="N3" s="143"/>
      <c r="O3" s="143">
        <f t="shared" ref="O3" si="1">SUM(C3:N3)</f>
        <v>483526</v>
      </c>
      <c r="P3" s="135">
        <v>0</v>
      </c>
      <c r="Q3" s="143">
        <f>O3+P3</f>
        <v>483526</v>
      </c>
    </row>
    <row r="4" spans="2:17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17" ht="48" x14ac:dyDescent="0.25">
      <c r="B5" s="51"/>
      <c r="C5" s="136" t="s">
        <v>3</v>
      </c>
      <c r="D5" s="136" t="s">
        <v>4</v>
      </c>
      <c r="E5" s="136" t="s">
        <v>5</v>
      </c>
      <c r="F5" s="136" t="s">
        <v>6</v>
      </c>
      <c r="G5" s="136" t="s">
        <v>7</v>
      </c>
      <c r="H5" s="136" t="s">
        <v>8</v>
      </c>
      <c r="I5" s="136" t="s">
        <v>9</v>
      </c>
      <c r="J5" s="136" t="s">
        <v>10</v>
      </c>
      <c r="K5" s="136" t="s">
        <v>11</v>
      </c>
      <c r="L5" s="136" t="s">
        <v>12</v>
      </c>
      <c r="M5" s="136" t="s">
        <v>13</v>
      </c>
      <c r="N5" s="136" t="s">
        <v>14</v>
      </c>
      <c r="O5" s="136" t="s">
        <v>0</v>
      </c>
      <c r="P5" s="136" t="s">
        <v>38</v>
      </c>
      <c r="Q5" s="136" t="s">
        <v>74</v>
      </c>
    </row>
    <row r="6" spans="2:17" x14ac:dyDescent="0.25">
      <c r="B6" s="51" t="s">
        <v>223</v>
      </c>
      <c r="C6" s="133">
        <v>0</v>
      </c>
      <c r="D6" s="133">
        <v>0</v>
      </c>
      <c r="E6" s="133">
        <v>33531</v>
      </c>
      <c r="F6" s="133">
        <v>0</v>
      </c>
      <c r="G6" s="134">
        <v>38503</v>
      </c>
      <c r="H6" s="133">
        <v>0</v>
      </c>
      <c r="I6" s="133">
        <v>0</v>
      </c>
      <c r="J6" s="133">
        <v>0</v>
      </c>
      <c r="K6" s="133">
        <v>0</v>
      </c>
      <c r="L6" s="134"/>
      <c r="M6" s="133">
        <f>28949+5560</f>
        <v>34509</v>
      </c>
      <c r="N6" s="133">
        <v>0</v>
      </c>
      <c r="O6" s="133">
        <f>SUM(C6:N6)</f>
        <v>106543</v>
      </c>
      <c r="P6" s="133"/>
      <c r="Q6" s="133">
        <f>O6+P6</f>
        <v>106543</v>
      </c>
    </row>
    <row r="7" spans="2:17" x14ac:dyDescent="0.25">
      <c r="B7" s="51" t="s">
        <v>224</v>
      </c>
      <c r="C7" s="133">
        <v>4638</v>
      </c>
      <c r="D7" s="133">
        <v>0</v>
      </c>
      <c r="E7" s="133">
        <v>98962</v>
      </c>
      <c r="F7" s="133">
        <v>0</v>
      </c>
      <c r="G7" s="134">
        <v>0</v>
      </c>
      <c r="H7" s="133">
        <v>0</v>
      </c>
      <c r="I7" s="133">
        <v>0</v>
      </c>
      <c r="J7" s="133">
        <v>0</v>
      </c>
      <c r="K7" s="133">
        <v>0</v>
      </c>
      <c r="L7" s="134">
        <v>279416</v>
      </c>
      <c r="M7" s="133">
        <v>32470</v>
      </c>
      <c r="N7" s="133">
        <v>0</v>
      </c>
      <c r="O7" s="133">
        <f t="shared" ref="O7" si="2">SUM(C7:N7)</f>
        <v>415486</v>
      </c>
      <c r="P7" s="133"/>
      <c r="Q7" s="133">
        <f t="shared" ref="Q7" si="3">O7+P7</f>
        <v>415486</v>
      </c>
    </row>
    <row r="8" spans="2:17" x14ac:dyDescent="0.25">
      <c r="B8" s="51" t="s">
        <v>0</v>
      </c>
      <c r="C8" s="133">
        <f t="shared" ref="C8:Q8" si="4">SUM(C6:C7)</f>
        <v>4638</v>
      </c>
      <c r="D8" s="133">
        <f t="shared" si="4"/>
        <v>0</v>
      </c>
      <c r="E8" s="133">
        <f t="shared" si="4"/>
        <v>132493</v>
      </c>
      <c r="F8" s="133">
        <f t="shared" si="4"/>
        <v>0</v>
      </c>
      <c r="G8" s="133">
        <f t="shared" si="4"/>
        <v>38503</v>
      </c>
      <c r="H8" s="133">
        <f t="shared" si="4"/>
        <v>0</v>
      </c>
      <c r="I8" s="133">
        <f t="shared" si="4"/>
        <v>0</v>
      </c>
      <c r="J8" s="133">
        <f t="shared" si="4"/>
        <v>0</v>
      </c>
      <c r="K8" s="133">
        <f t="shared" si="4"/>
        <v>0</v>
      </c>
      <c r="L8" s="133">
        <f t="shared" si="4"/>
        <v>279416</v>
      </c>
      <c r="M8" s="133">
        <f t="shared" si="4"/>
        <v>66979</v>
      </c>
      <c r="N8" s="133">
        <f t="shared" si="4"/>
        <v>0</v>
      </c>
      <c r="O8" s="133">
        <f t="shared" si="4"/>
        <v>522029</v>
      </c>
      <c r="P8" s="133">
        <f t="shared" si="4"/>
        <v>0</v>
      </c>
      <c r="Q8" s="133">
        <f t="shared" si="4"/>
        <v>522029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A156-E79F-48C0-863A-03D78AC3E18F}">
  <dimension ref="B1:Q11"/>
  <sheetViews>
    <sheetView workbookViewId="0">
      <pane xSplit="2" ySplit="5" topLeftCell="P6" activePane="bottomRight" state="frozen"/>
      <selection pane="topRight" activeCell="C1" sqref="C1"/>
      <selection pane="bottomLeft" activeCell="A6" sqref="A6"/>
      <selection pane="bottomRight" activeCell="P10" sqref="P10"/>
    </sheetView>
  </sheetViews>
  <sheetFormatPr defaultColWidth="11.42578125" defaultRowHeight="15" x14ac:dyDescent="0.25"/>
  <cols>
    <col min="1" max="1" width="2.5703125" customWidth="1"/>
    <col min="2" max="2" width="49.85546875" customWidth="1"/>
    <col min="17" max="17" width="12.140625" customWidth="1"/>
  </cols>
  <sheetData>
    <row r="1" spans="2:17" hidden="1" x14ac:dyDescent="0.25">
      <c r="G1" t="s">
        <v>221</v>
      </c>
      <c r="L1" t="s">
        <v>222</v>
      </c>
    </row>
    <row r="2" spans="2:17" hidden="1" x14ac:dyDescent="0.25">
      <c r="B2" s="51" t="s">
        <v>70</v>
      </c>
      <c r="C2" s="133">
        <f t="shared" ref="C2:N2" si="0">C3-C11</f>
        <v>0</v>
      </c>
      <c r="D2" s="133">
        <f t="shared" si="0"/>
        <v>233963</v>
      </c>
      <c r="E2" s="133">
        <f t="shared" si="0"/>
        <v>0</v>
      </c>
      <c r="F2" s="133">
        <f t="shared" si="0"/>
        <v>0</v>
      </c>
      <c r="G2" s="133">
        <f t="shared" si="0"/>
        <v>0</v>
      </c>
      <c r="H2" s="133">
        <f t="shared" si="0"/>
        <v>0</v>
      </c>
      <c r="I2" s="133">
        <f t="shared" si="0"/>
        <v>0</v>
      </c>
      <c r="J2" s="133">
        <f t="shared" si="0"/>
        <v>0</v>
      </c>
      <c r="K2" s="133">
        <f t="shared" si="0"/>
        <v>0</v>
      </c>
      <c r="L2" s="133">
        <f t="shared" si="0"/>
        <v>0</v>
      </c>
      <c r="M2" s="133">
        <f t="shared" si="0"/>
        <v>-1</v>
      </c>
      <c r="N2" s="134">
        <f t="shared" si="0"/>
        <v>0</v>
      </c>
      <c r="O2" s="133">
        <f>SUM(C2:N2)</f>
        <v>233962</v>
      </c>
      <c r="P2" s="133">
        <f>P3-P11</f>
        <v>1811108</v>
      </c>
      <c r="Q2" s="133">
        <f>Q3-Q11</f>
        <v>2045070</v>
      </c>
    </row>
    <row r="3" spans="2:17" hidden="1" x14ac:dyDescent="0.25">
      <c r="B3" s="51" t="s">
        <v>71</v>
      </c>
      <c r="C3" s="142">
        <v>16875125</v>
      </c>
      <c r="D3" s="142">
        <v>235839</v>
      </c>
      <c r="E3" s="143">
        <v>0</v>
      </c>
      <c r="F3" s="143"/>
      <c r="G3" s="143"/>
      <c r="H3" s="142"/>
      <c r="I3" s="142"/>
      <c r="J3" s="142"/>
      <c r="K3" s="142"/>
      <c r="L3" s="142">
        <f>9961+168+1</f>
        <v>10130</v>
      </c>
      <c r="M3" s="142">
        <v>11178</v>
      </c>
      <c r="N3" s="144">
        <v>6266</v>
      </c>
      <c r="O3" s="143">
        <f t="shared" ref="O3" si="1">SUM(C3:N3)</f>
        <v>17138538</v>
      </c>
      <c r="P3" s="142">
        <v>96880</v>
      </c>
      <c r="Q3" s="143">
        <f>O3+P3</f>
        <v>17235418</v>
      </c>
    </row>
    <row r="4" spans="2:17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17" ht="48" x14ac:dyDescent="0.25">
      <c r="B5" s="51"/>
      <c r="C5" s="136" t="s">
        <v>3</v>
      </c>
      <c r="D5" s="136" t="s">
        <v>4</v>
      </c>
      <c r="E5" s="136" t="s">
        <v>5</v>
      </c>
      <c r="F5" s="136" t="s">
        <v>6</v>
      </c>
      <c r="G5" s="136" t="s">
        <v>7</v>
      </c>
      <c r="H5" s="136" t="s">
        <v>8</v>
      </c>
      <c r="I5" s="136" t="s">
        <v>9</v>
      </c>
      <c r="J5" s="136" t="s">
        <v>10</v>
      </c>
      <c r="K5" s="136" t="s">
        <v>11</v>
      </c>
      <c r="L5" s="136" t="s">
        <v>12</v>
      </c>
      <c r="M5" s="136" t="s">
        <v>13</v>
      </c>
      <c r="N5" s="136" t="s">
        <v>14</v>
      </c>
      <c r="O5" s="136" t="s">
        <v>0</v>
      </c>
      <c r="P5" s="136" t="s">
        <v>38</v>
      </c>
      <c r="Q5" s="136" t="s">
        <v>74</v>
      </c>
    </row>
    <row r="6" spans="2:17" x14ac:dyDescent="0.25">
      <c r="B6" s="51" t="s">
        <v>225</v>
      </c>
      <c r="C6" s="133">
        <v>45557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4">
        <v>0</v>
      </c>
      <c r="M6" s="133">
        <v>9</v>
      </c>
      <c r="N6" s="133">
        <v>0</v>
      </c>
      <c r="O6" s="133">
        <f>SUM(C6:N6)</f>
        <v>45566</v>
      </c>
      <c r="P6" s="134"/>
      <c r="Q6" s="133">
        <f>O6+P6</f>
        <v>45566</v>
      </c>
    </row>
    <row r="7" spans="2:17" x14ac:dyDescent="0.25">
      <c r="B7" s="51" t="s">
        <v>226</v>
      </c>
      <c r="C7" s="133">
        <v>450529</v>
      </c>
      <c r="D7" s="133">
        <v>1876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4">
        <v>109</v>
      </c>
      <c r="M7" s="133">
        <v>195</v>
      </c>
      <c r="N7" s="133">
        <v>400</v>
      </c>
      <c r="O7" s="133">
        <f t="shared" ref="O7:O10" si="2">SUM(C7:N7)</f>
        <v>453109</v>
      </c>
      <c r="P7" s="134"/>
      <c r="Q7" s="133">
        <f t="shared" ref="Q7:Q10" si="3">O7+P7</f>
        <v>453109</v>
      </c>
    </row>
    <row r="8" spans="2:17" x14ac:dyDescent="0.25">
      <c r="B8" s="51" t="s">
        <v>227</v>
      </c>
      <c r="C8" s="133">
        <v>17989974</v>
      </c>
      <c r="D8" s="133">
        <v>0</v>
      </c>
      <c r="E8" s="133">
        <v>0</v>
      </c>
      <c r="F8" s="133">
        <v>0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4">
        <v>5780</v>
      </c>
      <c r="M8" s="133">
        <v>0</v>
      </c>
      <c r="N8" s="133">
        <v>72</v>
      </c>
      <c r="O8" s="133">
        <f t="shared" si="2"/>
        <v>17995826</v>
      </c>
      <c r="P8" s="134"/>
      <c r="Q8" s="133">
        <f t="shared" si="3"/>
        <v>17995826</v>
      </c>
    </row>
    <row r="9" spans="2:17" x14ac:dyDescent="0.25">
      <c r="B9" s="51" t="s">
        <v>96</v>
      </c>
      <c r="C9" s="133">
        <v>394259</v>
      </c>
      <c r="D9" s="133">
        <v>0</v>
      </c>
      <c r="E9" s="133">
        <v>0</v>
      </c>
      <c r="F9" s="133">
        <v>0</v>
      </c>
      <c r="G9" s="133">
        <v>0</v>
      </c>
      <c r="H9" s="133">
        <v>0</v>
      </c>
      <c r="I9" s="133">
        <v>0</v>
      </c>
      <c r="J9" s="133">
        <v>0</v>
      </c>
      <c r="K9" s="133">
        <v>0</v>
      </c>
      <c r="L9" s="134">
        <f>10130-5889</f>
        <v>4241</v>
      </c>
      <c r="M9" s="133">
        <v>10975</v>
      </c>
      <c r="N9" s="133">
        <v>5794</v>
      </c>
      <c r="O9" s="133">
        <f t="shared" si="2"/>
        <v>415269</v>
      </c>
      <c r="P9" s="134">
        <f>15190348-15093468</f>
        <v>96880</v>
      </c>
      <c r="Q9" s="133">
        <f t="shared" si="3"/>
        <v>512149</v>
      </c>
    </row>
    <row r="10" spans="2:17" x14ac:dyDescent="0.25">
      <c r="B10" s="51" t="s">
        <v>196</v>
      </c>
      <c r="C10" s="133">
        <v>-2005194</v>
      </c>
      <c r="D10" s="133">
        <v>0</v>
      </c>
      <c r="E10" s="133">
        <v>0</v>
      </c>
      <c r="F10" s="133">
        <v>0</v>
      </c>
      <c r="G10" s="133">
        <v>0</v>
      </c>
      <c r="H10" s="133">
        <v>0</v>
      </c>
      <c r="I10" s="133">
        <v>0</v>
      </c>
      <c r="J10" s="133">
        <v>0</v>
      </c>
      <c r="K10" s="133">
        <v>0</v>
      </c>
      <c r="L10" s="134">
        <v>0</v>
      </c>
      <c r="M10" s="133">
        <v>0</v>
      </c>
      <c r="N10" s="133">
        <v>0</v>
      </c>
      <c r="O10" s="133">
        <f t="shared" si="2"/>
        <v>-2005194</v>
      </c>
      <c r="P10" s="134">
        <f>-3816302+2005194</f>
        <v>-1811108</v>
      </c>
      <c r="Q10" s="133">
        <f t="shared" si="3"/>
        <v>-3816302</v>
      </c>
    </row>
    <row r="11" spans="2:17" x14ac:dyDescent="0.25">
      <c r="B11" s="51" t="s">
        <v>0</v>
      </c>
      <c r="C11" s="133">
        <f t="shared" ref="C11:Q11" si="4">SUM(C6:C10)</f>
        <v>16875125</v>
      </c>
      <c r="D11" s="133">
        <f t="shared" si="4"/>
        <v>1876</v>
      </c>
      <c r="E11" s="133">
        <f t="shared" si="4"/>
        <v>0</v>
      </c>
      <c r="F11" s="133">
        <f t="shared" si="4"/>
        <v>0</v>
      </c>
      <c r="G11" s="133">
        <f t="shared" si="4"/>
        <v>0</v>
      </c>
      <c r="H11" s="133">
        <f t="shared" si="4"/>
        <v>0</v>
      </c>
      <c r="I11" s="133">
        <f t="shared" si="4"/>
        <v>0</v>
      </c>
      <c r="J11" s="133">
        <f t="shared" si="4"/>
        <v>0</v>
      </c>
      <c r="K11" s="133">
        <f t="shared" si="4"/>
        <v>0</v>
      </c>
      <c r="L11" s="133">
        <f t="shared" si="4"/>
        <v>10130</v>
      </c>
      <c r="M11" s="133">
        <f t="shared" si="4"/>
        <v>11179</v>
      </c>
      <c r="N11" s="133">
        <f t="shared" si="4"/>
        <v>6266</v>
      </c>
      <c r="O11" s="133">
        <f t="shared" si="4"/>
        <v>16904576</v>
      </c>
      <c r="P11" s="133">
        <f t="shared" si="4"/>
        <v>-1714228</v>
      </c>
      <c r="Q11" s="133">
        <f t="shared" si="4"/>
        <v>15190348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E480-DB60-4E1B-9DDA-D2CF963B5FD0}">
  <dimension ref="A1:X52"/>
  <sheetViews>
    <sheetView zoomScale="142" zoomScaleNormal="142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51" sqref="I51"/>
    </sheetView>
  </sheetViews>
  <sheetFormatPr defaultColWidth="9.140625" defaultRowHeight="8.25" x14ac:dyDescent="0.15"/>
  <cols>
    <col min="1" max="1" width="23" style="6" bestFit="1" customWidth="1"/>
    <col min="2" max="2" width="0.28515625" style="6" customWidth="1"/>
    <col min="3" max="3" width="7.42578125" style="6" bestFit="1" customWidth="1"/>
    <col min="4" max="4" width="1" style="6" customWidth="1"/>
    <col min="5" max="5" width="9" style="6" customWidth="1"/>
    <col min="6" max="6" width="1" style="6" customWidth="1"/>
    <col min="7" max="7" width="9.85546875" style="6" customWidth="1"/>
    <col min="8" max="8" width="1" style="6" customWidth="1"/>
    <col min="9" max="9" width="12.5703125" style="6" customWidth="1"/>
    <col min="10" max="10" width="1" style="6" customWidth="1"/>
    <col min="11" max="11" width="7.85546875" style="6" bestFit="1" customWidth="1"/>
    <col min="12" max="12" width="1" style="6" customWidth="1"/>
    <col min="13" max="13" width="10.7109375" style="6" customWidth="1"/>
    <col min="14" max="14" width="1" style="6" customWidth="1"/>
    <col min="15" max="15" width="8.140625" style="6" bestFit="1" customWidth="1"/>
    <col min="16" max="16" width="1" style="6" customWidth="1"/>
    <col min="17" max="17" width="7.7109375" style="6" bestFit="1" customWidth="1"/>
    <col min="18" max="18" width="1" style="6" customWidth="1"/>
    <col min="19" max="19" width="8.85546875" style="6" customWidth="1"/>
    <col min="20" max="20" width="1" style="6" customWidth="1"/>
    <col min="21" max="21" width="8.5703125" style="6" bestFit="1" customWidth="1"/>
    <col min="22" max="22" width="1" style="6" customWidth="1"/>
    <col min="23" max="23" width="13.28515625" style="6" bestFit="1" customWidth="1"/>
    <col min="24" max="24" width="11.140625" style="6" bestFit="1" customWidth="1"/>
    <col min="25" max="25" width="9.28515625" style="6" bestFit="1" customWidth="1"/>
    <col min="26" max="256" width="9.140625" style="6"/>
    <col min="257" max="257" width="39" style="6" bestFit="1" customWidth="1"/>
    <col min="258" max="258" width="0.85546875" style="6" customWidth="1"/>
    <col min="259" max="259" width="12" style="6" customWidth="1"/>
    <col min="260" max="260" width="2.28515625" style="6" customWidth="1"/>
    <col min="261" max="261" width="12" style="6" customWidth="1"/>
    <col min="262" max="262" width="2.28515625" style="6" customWidth="1"/>
    <col min="263" max="263" width="12" style="6" customWidth="1"/>
    <col min="264" max="264" width="2.28515625" style="6" customWidth="1"/>
    <col min="265" max="265" width="12" style="6" customWidth="1"/>
    <col min="266" max="266" width="2.28515625" style="6" customWidth="1"/>
    <col min="267" max="267" width="12" style="6" customWidth="1"/>
    <col min="268" max="268" width="2.28515625" style="6" customWidth="1"/>
    <col min="269" max="269" width="12" style="6" customWidth="1"/>
    <col min="270" max="270" width="2.28515625" style="6" customWidth="1"/>
    <col min="271" max="271" width="12" style="6" customWidth="1"/>
    <col min="272" max="272" width="1.7109375" style="6" customWidth="1"/>
    <col min="273" max="273" width="12" style="6" customWidth="1"/>
    <col min="274" max="274" width="2.28515625" style="6" customWidth="1"/>
    <col min="275" max="275" width="0.140625" style="6" customWidth="1"/>
    <col min="276" max="276" width="2.28515625" style="6" customWidth="1"/>
    <col min="277" max="277" width="12" style="6" customWidth="1"/>
    <col min="278" max="278" width="2.5703125" style="6" bestFit="1" customWidth="1"/>
    <col min="279" max="279" width="9.5703125" style="6" customWidth="1"/>
    <col min="280" max="281" width="9.28515625" style="6" bestFit="1" customWidth="1"/>
    <col min="282" max="512" width="9.140625" style="6"/>
    <col min="513" max="513" width="39" style="6" bestFit="1" customWidth="1"/>
    <col min="514" max="514" width="0.85546875" style="6" customWidth="1"/>
    <col min="515" max="515" width="12" style="6" customWidth="1"/>
    <col min="516" max="516" width="2.28515625" style="6" customWidth="1"/>
    <col min="517" max="517" width="12" style="6" customWidth="1"/>
    <col min="518" max="518" width="2.28515625" style="6" customWidth="1"/>
    <col min="519" max="519" width="12" style="6" customWidth="1"/>
    <col min="520" max="520" width="2.28515625" style="6" customWidth="1"/>
    <col min="521" max="521" width="12" style="6" customWidth="1"/>
    <col min="522" max="522" width="2.28515625" style="6" customWidth="1"/>
    <col min="523" max="523" width="12" style="6" customWidth="1"/>
    <col min="524" max="524" width="2.28515625" style="6" customWidth="1"/>
    <col min="525" max="525" width="12" style="6" customWidth="1"/>
    <col min="526" max="526" width="2.28515625" style="6" customWidth="1"/>
    <col min="527" max="527" width="12" style="6" customWidth="1"/>
    <col min="528" max="528" width="1.7109375" style="6" customWidth="1"/>
    <col min="529" max="529" width="12" style="6" customWidth="1"/>
    <col min="530" max="530" width="2.28515625" style="6" customWidth="1"/>
    <col min="531" max="531" width="0.140625" style="6" customWidth="1"/>
    <col min="532" max="532" width="2.28515625" style="6" customWidth="1"/>
    <col min="533" max="533" width="12" style="6" customWidth="1"/>
    <col min="534" max="534" width="2.5703125" style="6" bestFit="1" customWidth="1"/>
    <col min="535" max="535" width="9.5703125" style="6" customWidth="1"/>
    <col min="536" max="537" width="9.28515625" style="6" bestFit="1" customWidth="1"/>
    <col min="538" max="768" width="9.140625" style="6"/>
    <col min="769" max="769" width="39" style="6" bestFit="1" customWidth="1"/>
    <col min="770" max="770" width="0.85546875" style="6" customWidth="1"/>
    <col min="771" max="771" width="12" style="6" customWidth="1"/>
    <col min="772" max="772" width="2.28515625" style="6" customWidth="1"/>
    <col min="773" max="773" width="12" style="6" customWidth="1"/>
    <col min="774" max="774" width="2.28515625" style="6" customWidth="1"/>
    <col min="775" max="775" width="12" style="6" customWidth="1"/>
    <col min="776" max="776" width="2.28515625" style="6" customWidth="1"/>
    <col min="777" max="777" width="12" style="6" customWidth="1"/>
    <col min="778" max="778" width="2.28515625" style="6" customWidth="1"/>
    <col min="779" max="779" width="12" style="6" customWidth="1"/>
    <col min="780" max="780" width="2.28515625" style="6" customWidth="1"/>
    <col min="781" max="781" width="12" style="6" customWidth="1"/>
    <col min="782" max="782" width="2.28515625" style="6" customWidth="1"/>
    <col min="783" max="783" width="12" style="6" customWidth="1"/>
    <col min="784" max="784" width="1.7109375" style="6" customWidth="1"/>
    <col min="785" max="785" width="12" style="6" customWidth="1"/>
    <col min="786" max="786" width="2.28515625" style="6" customWidth="1"/>
    <col min="787" max="787" width="0.140625" style="6" customWidth="1"/>
    <col min="788" max="788" width="2.28515625" style="6" customWidth="1"/>
    <col min="789" max="789" width="12" style="6" customWidth="1"/>
    <col min="790" max="790" width="2.5703125" style="6" bestFit="1" customWidth="1"/>
    <col min="791" max="791" width="9.5703125" style="6" customWidth="1"/>
    <col min="792" max="793" width="9.28515625" style="6" bestFit="1" customWidth="1"/>
    <col min="794" max="1024" width="9.140625" style="6"/>
    <col min="1025" max="1025" width="39" style="6" bestFit="1" customWidth="1"/>
    <col min="1026" max="1026" width="0.85546875" style="6" customWidth="1"/>
    <col min="1027" max="1027" width="12" style="6" customWidth="1"/>
    <col min="1028" max="1028" width="2.28515625" style="6" customWidth="1"/>
    <col min="1029" max="1029" width="12" style="6" customWidth="1"/>
    <col min="1030" max="1030" width="2.28515625" style="6" customWidth="1"/>
    <col min="1031" max="1031" width="12" style="6" customWidth="1"/>
    <col min="1032" max="1032" width="2.28515625" style="6" customWidth="1"/>
    <col min="1033" max="1033" width="12" style="6" customWidth="1"/>
    <col min="1034" max="1034" width="2.28515625" style="6" customWidth="1"/>
    <col min="1035" max="1035" width="12" style="6" customWidth="1"/>
    <col min="1036" max="1036" width="2.28515625" style="6" customWidth="1"/>
    <col min="1037" max="1037" width="12" style="6" customWidth="1"/>
    <col min="1038" max="1038" width="2.28515625" style="6" customWidth="1"/>
    <col min="1039" max="1039" width="12" style="6" customWidth="1"/>
    <col min="1040" max="1040" width="1.7109375" style="6" customWidth="1"/>
    <col min="1041" max="1041" width="12" style="6" customWidth="1"/>
    <col min="1042" max="1042" width="2.28515625" style="6" customWidth="1"/>
    <col min="1043" max="1043" width="0.140625" style="6" customWidth="1"/>
    <col min="1044" max="1044" width="2.28515625" style="6" customWidth="1"/>
    <col min="1045" max="1045" width="12" style="6" customWidth="1"/>
    <col min="1046" max="1046" width="2.5703125" style="6" bestFit="1" customWidth="1"/>
    <col min="1047" max="1047" width="9.5703125" style="6" customWidth="1"/>
    <col min="1048" max="1049" width="9.28515625" style="6" bestFit="1" customWidth="1"/>
    <col min="1050" max="1280" width="9.140625" style="6"/>
    <col min="1281" max="1281" width="39" style="6" bestFit="1" customWidth="1"/>
    <col min="1282" max="1282" width="0.85546875" style="6" customWidth="1"/>
    <col min="1283" max="1283" width="12" style="6" customWidth="1"/>
    <col min="1284" max="1284" width="2.28515625" style="6" customWidth="1"/>
    <col min="1285" max="1285" width="12" style="6" customWidth="1"/>
    <col min="1286" max="1286" width="2.28515625" style="6" customWidth="1"/>
    <col min="1287" max="1287" width="12" style="6" customWidth="1"/>
    <col min="1288" max="1288" width="2.28515625" style="6" customWidth="1"/>
    <col min="1289" max="1289" width="12" style="6" customWidth="1"/>
    <col min="1290" max="1290" width="2.28515625" style="6" customWidth="1"/>
    <col min="1291" max="1291" width="12" style="6" customWidth="1"/>
    <col min="1292" max="1292" width="2.28515625" style="6" customWidth="1"/>
    <col min="1293" max="1293" width="12" style="6" customWidth="1"/>
    <col min="1294" max="1294" width="2.28515625" style="6" customWidth="1"/>
    <col min="1295" max="1295" width="12" style="6" customWidth="1"/>
    <col min="1296" max="1296" width="1.7109375" style="6" customWidth="1"/>
    <col min="1297" max="1297" width="12" style="6" customWidth="1"/>
    <col min="1298" max="1298" width="2.28515625" style="6" customWidth="1"/>
    <col min="1299" max="1299" width="0.140625" style="6" customWidth="1"/>
    <col min="1300" max="1300" width="2.28515625" style="6" customWidth="1"/>
    <col min="1301" max="1301" width="12" style="6" customWidth="1"/>
    <col min="1302" max="1302" width="2.5703125" style="6" bestFit="1" customWidth="1"/>
    <col min="1303" max="1303" width="9.5703125" style="6" customWidth="1"/>
    <col min="1304" max="1305" width="9.28515625" style="6" bestFit="1" customWidth="1"/>
    <col min="1306" max="1536" width="9.140625" style="6"/>
    <col min="1537" max="1537" width="39" style="6" bestFit="1" customWidth="1"/>
    <col min="1538" max="1538" width="0.85546875" style="6" customWidth="1"/>
    <col min="1539" max="1539" width="12" style="6" customWidth="1"/>
    <col min="1540" max="1540" width="2.28515625" style="6" customWidth="1"/>
    <col min="1541" max="1541" width="12" style="6" customWidth="1"/>
    <col min="1542" max="1542" width="2.28515625" style="6" customWidth="1"/>
    <col min="1543" max="1543" width="12" style="6" customWidth="1"/>
    <col min="1544" max="1544" width="2.28515625" style="6" customWidth="1"/>
    <col min="1545" max="1545" width="12" style="6" customWidth="1"/>
    <col min="1546" max="1546" width="2.28515625" style="6" customWidth="1"/>
    <col min="1547" max="1547" width="12" style="6" customWidth="1"/>
    <col min="1548" max="1548" width="2.28515625" style="6" customWidth="1"/>
    <col min="1549" max="1549" width="12" style="6" customWidth="1"/>
    <col min="1550" max="1550" width="2.28515625" style="6" customWidth="1"/>
    <col min="1551" max="1551" width="12" style="6" customWidth="1"/>
    <col min="1552" max="1552" width="1.7109375" style="6" customWidth="1"/>
    <col min="1553" max="1553" width="12" style="6" customWidth="1"/>
    <col min="1554" max="1554" width="2.28515625" style="6" customWidth="1"/>
    <col min="1555" max="1555" width="0.140625" style="6" customWidth="1"/>
    <col min="1556" max="1556" width="2.28515625" style="6" customWidth="1"/>
    <col min="1557" max="1557" width="12" style="6" customWidth="1"/>
    <col min="1558" max="1558" width="2.5703125" style="6" bestFit="1" customWidth="1"/>
    <col min="1559" max="1559" width="9.5703125" style="6" customWidth="1"/>
    <col min="1560" max="1561" width="9.28515625" style="6" bestFit="1" customWidth="1"/>
    <col min="1562" max="1792" width="9.140625" style="6"/>
    <col min="1793" max="1793" width="39" style="6" bestFit="1" customWidth="1"/>
    <col min="1794" max="1794" width="0.85546875" style="6" customWidth="1"/>
    <col min="1795" max="1795" width="12" style="6" customWidth="1"/>
    <col min="1796" max="1796" width="2.28515625" style="6" customWidth="1"/>
    <col min="1797" max="1797" width="12" style="6" customWidth="1"/>
    <col min="1798" max="1798" width="2.28515625" style="6" customWidth="1"/>
    <col min="1799" max="1799" width="12" style="6" customWidth="1"/>
    <col min="1800" max="1800" width="2.28515625" style="6" customWidth="1"/>
    <col min="1801" max="1801" width="12" style="6" customWidth="1"/>
    <col min="1802" max="1802" width="2.28515625" style="6" customWidth="1"/>
    <col min="1803" max="1803" width="12" style="6" customWidth="1"/>
    <col min="1804" max="1804" width="2.28515625" style="6" customWidth="1"/>
    <col min="1805" max="1805" width="12" style="6" customWidth="1"/>
    <col min="1806" max="1806" width="2.28515625" style="6" customWidth="1"/>
    <col min="1807" max="1807" width="12" style="6" customWidth="1"/>
    <col min="1808" max="1808" width="1.7109375" style="6" customWidth="1"/>
    <col min="1809" max="1809" width="12" style="6" customWidth="1"/>
    <col min="1810" max="1810" width="2.28515625" style="6" customWidth="1"/>
    <col min="1811" max="1811" width="0.140625" style="6" customWidth="1"/>
    <col min="1812" max="1812" width="2.28515625" style="6" customWidth="1"/>
    <col min="1813" max="1813" width="12" style="6" customWidth="1"/>
    <col min="1814" max="1814" width="2.5703125" style="6" bestFit="1" customWidth="1"/>
    <col min="1815" max="1815" width="9.5703125" style="6" customWidth="1"/>
    <col min="1816" max="1817" width="9.28515625" style="6" bestFit="1" customWidth="1"/>
    <col min="1818" max="2048" width="9.140625" style="6"/>
    <col min="2049" max="2049" width="39" style="6" bestFit="1" customWidth="1"/>
    <col min="2050" max="2050" width="0.85546875" style="6" customWidth="1"/>
    <col min="2051" max="2051" width="12" style="6" customWidth="1"/>
    <col min="2052" max="2052" width="2.28515625" style="6" customWidth="1"/>
    <col min="2053" max="2053" width="12" style="6" customWidth="1"/>
    <col min="2054" max="2054" width="2.28515625" style="6" customWidth="1"/>
    <col min="2055" max="2055" width="12" style="6" customWidth="1"/>
    <col min="2056" max="2056" width="2.28515625" style="6" customWidth="1"/>
    <col min="2057" max="2057" width="12" style="6" customWidth="1"/>
    <col min="2058" max="2058" width="2.28515625" style="6" customWidth="1"/>
    <col min="2059" max="2059" width="12" style="6" customWidth="1"/>
    <col min="2060" max="2060" width="2.28515625" style="6" customWidth="1"/>
    <col min="2061" max="2061" width="12" style="6" customWidth="1"/>
    <col min="2062" max="2062" width="2.28515625" style="6" customWidth="1"/>
    <col min="2063" max="2063" width="12" style="6" customWidth="1"/>
    <col min="2064" max="2064" width="1.7109375" style="6" customWidth="1"/>
    <col min="2065" max="2065" width="12" style="6" customWidth="1"/>
    <col min="2066" max="2066" width="2.28515625" style="6" customWidth="1"/>
    <col min="2067" max="2067" width="0.140625" style="6" customWidth="1"/>
    <col min="2068" max="2068" width="2.28515625" style="6" customWidth="1"/>
    <col min="2069" max="2069" width="12" style="6" customWidth="1"/>
    <col min="2070" max="2070" width="2.5703125" style="6" bestFit="1" customWidth="1"/>
    <col min="2071" max="2071" width="9.5703125" style="6" customWidth="1"/>
    <col min="2072" max="2073" width="9.28515625" style="6" bestFit="1" customWidth="1"/>
    <col min="2074" max="2304" width="9.140625" style="6"/>
    <col min="2305" max="2305" width="39" style="6" bestFit="1" customWidth="1"/>
    <col min="2306" max="2306" width="0.85546875" style="6" customWidth="1"/>
    <col min="2307" max="2307" width="12" style="6" customWidth="1"/>
    <col min="2308" max="2308" width="2.28515625" style="6" customWidth="1"/>
    <col min="2309" max="2309" width="12" style="6" customWidth="1"/>
    <col min="2310" max="2310" width="2.28515625" style="6" customWidth="1"/>
    <col min="2311" max="2311" width="12" style="6" customWidth="1"/>
    <col min="2312" max="2312" width="2.28515625" style="6" customWidth="1"/>
    <col min="2313" max="2313" width="12" style="6" customWidth="1"/>
    <col min="2314" max="2314" width="2.28515625" style="6" customWidth="1"/>
    <col min="2315" max="2315" width="12" style="6" customWidth="1"/>
    <col min="2316" max="2316" width="2.28515625" style="6" customWidth="1"/>
    <col min="2317" max="2317" width="12" style="6" customWidth="1"/>
    <col min="2318" max="2318" width="2.28515625" style="6" customWidth="1"/>
    <col min="2319" max="2319" width="12" style="6" customWidth="1"/>
    <col min="2320" max="2320" width="1.7109375" style="6" customWidth="1"/>
    <col min="2321" max="2321" width="12" style="6" customWidth="1"/>
    <col min="2322" max="2322" width="2.28515625" style="6" customWidth="1"/>
    <col min="2323" max="2323" width="0.140625" style="6" customWidth="1"/>
    <col min="2324" max="2324" width="2.28515625" style="6" customWidth="1"/>
    <col min="2325" max="2325" width="12" style="6" customWidth="1"/>
    <col min="2326" max="2326" width="2.5703125" style="6" bestFit="1" customWidth="1"/>
    <col min="2327" max="2327" width="9.5703125" style="6" customWidth="1"/>
    <col min="2328" max="2329" width="9.28515625" style="6" bestFit="1" customWidth="1"/>
    <col min="2330" max="2560" width="9.140625" style="6"/>
    <col min="2561" max="2561" width="39" style="6" bestFit="1" customWidth="1"/>
    <col min="2562" max="2562" width="0.85546875" style="6" customWidth="1"/>
    <col min="2563" max="2563" width="12" style="6" customWidth="1"/>
    <col min="2564" max="2564" width="2.28515625" style="6" customWidth="1"/>
    <col min="2565" max="2565" width="12" style="6" customWidth="1"/>
    <col min="2566" max="2566" width="2.28515625" style="6" customWidth="1"/>
    <col min="2567" max="2567" width="12" style="6" customWidth="1"/>
    <col min="2568" max="2568" width="2.28515625" style="6" customWidth="1"/>
    <col min="2569" max="2569" width="12" style="6" customWidth="1"/>
    <col min="2570" max="2570" width="2.28515625" style="6" customWidth="1"/>
    <col min="2571" max="2571" width="12" style="6" customWidth="1"/>
    <col min="2572" max="2572" width="2.28515625" style="6" customWidth="1"/>
    <col min="2573" max="2573" width="12" style="6" customWidth="1"/>
    <col min="2574" max="2574" width="2.28515625" style="6" customWidth="1"/>
    <col min="2575" max="2575" width="12" style="6" customWidth="1"/>
    <col min="2576" max="2576" width="1.7109375" style="6" customWidth="1"/>
    <col min="2577" max="2577" width="12" style="6" customWidth="1"/>
    <col min="2578" max="2578" width="2.28515625" style="6" customWidth="1"/>
    <col min="2579" max="2579" width="0.140625" style="6" customWidth="1"/>
    <col min="2580" max="2580" width="2.28515625" style="6" customWidth="1"/>
    <col min="2581" max="2581" width="12" style="6" customWidth="1"/>
    <col min="2582" max="2582" width="2.5703125" style="6" bestFit="1" customWidth="1"/>
    <col min="2583" max="2583" width="9.5703125" style="6" customWidth="1"/>
    <col min="2584" max="2585" width="9.28515625" style="6" bestFit="1" customWidth="1"/>
    <col min="2586" max="2816" width="9.140625" style="6"/>
    <col min="2817" max="2817" width="39" style="6" bestFit="1" customWidth="1"/>
    <col min="2818" max="2818" width="0.85546875" style="6" customWidth="1"/>
    <col min="2819" max="2819" width="12" style="6" customWidth="1"/>
    <col min="2820" max="2820" width="2.28515625" style="6" customWidth="1"/>
    <col min="2821" max="2821" width="12" style="6" customWidth="1"/>
    <col min="2822" max="2822" width="2.28515625" style="6" customWidth="1"/>
    <col min="2823" max="2823" width="12" style="6" customWidth="1"/>
    <col min="2824" max="2824" width="2.28515625" style="6" customWidth="1"/>
    <col min="2825" max="2825" width="12" style="6" customWidth="1"/>
    <col min="2826" max="2826" width="2.28515625" style="6" customWidth="1"/>
    <col min="2827" max="2827" width="12" style="6" customWidth="1"/>
    <col min="2828" max="2828" width="2.28515625" style="6" customWidth="1"/>
    <col min="2829" max="2829" width="12" style="6" customWidth="1"/>
    <col min="2830" max="2830" width="2.28515625" style="6" customWidth="1"/>
    <col min="2831" max="2831" width="12" style="6" customWidth="1"/>
    <col min="2832" max="2832" width="1.7109375" style="6" customWidth="1"/>
    <col min="2833" max="2833" width="12" style="6" customWidth="1"/>
    <col min="2834" max="2834" width="2.28515625" style="6" customWidth="1"/>
    <col min="2835" max="2835" width="0.140625" style="6" customWidth="1"/>
    <col min="2836" max="2836" width="2.28515625" style="6" customWidth="1"/>
    <col min="2837" max="2837" width="12" style="6" customWidth="1"/>
    <col min="2838" max="2838" width="2.5703125" style="6" bestFit="1" customWidth="1"/>
    <col min="2839" max="2839" width="9.5703125" style="6" customWidth="1"/>
    <col min="2840" max="2841" width="9.28515625" style="6" bestFit="1" customWidth="1"/>
    <col min="2842" max="3072" width="9.140625" style="6"/>
    <col min="3073" max="3073" width="39" style="6" bestFit="1" customWidth="1"/>
    <col min="3074" max="3074" width="0.85546875" style="6" customWidth="1"/>
    <col min="3075" max="3075" width="12" style="6" customWidth="1"/>
    <col min="3076" max="3076" width="2.28515625" style="6" customWidth="1"/>
    <col min="3077" max="3077" width="12" style="6" customWidth="1"/>
    <col min="3078" max="3078" width="2.28515625" style="6" customWidth="1"/>
    <col min="3079" max="3079" width="12" style="6" customWidth="1"/>
    <col min="3080" max="3080" width="2.28515625" style="6" customWidth="1"/>
    <col min="3081" max="3081" width="12" style="6" customWidth="1"/>
    <col min="3082" max="3082" width="2.28515625" style="6" customWidth="1"/>
    <col min="3083" max="3083" width="12" style="6" customWidth="1"/>
    <col min="3084" max="3084" width="2.28515625" style="6" customWidth="1"/>
    <col min="3085" max="3085" width="12" style="6" customWidth="1"/>
    <col min="3086" max="3086" width="2.28515625" style="6" customWidth="1"/>
    <col min="3087" max="3087" width="12" style="6" customWidth="1"/>
    <col min="3088" max="3088" width="1.7109375" style="6" customWidth="1"/>
    <col min="3089" max="3089" width="12" style="6" customWidth="1"/>
    <col min="3090" max="3090" width="2.28515625" style="6" customWidth="1"/>
    <col min="3091" max="3091" width="0.140625" style="6" customWidth="1"/>
    <col min="3092" max="3092" width="2.28515625" style="6" customWidth="1"/>
    <col min="3093" max="3093" width="12" style="6" customWidth="1"/>
    <col min="3094" max="3094" width="2.5703125" style="6" bestFit="1" customWidth="1"/>
    <col min="3095" max="3095" width="9.5703125" style="6" customWidth="1"/>
    <col min="3096" max="3097" width="9.28515625" style="6" bestFit="1" customWidth="1"/>
    <col min="3098" max="3328" width="9.140625" style="6"/>
    <col min="3329" max="3329" width="39" style="6" bestFit="1" customWidth="1"/>
    <col min="3330" max="3330" width="0.85546875" style="6" customWidth="1"/>
    <col min="3331" max="3331" width="12" style="6" customWidth="1"/>
    <col min="3332" max="3332" width="2.28515625" style="6" customWidth="1"/>
    <col min="3333" max="3333" width="12" style="6" customWidth="1"/>
    <col min="3334" max="3334" width="2.28515625" style="6" customWidth="1"/>
    <col min="3335" max="3335" width="12" style="6" customWidth="1"/>
    <col min="3336" max="3336" width="2.28515625" style="6" customWidth="1"/>
    <col min="3337" max="3337" width="12" style="6" customWidth="1"/>
    <col min="3338" max="3338" width="2.28515625" style="6" customWidth="1"/>
    <col min="3339" max="3339" width="12" style="6" customWidth="1"/>
    <col min="3340" max="3340" width="2.28515625" style="6" customWidth="1"/>
    <col min="3341" max="3341" width="12" style="6" customWidth="1"/>
    <col min="3342" max="3342" width="2.28515625" style="6" customWidth="1"/>
    <col min="3343" max="3343" width="12" style="6" customWidth="1"/>
    <col min="3344" max="3344" width="1.7109375" style="6" customWidth="1"/>
    <col min="3345" max="3345" width="12" style="6" customWidth="1"/>
    <col min="3346" max="3346" width="2.28515625" style="6" customWidth="1"/>
    <col min="3347" max="3347" width="0.140625" style="6" customWidth="1"/>
    <col min="3348" max="3348" width="2.28515625" style="6" customWidth="1"/>
    <col min="3349" max="3349" width="12" style="6" customWidth="1"/>
    <col min="3350" max="3350" width="2.5703125" style="6" bestFit="1" customWidth="1"/>
    <col min="3351" max="3351" width="9.5703125" style="6" customWidth="1"/>
    <col min="3352" max="3353" width="9.28515625" style="6" bestFit="1" customWidth="1"/>
    <col min="3354" max="3584" width="9.140625" style="6"/>
    <col min="3585" max="3585" width="39" style="6" bestFit="1" customWidth="1"/>
    <col min="3586" max="3586" width="0.85546875" style="6" customWidth="1"/>
    <col min="3587" max="3587" width="12" style="6" customWidth="1"/>
    <col min="3588" max="3588" width="2.28515625" style="6" customWidth="1"/>
    <col min="3589" max="3589" width="12" style="6" customWidth="1"/>
    <col min="3590" max="3590" width="2.28515625" style="6" customWidth="1"/>
    <col min="3591" max="3591" width="12" style="6" customWidth="1"/>
    <col min="3592" max="3592" width="2.28515625" style="6" customWidth="1"/>
    <col min="3593" max="3593" width="12" style="6" customWidth="1"/>
    <col min="3594" max="3594" width="2.28515625" style="6" customWidth="1"/>
    <col min="3595" max="3595" width="12" style="6" customWidth="1"/>
    <col min="3596" max="3596" width="2.28515625" style="6" customWidth="1"/>
    <col min="3597" max="3597" width="12" style="6" customWidth="1"/>
    <col min="3598" max="3598" width="2.28515625" style="6" customWidth="1"/>
    <col min="3599" max="3599" width="12" style="6" customWidth="1"/>
    <col min="3600" max="3600" width="1.7109375" style="6" customWidth="1"/>
    <col min="3601" max="3601" width="12" style="6" customWidth="1"/>
    <col min="3602" max="3602" width="2.28515625" style="6" customWidth="1"/>
    <col min="3603" max="3603" width="0.140625" style="6" customWidth="1"/>
    <col min="3604" max="3604" width="2.28515625" style="6" customWidth="1"/>
    <col min="3605" max="3605" width="12" style="6" customWidth="1"/>
    <col min="3606" max="3606" width="2.5703125" style="6" bestFit="1" customWidth="1"/>
    <col min="3607" max="3607" width="9.5703125" style="6" customWidth="1"/>
    <col min="3608" max="3609" width="9.28515625" style="6" bestFit="1" customWidth="1"/>
    <col min="3610" max="3840" width="9.140625" style="6"/>
    <col min="3841" max="3841" width="39" style="6" bestFit="1" customWidth="1"/>
    <col min="3842" max="3842" width="0.85546875" style="6" customWidth="1"/>
    <col min="3843" max="3843" width="12" style="6" customWidth="1"/>
    <col min="3844" max="3844" width="2.28515625" style="6" customWidth="1"/>
    <col min="3845" max="3845" width="12" style="6" customWidth="1"/>
    <col min="3846" max="3846" width="2.28515625" style="6" customWidth="1"/>
    <col min="3847" max="3847" width="12" style="6" customWidth="1"/>
    <col min="3848" max="3848" width="2.28515625" style="6" customWidth="1"/>
    <col min="3849" max="3849" width="12" style="6" customWidth="1"/>
    <col min="3850" max="3850" width="2.28515625" style="6" customWidth="1"/>
    <col min="3851" max="3851" width="12" style="6" customWidth="1"/>
    <col min="3852" max="3852" width="2.28515625" style="6" customWidth="1"/>
    <col min="3853" max="3853" width="12" style="6" customWidth="1"/>
    <col min="3854" max="3854" width="2.28515625" style="6" customWidth="1"/>
    <col min="3855" max="3855" width="12" style="6" customWidth="1"/>
    <col min="3856" max="3856" width="1.7109375" style="6" customWidth="1"/>
    <col min="3857" max="3857" width="12" style="6" customWidth="1"/>
    <col min="3858" max="3858" width="2.28515625" style="6" customWidth="1"/>
    <col min="3859" max="3859" width="0.140625" style="6" customWidth="1"/>
    <col min="3860" max="3860" width="2.28515625" style="6" customWidth="1"/>
    <col min="3861" max="3861" width="12" style="6" customWidth="1"/>
    <col min="3862" max="3862" width="2.5703125" style="6" bestFit="1" customWidth="1"/>
    <col min="3863" max="3863" width="9.5703125" style="6" customWidth="1"/>
    <col min="3864" max="3865" width="9.28515625" style="6" bestFit="1" customWidth="1"/>
    <col min="3866" max="4096" width="9.140625" style="6"/>
    <col min="4097" max="4097" width="39" style="6" bestFit="1" customWidth="1"/>
    <col min="4098" max="4098" width="0.85546875" style="6" customWidth="1"/>
    <col min="4099" max="4099" width="12" style="6" customWidth="1"/>
    <col min="4100" max="4100" width="2.28515625" style="6" customWidth="1"/>
    <col min="4101" max="4101" width="12" style="6" customWidth="1"/>
    <col min="4102" max="4102" width="2.28515625" style="6" customWidth="1"/>
    <col min="4103" max="4103" width="12" style="6" customWidth="1"/>
    <col min="4104" max="4104" width="2.28515625" style="6" customWidth="1"/>
    <col min="4105" max="4105" width="12" style="6" customWidth="1"/>
    <col min="4106" max="4106" width="2.28515625" style="6" customWidth="1"/>
    <col min="4107" max="4107" width="12" style="6" customWidth="1"/>
    <col min="4108" max="4108" width="2.28515625" style="6" customWidth="1"/>
    <col min="4109" max="4109" width="12" style="6" customWidth="1"/>
    <col min="4110" max="4110" width="2.28515625" style="6" customWidth="1"/>
    <col min="4111" max="4111" width="12" style="6" customWidth="1"/>
    <col min="4112" max="4112" width="1.7109375" style="6" customWidth="1"/>
    <col min="4113" max="4113" width="12" style="6" customWidth="1"/>
    <col min="4114" max="4114" width="2.28515625" style="6" customWidth="1"/>
    <col min="4115" max="4115" width="0.140625" style="6" customWidth="1"/>
    <col min="4116" max="4116" width="2.28515625" style="6" customWidth="1"/>
    <col min="4117" max="4117" width="12" style="6" customWidth="1"/>
    <col min="4118" max="4118" width="2.5703125" style="6" bestFit="1" customWidth="1"/>
    <col min="4119" max="4119" width="9.5703125" style="6" customWidth="1"/>
    <col min="4120" max="4121" width="9.28515625" style="6" bestFit="1" customWidth="1"/>
    <col min="4122" max="4352" width="9.140625" style="6"/>
    <col min="4353" max="4353" width="39" style="6" bestFit="1" customWidth="1"/>
    <col min="4354" max="4354" width="0.85546875" style="6" customWidth="1"/>
    <col min="4355" max="4355" width="12" style="6" customWidth="1"/>
    <col min="4356" max="4356" width="2.28515625" style="6" customWidth="1"/>
    <col min="4357" max="4357" width="12" style="6" customWidth="1"/>
    <col min="4358" max="4358" width="2.28515625" style="6" customWidth="1"/>
    <col min="4359" max="4359" width="12" style="6" customWidth="1"/>
    <col min="4360" max="4360" width="2.28515625" style="6" customWidth="1"/>
    <col min="4361" max="4361" width="12" style="6" customWidth="1"/>
    <col min="4362" max="4362" width="2.28515625" style="6" customWidth="1"/>
    <col min="4363" max="4363" width="12" style="6" customWidth="1"/>
    <col min="4364" max="4364" width="2.28515625" style="6" customWidth="1"/>
    <col min="4365" max="4365" width="12" style="6" customWidth="1"/>
    <col min="4366" max="4366" width="2.28515625" style="6" customWidth="1"/>
    <col min="4367" max="4367" width="12" style="6" customWidth="1"/>
    <col min="4368" max="4368" width="1.7109375" style="6" customWidth="1"/>
    <col min="4369" max="4369" width="12" style="6" customWidth="1"/>
    <col min="4370" max="4370" width="2.28515625" style="6" customWidth="1"/>
    <col min="4371" max="4371" width="0.140625" style="6" customWidth="1"/>
    <col min="4372" max="4372" width="2.28515625" style="6" customWidth="1"/>
    <col min="4373" max="4373" width="12" style="6" customWidth="1"/>
    <col min="4374" max="4374" width="2.5703125" style="6" bestFit="1" customWidth="1"/>
    <col min="4375" max="4375" width="9.5703125" style="6" customWidth="1"/>
    <col min="4376" max="4377" width="9.28515625" style="6" bestFit="1" customWidth="1"/>
    <col min="4378" max="4608" width="9.140625" style="6"/>
    <col min="4609" max="4609" width="39" style="6" bestFit="1" customWidth="1"/>
    <col min="4610" max="4610" width="0.85546875" style="6" customWidth="1"/>
    <col min="4611" max="4611" width="12" style="6" customWidth="1"/>
    <col min="4612" max="4612" width="2.28515625" style="6" customWidth="1"/>
    <col min="4613" max="4613" width="12" style="6" customWidth="1"/>
    <col min="4614" max="4614" width="2.28515625" style="6" customWidth="1"/>
    <col min="4615" max="4615" width="12" style="6" customWidth="1"/>
    <col min="4616" max="4616" width="2.28515625" style="6" customWidth="1"/>
    <col min="4617" max="4617" width="12" style="6" customWidth="1"/>
    <col min="4618" max="4618" width="2.28515625" style="6" customWidth="1"/>
    <col min="4619" max="4619" width="12" style="6" customWidth="1"/>
    <col min="4620" max="4620" width="2.28515625" style="6" customWidth="1"/>
    <col min="4621" max="4621" width="12" style="6" customWidth="1"/>
    <col min="4622" max="4622" width="2.28515625" style="6" customWidth="1"/>
    <col min="4623" max="4623" width="12" style="6" customWidth="1"/>
    <col min="4624" max="4624" width="1.7109375" style="6" customWidth="1"/>
    <col min="4625" max="4625" width="12" style="6" customWidth="1"/>
    <col min="4626" max="4626" width="2.28515625" style="6" customWidth="1"/>
    <col min="4627" max="4627" width="0.140625" style="6" customWidth="1"/>
    <col min="4628" max="4628" width="2.28515625" style="6" customWidth="1"/>
    <col min="4629" max="4629" width="12" style="6" customWidth="1"/>
    <col min="4630" max="4630" width="2.5703125" style="6" bestFit="1" customWidth="1"/>
    <col min="4631" max="4631" width="9.5703125" style="6" customWidth="1"/>
    <col min="4632" max="4633" width="9.28515625" style="6" bestFit="1" customWidth="1"/>
    <col min="4634" max="4864" width="9.140625" style="6"/>
    <col min="4865" max="4865" width="39" style="6" bestFit="1" customWidth="1"/>
    <col min="4866" max="4866" width="0.85546875" style="6" customWidth="1"/>
    <col min="4867" max="4867" width="12" style="6" customWidth="1"/>
    <col min="4868" max="4868" width="2.28515625" style="6" customWidth="1"/>
    <col min="4869" max="4869" width="12" style="6" customWidth="1"/>
    <col min="4870" max="4870" width="2.28515625" style="6" customWidth="1"/>
    <col min="4871" max="4871" width="12" style="6" customWidth="1"/>
    <col min="4872" max="4872" width="2.28515625" style="6" customWidth="1"/>
    <col min="4873" max="4873" width="12" style="6" customWidth="1"/>
    <col min="4874" max="4874" width="2.28515625" style="6" customWidth="1"/>
    <col min="4875" max="4875" width="12" style="6" customWidth="1"/>
    <col min="4876" max="4876" width="2.28515625" style="6" customWidth="1"/>
    <col min="4877" max="4877" width="12" style="6" customWidth="1"/>
    <col min="4878" max="4878" width="2.28515625" style="6" customWidth="1"/>
    <col min="4879" max="4879" width="12" style="6" customWidth="1"/>
    <col min="4880" max="4880" width="1.7109375" style="6" customWidth="1"/>
    <col min="4881" max="4881" width="12" style="6" customWidth="1"/>
    <col min="4882" max="4882" width="2.28515625" style="6" customWidth="1"/>
    <col min="4883" max="4883" width="0.140625" style="6" customWidth="1"/>
    <col min="4884" max="4884" width="2.28515625" style="6" customWidth="1"/>
    <col min="4885" max="4885" width="12" style="6" customWidth="1"/>
    <col min="4886" max="4886" width="2.5703125" style="6" bestFit="1" customWidth="1"/>
    <col min="4887" max="4887" width="9.5703125" style="6" customWidth="1"/>
    <col min="4888" max="4889" width="9.28515625" style="6" bestFit="1" customWidth="1"/>
    <col min="4890" max="5120" width="9.140625" style="6"/>
    <col min="5121" max="5121" width="39" style="6" bestFit="1" customWidth="1"/>
    <col min="5122" max="5122" width="0.85546875" style="6" customWidth="1"/>
    <col min="5123" max="5123" width="12" style="6" customWidth="1"/>
    <col min="5124" max="5124" width="2.28515625" style="6" customWidth="1"/>
    <col min="5125" max="5125" width="12" style="6" customWidth="1"/>
    <col min="5126" max="5126" width="2.28515625" style="6" customWidth="1"/>
    <col min="5127" max="5127" width="12" style="6" customWidth="1"/>
    <col min="5128" max="5128" width="2.28515625" style="6" customWidth="1"/>
    <col min="5129" max="5129" width="12" style="6" customWidth="1"/>
    <col min="5130" max="5130" width="2.28515625" style="6" customWidth="1"/>
    <col min="5131" max="5131" width="12" style="6" customWidth="1"/>
    <col min="5132" max="5132" width="2.28515625" style="6" customWidth="1"/>
    <col min="5133" max="5133" width="12" style="6" customWidth="1"/>
    <col min="5134" max="5134" width="2.28515625" style="6" customWidth="1"/>
    <col min="5135" max="5135" width="12" style="6" customWidth="1"/>
    <col min="5136" max="5136" width="1.7109375" style="6" customWidth="1"/>
    <col min="5137" max="5137" width="12" style="6" customWidth="1"/>
    <col min="5138" max="5138" width="2.28515625" style="6" customWidth="1"/>
    <col min="5139" max="5139" width="0.140625" style="6" customWidth="1"/>
    <col min="5140" max="5140" width="2.28515625" style="6" customWidth="1"/>
    <col min="5141" max="5141" width="12" style="6" customWidth="1"/>
    <col min="5142" max="5142" width="2.5703125" style="6" bestFit="1" customWidth="1"/>
    <col min="5143" max="5143" width="9.5703125" style="6" customWidth="1"/>
    <col min="5144" max="5145" width="9.28515625" style="6" bestFit="1" customWidth="1"/>
    <col min="5146" max="5376" width="9.140625" style="6"/>
    <col min="5377" max="5377" width="39" style="6" bestFit="1" customWidth="1"/>
    <col min="5378" max="5378" width="0.85546875" style="6" customWidth="1"/>
    <col min="5379" max="5379" width="12" style="6" customWidth="1"/>
    <col min="5380" max="5380" width="2.28515625" style="6" customWidth="1"/>
    <col min="5381" max="5381" width="12" style="6" customWidth="1"/>
    <col min="5382" max="5382" width="2.28515625" style="6" customWidth="1"/>
    <col min="5383" max="5383" width="12" style="6" customWidth="1"/>
    <col min="5384" max="5384" width="2.28515625" style="6" customWidth="1"/>
    <col min="5385" max="5385" width="12" style="6" customWidth="1"/>
    <col min="5386" max="5386" width="2.28515625" style="6" customWidth="1"/>
    <col min="5387" max="5387" width="12" style="6" customWidth="1"/>
    <col min="5388" max="5388" width="2.28515625" style="6" customWidth="1"/>
    <col min="5389" max="5389" width="12" style="6" customWidth="1"/>
    <col min="5390" max="5390" width="2.28515625" style="6" customWidth="1"/>
    <col min="5391" max="5391" width="12" style="6" customWidth="1"/>
    <col min="5392" max="5392" width="1.7109375" style="6" customWidth="1"/>
    <col min="5393" max="5393" width="12" style="6" customWidth="1"/>
    <col min="5394" max="5394" width="2.28515625" style="6" customWidth="1"/>
    <col min="5395" max="5395" width="0.140625" style="6" customWidth="1"/>
    <col min="5396" max="5396" width="2.28515625" style="6" customWidth="1"/>
    <col min="5397" max="5397" width="12" style="6" customWidth="1"/>
    <col min="5398" max="5398" width="2.5703125" style="6" bestFit="1" customWidth="1"/>
    <col min="5399" max="5399" width="9.5703125" style="6" customWidth="1"/>
    <col min="5400" max="5401" width="9.28515625" style="6" bestFit="1" customWidth="1"/>
    <col min="5402" max="5632" width="9.140625" style="6"/>
    <col min="5633" max="5633" width="39" style="6" bestFit="1" customWidth="1"/>
    <col min="5634" max="5634" width="0.85546875" style="6" customWidth="1"/>
    <col min="5635" max="5635" width="12" style="6" customWidth="1"/>
    <col min="5636" max="5636" width="2.28515625" style="6" customWidth="1"/>
    <col min="5637" max="5637" width="12" style="6" customWidth="1"/>
    <col min="5638" max="5638" width="2.28515625" style="6" customWidth="1"/>
    <col min="5639" max="5639" width="12" style="6" customWidth="1"/>
    <col min="5640" max="5640" width="2.28515625" style="6" customWidth="1"/>
    <col min="5641" max="5641" width="12" style="6" customWidth="1"/>
    <col min="5642" max="5642" width="2.28515625" style="6" customWidth="1"/>
    <col min="5643" max="5643" width="12" style="6" customWidth="1"/>
    <col min="5644" max="5644" width="2.28515625" style="6" customWidth="1"/>
    <col min="5645" max="5645" width="12" style="6" customWidth="1"/>
    <col min="5646" max="5646" width="2.28515625" style="6" customWidth="1"/>
    <col min="5647" max="5647" width="12" style="6" customWidth="1"/>
    <col min="5648" max="5648" width="1.7109375" style="6" customWidth="1"/>
    <col min="5649" max="5649" width="12" style="6" customWidth="1"/>
    <col min="5650" max="5650" width="2.28515625" style="6" customWidth="1"/>
    <col min="5651" max="5651" width="0.140625" style="6" customWidth="1"/>
    <col min="5652" max="5652" width="2.28515625" style="6" customWidth="1"/>
    <col min="5653" max="5653" width="12" style="6" customWidth="1"/>
    <col min="5654" max="5654" width="2.5703125" style="6" bestFit="1" customWidth="1"/>
    <col min="5655" max="5655" width="9.5703125" style="6" customWidth="1"/>
    <col min="5656" max="5657" width="9.28515625" style="6" bestFit="1" customWidth="1"/>
    <col min="5658" max="5888" width="9.140625" style="6"/>
    <col min="5889" max="5889" width="39" style="6" bestFit="1" customWidth="1"/>
    <col min="5890" max="5890" width="0.85546875" style="6" customWidth="1"/>
    <col min="5891" max="5891" width="12" style="6" customWidth="1"/>
    <col min="5892" max="5892" width="2.28515625" style="6" customWidth="1"/>
    <col min="5893" max="5893" width="12" style="6" customWidth="1"/>
    <col min="5894" max="5894" width="2.28515625" style="6" customWidth="1"/>
    <col min="5895" max="5895" width="12" style="6" customWidth="1"/>
    <col min="5896" max="5896" width="2.28515625" style="6" customWidth="1"/>
    <col min="5897" max="5897" width="12" style="6" customWidth="1"/>
    <col min="5898" max="5898" width="2.28515625" style="6" customWidth="1"/>
    <col min="5899" max="5899" width="12" style="6" customWidth="1"/>
    <col min="5900" max="5900" width="2.28515625" style="6" customWidth="1"/>
    <col min="5901" max="5901" width="12" style="6" customWidth="1"/>
    <col min="5902" max="5902" width="2.28515625" style="6" customWidth="1"/>
    <col min="5903" max="5903" width="12" style="6" customWidth="1"/>
    <col min="5904" max="5904" width="1.7109375" style="6" customWidth="1"/>
    <col min="5905" max="5905" width="12" style="6" customWidth="1"/>
    <col min="5906" max="5906" width="2.28515625" style="6" customWidth="1"/>
    <col min="5907" max="5907" width="0.140625" style="6" customWidth="1"/>
    <col min="5908" max="5908" width="2.28515625" style="6" customWidth="1"/>
    <col min="5909" max="5909" width="12" style="6" customWidth="1"/>
    <col min="5910" max="5910" width="2.5703125" style="6" bestFit="1" customWidth="1"/>
    <col min="5911" max="5911" width="9.5703125" style="6" customWidth="1"/>
    <col min="5912" max="5913" width="9.28515625" style="6" bestFit="1" customWidth="1"/>
    <col min="5914" max="6144" width="9.140625" style="6"/>
    <col min="6145" max="6145" width="39" style="6" bestFit="1" customWidth="1"/>
    <col min="6146" max="6146" width="0.85546875" style="6" customWidth="1"/>
    <col min="6147" max="6147" width="12" style="6" customWidth="1"/>
    <col min="6148" max="6148" width="2.28515625" style="6" customWidth="1"/>
    <col min="6149" max="6149" width="12" style="6" customWidth="1"/>
    <col min="6150" max="6150" width="2.28515625" style="6" customWidth="1"/>
    <col min="6151" max="6151" width="12" style="6" customWidth="1"/>
    <col min="6152" max="6152" width="2.28515625" style="6" customWidth="1"/>
    <col min="6153" max="6153" width="12" style="6" customWidth="1"/>
    <col min="6154" max="6154" width="2.28515625" style="6" customWidth="1"/>
    <col min="6155" max="6155" width="12" style="6" customWidth="1"/>
    <col min="6156" max="6156" width="2.28515625" style="6" customWidth="1"/>
    <col min="6157" max="6157" width="12" style="6" customWidth="1"/>
    <col min="6158" max="6158" width="2.28515625" style="6" customWidth="1"/>
    <col min="6159" max="6159" width="12" style="6" customWidth="1"/>
    <col min="6160" max="6160" width="1.7109375" style="6" customWidth="1"/>
    <col min="6161" max="6161" width="12" style="6" customWidth="1"/>
    <col min="6162" max="6162" width="2.28515625" style="6" customWidth="1"/>
    <col min="6163" max="6163" width="0.140625" style="6" customWidth="1"/>
    <col min="6164" max="6164" width="2.28515625" style="6" customWidth="1"/>
    <col min="6165" max="6165" width="12" style="6" customWidth="1"/>
    <col min="6166" max="6166" width="2.5703125" style="6" bestFit="1" customWidth="1"/>
    <col min="6167" max="6167" width="9.5703125" style="6" customWidth="1"/>
    <col min="6168" max="6169" width="9.28515625" style="6" bestFit="1" customWidth="1"/>
    <col min="6170" max="6400" width="9.140625" style="6"/>
    <col min="6401" max="6401" width="39" style="6" bestFit="1" customWidth="1"/>
    <col min="6402" max="6402" width="0.85546875" style="6" customWidth="1"/>
    <col min="6403" max="6403" width="12" style="6" customWidth="1"/>
    <col min="6404" max="6404" width="2.28515625" style="6" customWidth="1"/>
    <col min="6405" max="6405" width="12" style="6" customWidth="1"/>
    <col min="6406" max="6406" width="2.28515625" style="6" customWidth="1"/>
    <col min="6407" max="6407" width="12" style="6" customWidth="1"/>
    <col min="6408" max="6408" width="2.28515625" style="6" customWidth="1"/>
    <col min="6409" max="6409" width="12" style="6" customWidth="1"/>
    <col min="6410" max="6410" width="2.28515625" style="6" customWidth="1"/>
    <col min="6411" max="6411" width="12" style="6" customWidth="1"/>
    <col min="6412" max="6412" width="2.28515625" style="6" customWidth="1"/>
    <col min="6413" max="6413" width="12" style="6" customWidth="1"/>
    <col min="6414" max="6414" width="2.28515625" style="6" customWidth="1"/>
    <col min="6415" max="6415" width="12" style="6" customWidth="1"/>
    <col min="6416" max="6416" width="1.7109375" style="6" customWidth="1"/>
    <col min="6417" max="6417" width="12" style="6" customWidth="1"/>
    <col min="6418" max="6418" width="2.28515625" style="6" customWidth="1"/>
    <col min="6419" max="6419" width="0.140625" style="6" customWidth="1"/>
    <col min="6420" max="6420" width="2.28515625" style="6" customWidth="1"/>
    <col min="6421" max="6421" width="12" style="6" customWidth="1"/>
    <col min="6422" max="6422" width="2.5703125" style="6" bestFit="1" customWidth="1"/>
    <col min="6423" max="6423" width="9.5703125" style="6" customWidth="1"/>
    <col min="6424" max="6425" width="9.28515625" style="6" bestFit="1" customWidth="1"/>
    <col min="6426" max="6656" width="9.140625" style="6"/>
    <col min="6657" max="6657" width="39" style="6" bestFit="1" customWidth="1"/>
    <col min="6658" max="6658" width="0.85546875" style="6" customWidth="1"/>
    <col min="6659" max="6659" width="12" style="6" customWidth="1"/>
    <col min="6660" max="6660" width="2.28515625" style="6" customWidth="1"/>
    <col min="6661" max="6661" width="12" style="6" customWidth="1"/>
    <col min="6662" max="6662" width="2.28515625" style="6" customWidth="1"/>
    <col min="6663" max="6663" width="12" style="6" customWidth="1"/>
    <col min="6664" max="6664" width="2.28515625" style="6" customWidth="1"/>
    <col min="6665" max="6665" width="12" style="6" customWidth="1"/>
    <col min="6666" max="6666" width="2.28515625" style="6" customWidth="1"/>
    <col min="6667" max="6667" width="12" style="6" customWidth="1"/>
    <col min="6668" max="6668" width="2.28515625" style="6" customWidth="1"/>
    <col min="6669" max="6669" width="12" style="6" customWidth="1"/>
    <col min="6670" max="6670" width="2.28515625" style="6" customWidth="1"/>
    <col min="6671" max="6671" width="12" style="6" customWidth="1"/>
    <col min="6672" max="6672" width="1.7109375" style="6" customWidth="1"/>
    <col min="6673" max="6673" width="12" style="6" customWidth="1"/>
    <col min="6674" max="6674" width="2.28515625" style="6" customWidth="1"/>
    <col min="6675" max="6675" width="0.140625" style="6" customWidth="1"/>
    <col min="6676" max="6676" width="2.28515625" style="6" customWidth="1"/>
    <col min="6677" max="6677" width="12" style="6" customWidth="1"/>
    <col min="6678" max="6678" width="2.5703125" style="6" bestFit="1" customWidth="1"/>
    <col min="6679" max="6679" width="9.5703125" style="6" customWidth="1"/>
    <col min="6680" max="6681" width="9.28515625" style="6" bestFit="1" customWidth="1"/>
    <col min="6682" max="6912" width="9.140625" style="6"/>
    <col min="6913" max="6913" width="39" style="6" bestFit="1" customWidth="1"/>
    <col min="6914" max="6914" width="0.85546875" style="6" customWidth="1"/>
    <col min="6915" max="6915" width="12" style="6" customWidth="1"/>
    <col min="6916" max="6916" width="2.28515625" style="6" customWidth="1"/>
    <col min="6917" max="6917" width="12" style="6" customWidth="1"/>
    <col min="6918" max="6918" width="2.28515625" style="6" customWidth="1"/>
    <col min="6919" max="6919" width="12" style="6" customWidth="1"/>
    <col min="6920" max="6920" width="2.28515625" style="6" customWidth="1"/>
    <col min="6921" max="6921" width="12" style="6" customWidth="1"/>
    <col min="6922" max="6922" width="2.28515625" style="6" customWidth="1"/>
    <col min="6923" max="6923" width="12" style="6" customWidth="1"/>
    <col min="6924" max="6924" width="2.28515625" style="6" customWidth="1"/>
    <col min="6925" max="6925" width="12" style="6" customWidth="1"/>
    <col min="6926" max="6926" width="2.28515625" style="6" customWidth="1"/>
    <col min="6927" max="6927" width="12" style="6" customWidth="1"/>
    <col min="6928" max="6928" width="1.7109375" style="6" customWidth="1"/>
    <col min="6929" max="6929" width="12" style="6" customWidth="1"/>
    <col min="6930" max="6930" width="2.28515625" style="6" customWidth="1"/>
    <col min="6931" max="6931" width="0.140625" style="6" customWidth="1"/>
    <col min="6932" max="6932" width="2.28515625" style="6" customWidth="1"/>
    <col min="6933" max="6933" width="12" style="6" customWidth="1"/>
    <col min="6934" max="6934" width="2.5703125" style="6" bestFit="1" customWidth="1"/>
    <col min="6935" max="6935" width="9.5703125" style="6" customWidth="1"/>
    <col min="6936" max="6937" width="9.28515625" style="6" bestFit="1" customWidth="1"/>
    <col min="6938" max="7168" width="9.140625" style="6"/>
    <col min="7169" max="7169" width="39" style="6" bestFit="1" customWidth="1"/>
    <col min="7170" max="7170" width="0.85546875" style="6" customWidth="1"/>
    <col min="7171" max="7171" width="12" style="6" customWidth="1"/>
    <col min="7172" max="7172" width="2.28515625" style="6" customWidth="1"/>
    <col min="7173" max="7173" width="12" style="6" customWidth="1"/>
    <col min="7174" max="7174" width="2.28515625" style="6" customWidth="1"/>
    <col min="7175" max="7175" width="12" style="6" customWidth="1"/>
    <col min="7176" max="7176" width="2.28515625" style="6" customWidth="1"/>
    <col min="7177" max="7177" width="12" style="6" customWidth="1"/>
    <col min="7178" max="7178" width="2.28515625" style="6" customWidth="1"/>
    <col min="7179" max="7179" width="12" style="6" customWidth="1"/>
    <col min="7180" max="7180" width="2.28515625" style="6" customWidth="1"/>
    <col min="7181" max="7181" width="12" style="6" customWidth="1"/>
    <col min="7182" max="7182" width="2.28515625" style="6" customWidth="1"/>
    <col min="7183" max="7183" width="12" style="6" customWidth="1"/>
    <col min="7184" max="7184" width="1.7109375" style="6" customWidth="1"/>
    <col min="7185" max="7185" width="12" style="6" customWidth="1"/>
    <col min="7186" max="7186" width="2.28515625" style="6" customWidth="1"/>
    <col min="7187" max="7187" width="0.140625" style="6" customWidth="1"/>
    <col min="7188" max="7188" width="2.28515625" style="6" customWidth="1"/>
    <col min="7189" max="7189" width="12" style="6" customWidth="1"/>
    <col min="7190" max="7190" width="2.5703125" style="6" bestFit="1" customWidth="1"/>
    <col min="7191" max="7191" width="9.5703125" style="6" customWidth="1"/>
    <col min="7192" max="7193" width="9.28515625" style="6" bestFit="1" customWidth="1"/>
    <col min="7194" max="7424" width="9.140625" style="6"/>
    <col min="7425" max="7425" width="39" style="6" bestFit="1" customWidth="1"/>
    <col min="7426" max="7426" width="0.85546875" style="6" customWidth="1"/>
    <col min="7427" max="7427" width="12" style="6" customWidth="1"/>
    <col min="7428" max="7428" width="2.28515625" style="6" customWidth="1"/>
    <col min="7429" max="7429" width="12" style="6" customWidth="1"/>
    <col min="7430" max="7430" width="2.28515625" style="6" customWidth="1"/>
    <col min="7431" max="7431" width="12" style="6" customWidth="1"/>
    <col min="7432" max="7432" width="2.28515625" style="6" customWidth="1"/>
    <col min="7433" max="7433" width="12" style="6" customWidth="1"/>
    <col min="7434" max="7434" width="2.28515625" style="6" customWidth="1"/>
    <col min="7435" max="7435" width="12" style="6" customWidth="1"/>
    <col min="7436" max="7436" width="2.28515625" style="6" customWidth="1"/>
    <col min="7437" max="7437" width="12" style="6" customWidth="1"/>
    <col min="7438" max="7438" width="2.28515625" style="6" customWidth="1"/>
    <col min="7439" max="7439" width="12" style="6" customWidth="1"/>
    <col min="7440" max="7440" width="1.7109375" style="6" customWidth="1"/>
    <col min="7441" max="7441" width="12" style="6" customWidth="1"/>
    <col min="7442" max="7442" width="2.28515625" style="6" customWidth="1"/>
    <col min="7443" max="7443" width="0.140625" style="6" customWidth="1"/>
    <col min="7444" max="7444" width="2.28515625" style="6" customWidth="1"/>
    <col min="7445" max="7445" width="12" style="6" customWidth="1"/>
    <col min="7446" max="7446" width="2.5703125" style="6" bestFit="1" customWidth="1"/>
    <col min="7447" max="7447" width="9.5703125" style="6" customWidth="1"/>
    <col min="7448" max="7449" width="9.28515625" style="6" bestFit="1" customWidth="1"/>
    <col min="7450" max="7680" width="9.140625" style="6"/>
    <col min="7681" max="7681" width="39" style="6" bestFit="1" customWidth="1"/>
    <col min="7682" max="7682" width="0.85546875" style="6" customWidth="1"/>
    <col min="7683" max="7683" width="12" style="6" customWidth="1"/>
    <col min="7684" max="7684" width="2.28515625" style="6" customWidth="1"/>
    <col min="7685" max="7685" width="12" style="6" customWidth="1"/>
    <col min="7686" max="7686" width="2.28515625" style="6" customWidth="1"/>
    <col min="7687" max="7687" width="12" style="6" customWidth="1"/>
    <col min="7688" max="7688" width="2.28515625" style="6" customWidth="1"/>
    <col min="7689" max="7689" width="12" style="6" customWidth="1"/>
    <col min="7690" max="7690" width="2.28515625" style="6" customWidth="1"/>
    <col min="7691" max="7691" width="12" style="6" customWidth="1"/>
    <col min="7692" max="7692" width="2.28515625" style="6" customWidth="1"/>
    <col min="7693" max="7693" width="12" style="6" customWidth="1"/>
    <col min="7694" max="7694" width="2.28515625" style="6" customWidth="1"/>
    <col min="7695" max="7695" width="12" style="6" customWidth="1"/>
    <col min="7696" max="7696" width="1.7109375" style="6" customWidth="1"/>
    <col min="7697" max="7697" width="12" style="6" customWidth="1"/>
    <col min="7698" max="7698" width="2.28515625" style="6" customWidth="1"/>
    <col min="7699" max="7699" width="0.140625" style="6" customWidth="1"/>
    <col min="7700" max="7700" width="2.28515625" style="6" customWidth="1"/>
    <col min="7701" max="7701" width="12" style="6" customWidth="1"/>
    <col min="7702" max="7702" width="2.5703125" style="6" bestFit="1" customWidth="1"/>
    <col min="7703" max="7703" width="9.5703125" style="6" customWidth="1"/>
    <col min="7704" max="7705" width="9.28515625" style="6" bestFit="1" customWidth="1"/>
    <col min="7706" max="7936" width="9.140625" style="6"/>
    <col min="7937" max="7937" width="39" style="6" bestFit="1" customWidth="1"/>
    <col min="7938" max="7938" width="0.85546875" style="6" customWidth="1"/>
    <col min="7939" max="7939" width="12" style="6" customWidth="1"/>
    <col min="7940" max="7940" width="2.28515625" style="6" customWidth="1"/>
    <col min="7941" max="7941" width="12" style="6" customWidth="1"/>
    <col min="7942" max="7942" width="2.28515625" style="6" customWidth="1"/>
    <col min="7943" max="7943" width="12" style="6" customWidth="1"/>
    <col min="7944" max="7944" width="2.28515625" style="6" customWidth="1"/>
    <col min="7945" max="7945" width="12" style="6" customWidth="1"/>
    <col min="7946" max="7946" width="2.28515625" style="6" customWidth="1"/>
    <col min="7947" max="7947" width="12" style="6" customWidth="1"/>
    <col min="7948" max="7948" width="2.28515625" style="6" customWidth="1"/>
    <col min="7949" max="7949" width="12" style="6" customWidth="1"/>
    <col min="7950" max="7950" width="2.28515625" style="6" customWidth="1"/>
    <col min="7951" max="7951" width="12" style="6" customWidth="1"/>
    <col min="7952" max="7952" width="1.7109375" style="6" customWidth="1"/>
    <col min="7953" max="7953" width="12" style="6" customWidth="1"/>
    <col min="7954" max="7954" width="2.28515625" style="6" customWidth="1"/>
    <col min="7955" max="7955" width="0.140625" style="6" customWidth="1"/>
    <col min="7956" max="7956" width="2.28515625" style="6" customWidth="1"/>
    <col min="7957" max="7957" width="12" style="6" customWidth="1"/>
    <col min="7958" max="7958" width="2.5703125" style="6" bestFit="1" customWidth="1"/>
    <col min="7959" max="7959" width="9.5703125" style="6" customWidth="1"/>
    <col min="7960" max="7961" width="9.28515625" style="6" bestFit="1" customWidth="1"/>
    <col min="7962" max="8192" width="9.140625" style="6"/>
    <col min="8193" max="8193" width="39" style="6" bestFit="1" customWidth="1"/>
    <col min="8194" max="8194" width="0.85546875" style="6" customWidth="1"/>
    <col min="8195" max="8195" width="12" style="6" customWidth="1"/>
    <col min="8196" max="8196" width="2.28515625" style="6" customWidth="1"/>
    <col min="8197" max="8197" width="12" style="6" customWidth="1"/>
    <col min="8198" max="8198" width="2.28515625" style="6" customWidth="1"/>
    <col min="8199" max="8199" width="12" style="6" customWidth="1"/>
    <col min="8200" max="8200" width="2.28515625" style="6" customWidth="1"/>
    <col min="8201" max="8201" width="12" style="6" customWidth="1"/>
    <col min="8202" max="8202" width="2.28515625" style="6" customWidth="1"/>
    <col min="8203" max="8203" width="12" style="6" customWidth="1"/>
    <col min="8204" max="8204" width="2.28515625" style="6" customWidth="1"/>
    <col min="8205" max="8205" width="12" style="6" customWidth="1"/>
    <col min="8206" max="8206" width="2.28515625" style="6" customWidth="1"/>
    <col min="8207" max="8207" width="12" style="6" customWidth="1"/>
    <col min="8208" max="8208" width="1.7109375" style="6" customWidth="1"/>
    <col min="8209" max="8209" width="12" style="6" customWidth="1"/>
    <col min="8210" max="8210" width="2.28515625" style="6" customWidth="1"/>
    <col min="8211" max="8211" width="0.140625" style="6" customWidth="1"/>
    <col min="8212" max="8212" width="2.28515625" style="6" customWidth="1"/>
    <col min="8213" max="8213" width="12" style="6" customWidth="1"/>
    <col min="8214" max="8214" width="2.5703125" style="6" bestFit="1" customWidth="1"/>
    <col min="8215" max="8215" width="9.5703125" style="6" customWidth="1"/>
    <col min="8216" max="8217" width="9.28515625" style="6" bestFit="1" customWidth="1"/>
    <col min="8218" max="8448" width="9.140625" style="6"/>
    <col min="8449" max="8449" width="39" style="6" bestFit="1" customWidth="1"/>
    <col min="8450" max="8450" width="0.85546875" style="6" customWidth="1"/>
    <col min="8451" max="8451" width="12" style="6" customWidth="1"/>
    <col min="8452" max="8452" width="2.28515625" style="6" customWidth="1"/>
    <col min="8453" max="8453" width="12" style="6" customWidth="1"/>
    <col min="8454" max="8454" width="2.28515625" style="6" customWidth="1"/>
    <col min="8455" max="8455" width="12" style="6" customWidth="1"/>
    <col min="8456" max="8456" width="2.28515625" style="6" customWidth="1"/>
    <col min="8457" max="8457" width="12" style="6" customWidth="1"/>
    <col min="8458" max="8458" width="2.28515625" style="6" customWidth="1"/>
    <col min="8459" max="8459" width="12" style="6" customWidth="1"/>
    <col min="8460" max="8460" width="2.28515625" style="6" customWidth="1"/>
    <col min="8461" max="8461" width="12" style="6" customWidth="1"/>
    <col min="8462" max="8462" width="2.28515625" style="6" customWidth="1"/>
    <col min="8463" max="8463" width="12" style="6" customWidth="1"/>
    <col min="8464" max="8464" width="1.7109375" style="6" customWidth="1"/>
    <col min="8465" max="8465" width="12" style="6" customWidth="1"/>
    <col min="8466" max="8466" width="2.28515625" style="6" customWidth="1"/>
    <col min="8467" max="8467" width="0.140625" style="6" customWidth="1"/>
    <col min="8468" max="8468" width="2.28515625" style="6" customWidth="1"/>
    <col min="8469" max="8469" width="12" style="6" customWidth="1"/>
    <col min="8470" max="8470" width="2.5703125" style="6" bestFit="1" customWidth="1"/>
    <col min="8471" max="8471" width="9.5703125" style="6" customWidth="1"/>
    <col min="8472" max="8473" width="9.28515625" style="6" bestFit="1" customWidth="1"/>
    <col min="8474" max="8704" width="9.140625" style="6"/>
    <col min="8705" max="8705" width="39" style="6" bestFit="1" customWidth="1"/>
    <col min="8706" max="8706" width="0.85546875" style="6" customWidth="1"/>
    <col min="8707" max="8707" width="12" style="6" customWidth="1"/>
    <col min="8708" max="8708" width="2.28515625" style="6" customWidth="1"/>
    <col min="8709" max="8709" width="12" style="6" customWidth="1"/>
    <col min="8710" max="8710" width="2.28515625" style="6" customWidth="1"/>
    <col min="8711" max="8711" width="12" style="6" customWidth="1"/>
    <col min="8712" max="8712" width="2.28515625" style="6" customWidth="1"/>
    <col min="8713" max="8713" width="12" style="6" customWidth="1"/>
    <col min="8714" max="8714" width="2.28515625" style="6" customWidth="1"/>
    <col min="8715" max="8715" width="12" style="6" customWidth="1"/>
    <col min="8716" max="8716" width="2.28515625" style="6" customWidth="1"/>
    <col min="8717" max="8717" width="12" style="6" customWidth="1"/>
    <col min="8718" max="8718" width="2.28515625" style="6" customWidth="1"/>
    <col min="8719" max="8719" width="12" style="6" customWidth="1"/>
    <col min="8720" max="8720" width="1.7109375" style="6" customWidth="1"/>
    <col min="8721" max="8721" width="12" style="6" customWidth="1"/>
    <col min="8722" max="8722" width="2.28515625" style="6" customWidth="1"/>
    <col min="8723" max="8723" width="0.140625" style="6" customWidth="1"/>
    <col min="8724" max="8724" width="2.28515625" style="6" customWidth="1"/>
    <col min="8725" max="8725" width="12" style="6" customWidth="1"/>
    <col min="8726" max="8726" width="2.5703125" style="6" bestFit="1" customWidth="1"/>
    <col min="8727" max="8727" width="9.5703125" style="6" customWidth="1"/>
    <col min="8728" max="8729" width="9.28515625" style="6" bestFit="1" customWidth="1"/>
    <col min="8730" max="8960" width="9.140625" style="6"/>
    <col min="8961" max="8961" width="39" style="6" bestFit="1" customWidth="1"/>
    <col min="8962" max="8962" width="0.85546875" style="6" customWidth="1"/>
    <col min="8963" max="8963" width="12" style="6" customWidth="1"/>
    <col min="8964" max="8964" width="2.28515625" style="6" customWidth="1"/>
    <col min="8965" max="8965" width="12" style="6" customWidth="1"/>
    <col min="8966" max="8966" width="2.28515625" style="6" customWidth="1"/>
    <col min="8967" max="8967" width="12" style="6" customWidth="1"/>
    <col min="8968" max="8968" width="2.28515625" style="6" customWidth="1"/>
    <col min="8969" max="8969" width="12" style="6" customWidth="1"/>
    <col min="8970" max="8970" width="2.28515625" style="6" customWidth="1"/>
    <col min="8971" max="8971" width="12" style="6" customWidth="1"/>
    <col min="8972" max="8972" width="2.28515625" style="6" customWidth="1"/>
    <col min="8973" max="8973" width="12" style="6" customWidth="1"/>
    <col min="8974" max="8974" width="2.28515625" style="6" customWidth="1"/>
    <col min="8975" max="8975" width="12" style="6" customWidth="1"/>
    <col min="8976" max="8976" width="1.7109375" style="6" customWidth="1"/>
    <col min="8977" max="8977" width="12" style="6" customWidth="1"/>
    <col min="8978" max="8978" width="2.28515625" style="6" customWidth="1"/>
    <col min="8979" max="8979" width="0.140625" style="6" customWidth="1"/>
    <col min="8980" max="8980" width="2.28515625" style="6" customWidth="1"/>
    <col min="8981" max="8981" width="12" style="6" customWidth="1"/>
    <col min="8982" max="8982" width="2.5703125" style="6" bestFit="1" customWidth="1"/>
    <col min="8983" max="8983" width="9.5703125" style="6" customWidth="1"/>
    <col min="8984" max="8985" width="9.28515625" style="6" bestFit="1" customWidth="1"/>
    <col min="8986" max="9216" width="9.140625" style="6"/>
    <col min="9217" max="9217" width="39" style="6" bestFit="1" customWidth="1"/>
    <col min="9218" max="9218" width="0.85546875" style="6" customWidth="1"/>
    <col min="9219" max="9219" width="12" style="6" customWidth="1"/>
    <col min="9220" max="9220" width="2.28515625" style="6" customWidth="1"/>
    <col min="9221" max="9221" width="12" style="6" customWidth="1"/>
    <col min="9222" max="9222" width="2.28515625" style="6" customWidth="1"/>
    <col min="9223" max="9223" width="12" style="6" customWidth="1"/>
    <col min="9224" max="9224" width="2.28515625" style="6" customWidth="1"/>
    <col min="9225" max="9225" width="12" style="6" customWidth="1"/>
    <col min="9226" max="9226" width="2.28515625" style="6" customWidth="1"/>
    <col min="9227" max="9227" width="12" style="6" customWidth="1"/>
    <col min="9228" max="9228" width="2.28515625" style="6" customWidth="1"/>
    <col min="9229" max="9229" width="12" style="6" customWidth="1"/>
    <col min="9230" max="9230" width="2.28515625" style="6" customWidth="1"/>
    <col min="9231" max="9231" width="12" style="6" customWidth="1"/>
    <col min="9232" max="9232" width="1.7109375" style="6" customWidth="1"/>
    <col min="9233" max="9233" width="12" style="6" customWidth="1"/>
    <col min="9234" max="9234" width="2.28515625" style="6" customWidth="1"/>
    <col min="9235" max="9235" width="0.140625" style="6" customWidth="1"/>
    <col min="9236" max="9236" width="2.28515625" style="6" customWidth="1"/>
    <col min="9237" max="9237" width="12" style="6" customWidth="1"/>
    <col min="9238" max="9238" width="2.5703125" style="6" bestFit="1" customWidth="1"/>
    <col min="9239" max="9239" width="9.5703125" style="6" customWidth="1"/>
    <col min="9240" max="9241" width="9.28515625" style="6" bestFit="1" customWidth="1"/>
    <col min="9242" max="9472" width="9.140625" style="6"/>
    <col min="9473" max="9473" width="39" style="6" bestFit="1" customWidth="1"/>
    <col min="9474" max="9474" width="0.85546875" style="6" customWidth="1"/>
    <col min="9475" max="9475" width="12" style="6" customWidth="1"/>
    <col min="9476" max="9476" width="2.28515625" style="6" customWidth="1"/>
    <col min="9477" max="9477" width="12" style="6" customWidth="1"/>
    <col min="9478" max="9478" width="2.28515625" style="6" customWidth="1"/>
    <col min="9479" max="9479" width="12" style="6" customWidth="1"/>
    <col min="9480" max="9480" width="2.28515625" style="6" customWidth="1"/>
    <col min="9481" max="9481" width="12" style="6" customWidth="1"/>
    <col min="9482" max="9482" width="2.28515625" style="6" customWidth="1"/>
    <col min="9483" max="9483" width="12" style="6" customWidth="1"/>
    <col min="9484" max="9484" width="2.28515625" style="6" customWidth="1"/>
    <col min="9485" max="9485" width="12" style="6" customWidth="1"/>
    <col min="9486" max="9486" width="2.28515625" style="6" customWidth="1"/>
    <col min="9487" max="9487" width="12" style="6" customWidth="1"/>
    <col min="9488" max="9488" width="1.7109375" style="6" customWidth="1"/>
    <col min="9489" max="9489" width="12" style="6" customWidth="1"/>
    <col min="9490" max="9490" width="2.28515625" style="6" customWidth="1"/>
    <col min="9491" max="9491" width="0.140625" style="6" customWidth="1"/>
    <col min="9492" max="9492" width="2.28515625" style="6" customWidth="1"/>
    <col min="9493" max="9493" width="12" style="6" customWidth="1"/>
    <col min="9494" max="9494" width="2.5703125" style="6" bestFit="1" customWidth="1"/>
    <col min="9495" max="9495" width="9.5703125" style="6" customWidth="1"/>
    <col min="9496" max="9497" width="9.28515625" style="6" bestFit="1" customWidth="1"/>
    <col min="9498" max="9728" width="9.140625" style="6"/>
    <col min="9729" max="9729" width="39" style="6" bestFit="1" customWidth="1"/>
    <col min="9730" max="9730" width="0.85546875" style="6" customWidth="1"/>
    <col min="9731" max="9731" width="12" style="6" customWidth="1"/>
    <col min="9732" max="9732" width="2.28515625" style="6" customWidth="1"/>
    <col min="9733" max="9733" width="12" style="6" customWidth="1"/>
    <col min="9734" max="9734" width="2.28515625" style="6" customWidth="1"/>
    <col min="9735" max="9735" width="12" style="6" customWidth="1"/>
    <col min="9736" max="9736" width="2.28515625" style="6" customWidth="1"/>
    <col min="9737" max="9737" width="12" style="6" customWidth="1"/>
    <col min="9738" max="9738" width="2.28515625" style="6" customWidth="1"/>
    <col min="9739" max="9739" width="12" style="6" customWidth="1"/>
    <col min="9740" max="9740" width="2.28515625" style="6" customWidth="1"/>
    <col min="9741" max="9741" width="12" style="6" customWidth="1"/>
    <col min="9742" max="9742" width="2.28515625" style="6" customWidth="1"/>
    <col min="9743" max="9743" width="12" style="6" customWidth="1"/>
    <col min="9744" max="9744" width="1.7109375" style="6" customWidth="1"/>
    <col min="9745" max="9745" width="12" style="6" customWidth="1"/>
    <col min="9746" max="9746" width="2.28515625" style="6" customWidth="1"/>
    <col min="9747" max="9747" width="0.140625" style="6" customWidth="1"/>
    <col min="9748" max="9748" width="2.28515625" style="6" customWidth="1"/>
    <col min="9749" max="9749" width="12" style="6" customWidth="1"/>
    <col min="9750" max="9750" width="2.5703125" style="6" bestFit="1" customWidth="1"/>
    <col min="9751" max="9751" width="9.5703125" style="6" customWidth="1"/>
    <col min="9752" max="9753" width="9.28515625" style="6" bestFit="1" customWidth="1"/>
    <col min="9754" max="9984" width="9.140625" style="6"/>
    <col min="9985" max="9985" width="39" style="6" bestFit="1" customWidth="1"/>
    <col min="9986" max="9986" width="0.85546875" style="6" customWidth="1"/>
    <col min="9987" max="9987" width="12" style="6" customWidth="1"/>
    <col min="9988" max="9988" width="2.28515625" style="6" customWidth="1"/>
    <col min="9989" max="9989" width="12" style="6" customWidth="1"/>
    <col min="9990" max="9990" width="2.28515625" style="6" customWidth="1"/>
    <col min="9991" max="9991" width="12" style="6" customWidth="1"/>
    <col min="9992" max="9992" width="2.28515625" style="6" customWidth="1"/>
    <col min="9993" max="9993" width="12" style="6" customWidth="1"/>
    <col min="9994" max="9994" width="2.28515625" style="6" customWidth="1"/>
    <col min="9995" max="9995" width="12" style="6" customWidth="1"/>
    <col min="9996" max="9996" width="2.28515625" style="6" customWidth="1"/>
    <col min="9997" max="9997" width="12" style="6" customWidth="1"/>
    <col min="9998" max="9998" width="2.28515625" style="6" customWidth="1"/>
    <col min="9999" max="9999" width="12" style="6" customWidth="1"/>
    <col min="10000" max="10000" width="1.7109375" style="6" customWidth="1"/>
    <col min="10001" max="10001" width="12" style="6" customWidth="1"/>
    <col min="10002" max="10002" width="2.28515625" style="6" customWidth="1"/>
    <col min="10003" max="10003" width="0.140625" style="6" customWidth="1"/>
    <col min="10004" max="10004" width="2.28515625" style="6" customWidth="1"/>
    <col min="10005" max="10005" width="12" style="6" customWidth="1"/>
    <col min="10006" max="10006" width="2.5703125" style="6" bestFit="1" customWidth="1"/>
    <col min="10007" max="10007" width="9.5703125" style="6" customWidth="1"/>
    <col min="10008" max="10009" width="9.28515625" style="6" bestFit="1" customWidth="1"/>
    <col min="10010" max="10240" width="9.140625" style="6"/>
    <col min="10241" max="10241" width="39" style="6" bestFit="1" customWidth="1"/>
    <col min="10242" max="10242" width="0.85546875" style="6" customWidth="1"/>
    <col min="10243" max="10243" width="12" style="6" customWidth="1"/>
    <col min="10244" max="10244" width="2.28515625" style="6" customWidth="1"/>
    <col min="10245" max="10245" width="12" style="6" customWidth="1"/>
    <col min="10246" max="10246" width="2.28515625" style="6" customWidth="1"/>
    <col min="10247" max="10247" width="12" style="6" customWidth="1"/>
    <col min="10248" max="10248" width="2.28515625" style="6" customWidth="1"/>
    <col min="10249" max="10249" width="12" style="6" customWidth="1"/>
    <col min="10250" max="10250" width="2.28515625" style="6" customWidth="1"/>
    <col min="10251" max="10251" width="12" style="6" customWidth="1"/>
    <col min="10252" max="10252" width="2.28515625" style="6" customWidth="1"/>
    <col min="10253" max="10253" width="12" style="6" customWidth="1"/>
    <col min="10254" max="10254" width="2.28515625" style="6" customWidth="1"/>
    <col min="10255" max="10255" width="12" style="6" customWidth="1"/>
    <col min="10256" max="10256" width="1.7109375" style="6" customWidth="1"/>
    <col min="10257" max="10257" width="12" style="6" customWidth="1"/>
    <col min="10258" max="10258" width="2.28515625" style="6" customWidth="1"/>
    <col min="10259" max="10259" width="0.140625" style="6" customWidth="1"/>
    <col min="10260" max="10260" width="2.28515625" style="6" customWidth="1"/>
    <col min="10261" max="10261" width="12" style="6" customWidth="1"/>
    <col min="10262" max="10262" width="2.5703125" style="6" bestFit="1" customWidth="1"/>
    <col min="10263" max="10263" width="9.5703125" style="6" customWidth="1"/>
    <col min="10264" max="10265" width="9.28515625" style="6" bestFit="1" customWidth="1"/>
    <col min="10266" max="10496" width="9.140625" style="6"/>
    <col min="10497" max="10497" width="39" style="6" bestFit="1" customWidth="1"/>
    <col min="10498" max="10498" width="0.85546875" style="6" customWidth="1"/>
    <col min="10499" max="10499" width="12" style="6" customWidth="1"/>
    <col min="10500" max="10500" width="2.28515625" style="6" customWidth="1"/>
    <col min="10501" max="10501" width="12" style="6" customWidth="1"/>
    <col min="10502" max="10502" width="2.28515625" style="6" customWidth="1"/>
    <col min="10503" max="10503" width="12" style="6" customWidth="1"/>
    <col min="10504" max="10504" width="2.28515625" style="6" customWidth="1"/>
    <col min="10505" max="10505" width="12" style="6" customWidth="1"/>
    <col min="10506" max="10506" width="2.28515625" style="6" customWidth="1"/>
    <col min="10507" max="10507" width="12" style="6" customWidth="1"/>
    <col min="10508" max="10508" width="2.28515625" style="6" customWidth="1"/>
    <col min="10509" max="10509" width="12" style="6" customWidth="1"/>
    <col min="10510" max="10510" width="2.28515625" style="6" customWidth="1"/>
    <col min="10511" max="10511" width="12" style="6" customWidth="1"/>
    <col min="10512" max="10512" width="1.7109375" style="6" customWidth="1"/>
    <col min="10513" max="10513" width="12" style="6" customWidth="1"/>
    <col min="10514" max="10514" width="2.28515625" style="6" customWidth="1"/>
    <col min="10515" max="10515" width="0.140625" style="6" customWidth="1"/>
    <col min="10516" max="10516" width="2.28515625" style="6" customWidth="1"/>
    <col min="10517" max="10517" width="12" style="6" customWidth="1"/>
    <col min="10518" max="10518" width="2.5703125" style="6" bestFit="1" customWidth="1"/>
    <col min="10519" max="10519" width="9.5703125" style="6" customWidth="1"/>
    <col min="10520" max="10521" width="9.28515625" style="6" bestFit="1" customWidth="1"/>
    <col min="10522" max="10752" width="9.140625" style="6"/>
    <col min="10753" max="10753" width="39" style="6" bestFit="1" customWidth="1"/>
    <col min="10754" max="10754" width="0.85546875" style="6" customWidth="1"/>
    <col min="10755" max="10755" width="12" style="6" customWidth="1"/>
    <col min="10756" max="10756" width="2.28515625" style="6" customWidth="1"/>
    <col min="10757" max="10757" width="12" style="6" customWidth="1"/>
    <col min="10758" max="10758" width="2.28515625" style="6" customWidth="1"/>
    <col min="10759" max="10759" width="12" style="6" customWidth="1"/>
    <col min="10760" max="10760" width="2.28515625" style="6" customWidth="1"/>
    <col min="10761" max="10761" width="12" style="6" customWidth="1"/>
    <col min="10762" max="10762" width="2.28515625" style="6" customWidth="1"/>
    <col min="10763" max="10763" width="12" style="6" customWidth="1"/>
    <col min="10764" max="10764" width="2.28515625" style="6" customWidth="1"/>
    <col min="10765" max="10765" width="12" style="6" customWidth="1"/>
    <col min="10766" max="10766" width="2.28515625" style="6" customWidth="1"/>
    <col min="10767" max="10767" width="12" style="6" customWidth="1"/>
    <col min="10768" max="10768" width="1.7109375" style="6" customWidth="1"/>
    <col min="10769" max="10769" width="12" style="6" customWidth="1"/>
    <col min="10770" max="10770" width="2.28515625" style="6" customWidth="1"/>
    <col min="10771" max="10771" width="0.140625" style="6" customWidth="1"/>
    <col min="10772" max="10772" width="2.28515625" style="6" customWidth="1"/>
    <col min="10773" max="10773" width="12" style="6" customWidth="1"/>
    <col min="10774" max="10774" width="2.5703125" style="6" bestFit="1" customWidth="1"/>
    <col min="10775" max="10775" width="9.5703125" style="6" customWidth="1"/>
    <col min="10776" max="10777" width="9.28515625" style="6" bestFit="1" customWidth="1"/>
    <col min="10778" max="11008" width="9.140625" style="6"/>
    <col min="11009" max="11009" width="39" style="6" bestFit="1" customWidth="1"/>
    <col min="11010" max="11010" width="0.85546875" style="6" customWidth="1"/>
    <col min="11011" max="11011" width="12" style="6" customWidth="1"/>
    <col min="11012" max="11012" width="2.28515625" style="6" customWidth="1"/>
    <col min="11013" max="11013" width="12" style="6" customWidth="1"/>
    <col min="11014" max="11014" width="2.28515625" style="6" customWidth="1"/>
    <col min="11015" max="11015" width="12" style="6" customWidth="1"/>
    <col min="11016" max="11016" width="2.28515625" style="6" customWidth="1"/>
    <col min="11017" max="11017" width="12" style="6" customWidth="1"/>
    <col min="11018" max="11018" width="2.28515625" style="6" customWidth="1"/>
    <col min="11019" max="11019" width="12" style="6" customWidth="1"/>
    <col min="11020" max="11020" width="2.28515625" style="6" customWidth="1"/>
    <col min="11021" max="11021" width="12" style="6" customWidth="1"/>
    <col min="11022" max="11022" width="2.28515625" style="6" customWidth="1"/>
    <col min="11023" max="11023" width="12" style="6" customWidth="1"/>
    <col min="11024" max="11024" width="1.7109375" style="6" customWidth="1"/>
    <col min="11025" max="11025" width="12" style="6" customWidth="1"/>
    <col min="11026" max="11026" width="2.28515625" style="6" customWidth="1"/>
    <col min="11027" max="11027" width="0.140625" style="6" customWidth="1"/>
    <col min="11028" max="11028" width="2.28515625" style="6" customWidth="1"/>
    <col min="11029" max="11029" width="12" style="6" customWidth="1"/>
    <col min="11030" max="11030" width="2.5703125" style="6" bestFit="1" customWidth="1"/>
    <col min="11031" max="11031" width="9.5703125" style="6" customWidth="1"/>
    <col min="11032" max="11033" width="9.28515625" style="6" bestFit="1" customWidth="1"/>
    <col min="11034" max="11264" width="9.140625" style="6"/>
    <col min="11265" max="11265" width="39" style="6" bestFit="1" customWidth="1"/>
    <col min="11266" max="11266" width="0.85546875" style="6" customWidth="1"/>
    <col min="11267" max="11267" width="12" style="6" customWidth="1"/>
    <col min="11268" max="11268" width="2.28515625" style="6" customWidth="1"/>
    <col min="11269" max="11269" width="12" style="6" customWidth="1"/>
    <col min="11270" max="11270" width="2.28515625" style="6" customWidth="1"/>
    <col min="11271" max="11271" width="12" style="6" customWidth="1"/>
    <col min="11272" max="11272" width="2.28515625" style="6" customWidth="1"/>
    <col min="11273" max="11273" width="12" style="6" customWidth="1"/>
    <col min="11274" max="11274" width="2.28515625" style="6" customWidth="1"/>
    <col min="11275" max="11275" width="12" style="6" customWidth="1"/>
    <col min="11276" max="11276" width="2.28515625" style="6" customWidth="1"/>
    <col min="11277" max="11277" width="12" style="6" customWidth="1"/>
    <col min="11278" max="11278" width="2.28515625" style="6" customWidth="1"/>
    <col min="11279" max="11279" width="12" style="6" customWidth="1"/>
    <col min="11280" max="11280" width="1.7109375" style="6" customWidth="1"/>
    <col min="11281" max="11281" width="12" style="6" customWidth="1"/>
    <col min="11282" max="11282" width="2.28515625" style="6" customWidth="1"/>
    <col min="11283" max="11283" width="0.140625" style="6" customWidth="1"/>
    <col min="11284" max="11284" width="2.28515625" style="6" customWidth="1"/>
    <col min="11285" max="11285" width="12" style="6" customWidth="1"/>
    <col min="11286" max="11286" width="2.5703125" style="6" bestFit="1" customWidth="1"/>
    <col min="11287" max="11287" width="9.5703125" style="6" customWidth="1"/>
    <col min="11288" max="11289" width="9.28515625" style="6" bestFit="1" customWidth="1"/>
    <col min="11290" max="11520" width="9.140625" style="6"/>
    <col min="11521" max="11521" width="39" style="6" bestFit="1" customWidth="1"/>
    <col min="11522" max="11522" width="0.85546875" style="6" customWidth="1"/>
    <col min="11523" max="11523" width="12" style="6" customWidth="1"/>
    <col min="11524" max="11524" width="2.28515625" style="6" customWidth="1"/>
    <col min="11525" max="11525" width="12" style="6" customWidth="1"/>
    <col min="11526" max="11526" width="2.28515625" style="6" customWidth="1"/>
    <col min="11527" max="11527" width="12" style="6" customWidth="1"/>
    <col min="11528" max="11528" width="2.28515625" style="6" customWidth="1"/>
    <col min="11529" max="11529" width="12" style="6" customWidth="1"/>
    <col min="11530" max="11530" width="2.28515625" style="6" customWidth="1"/>
    <col min="11531" max="11531" width="12" style="6" customWidth="1"/>
    <col min="11532" max="11532" width="2.28515625" style="6" customWidth="1"/>
    <col min="11533" max="11533" width="12" style="6" customWidth="1"/>
    <col min="11534" max="11534" width="2.28515625" style="6" customWidth="1"/>
    <col min="11535" max="11535" width="12" style="6" customWidth="1"/>
    <col min="11536" max="11536" width="1.7109375" style="6" customWidth="1"/>
    <col min="11537" max="11537" width="12" style="6" customWidth="1"/>
    <col min="11538" max="11538" width="2.28515625" style="6" customWidth="1"/>
    <col min="11539" max="11539" width="0.140625" style="6" customWidth="1"/>
    <col min="11540" max="11540" width="2.28515625" style="6" customWidth="1"/>
    <col min="11541" max="11541" width="12" style="6" customWidth="1"/>
    <col min="11542" max="11542" width="2.5703125" style="6" bestFit="1" customWidth="1"/>
    <col min="11543" max="11543" width="9.5703125" style="6" customWidth="1"/>
    <col min="11544" max="11545" width="9.28515625" style="6" bestFit="1" customWidth="1"/>
    <col min="11546" max="11776" width="9.140625" style="6"/>
    <col min="11777" max="11777" width="39" style="6" bestFit="1" customWidth="1"/>
    <col min="11778" max="11778" width="0.85546875" style="6" customWidth="1"/>
    <col min="11779" max="11779" width="12" style="6" customWidth="1"/>
    <col min="11780" max="11780" width="2.28515625" style="6" customWidth="1"/>
    <col min="11781" max="11781" width="12" style="6" customWidth="1"/>
    <col min="11782" max="11782" width="2.28515625" style="6" customWidth="1"/>
    <col min="11783" max="11783" width="12" style="6" customWidth="1"/>
    <col min="11784" max="11784" width="2.28515625" style="6" customWidth="1"/>
    <col min="11785" max="11785" width="12" style="6" customWidth="1"/>
    <col min="11786" max="11786" width="2.28515625" style="6" customWidth="1"/>
    <col min="11787" max="11787" width="12" style="6" customWidth="1"/>
    <col min="11788" max="11788" width="2.28515625" style="6" customWidth="1"/>
    <col min="11789" max="11789" width="12" style="6" customWidth="1"/>
    <col min="11790" max="11790" width="2.28515625" style="6" customWidth="1"/>
    <col min="11791" max="11791" width="12" style="6" customWidth="1"/>
    <col min="11792" max="11792" width="1.7109375" style="6" customWidth="1"/>
    <col min="11793" max="11793" width="12" style="6" customWidth="1"/>
    <col min="11794" max="11794" width="2.28515625" style="6" customWidth="1"/>
    <col min="11795" max="11795" width="0.140625" style="6" customWidth="1"/>
    <col min="11796" max="11796" width="2.28515625" style="6" customWidth="1"/>
    <col min="11797" max="11797" width="12" style="6" customWidth="1"/>
    <col min="11798" max="11798" width="2.5703125" style="6" bestFit="1" customWidth="1"/>
    <col min="11799" max="11799" width="9.5703125" style="6" customWidth="1"/>
    <col min="11800" max="11801" width="9.28515625" style="6" bestFit="1" customWidth="1"/>
    <col min="11802" max="12032" width="9.140625" style="6"/>
    <col min="12033" max="12033" width="39" style="6" bestFit="1" customWidth="1"/>
    <col min="12034" max="12034" width="0.85546875" style="6" customWidth="1"/>
    <col min="12035" max="12035" width="12" style="6" customWidth="1"/>
    <col min="12036" max="12036" width="2.28515625" style="6" customWidth="1"/>
    <col min="12037" max="12037" width="12" style="6" customWidth="1"/>
    <col min="12038" max="12038" width="2.28515625" style="6" customWidth="1"/>
    <col min="12039" max="12039" width="12" style="6" customWidth="1"/>
    <col min="12040" max="12040" width="2.28515625" style="6" customWidth="1"/>
    <col min="12041" max="12041" width="12" style="6" customWidth="1"/>
    <col min="12042" max="12042" width="2.28515625" style="6" customWidth="1"/>
    <col min="12043" max="12043" width="12" style="6" customWidth="1"/>
    <col min="12044" max="12044" width="2.28515625" style="6" customWidth="1"/>
    <col min="12045" max="12045" width="12" style="6" customWidth="1"/>
    <col min="12046" max="12046" width="2.28515625" style="6" customWidth="1"/>
    <col min="12047" max="12047" width="12" style="6" customWidth="1"/>
    <col min="12048" max="12048" width="1.7109375" style="6" customWidth="1"/>
    <col min="12049" max="12049" width="12" style="6" customWidth="1"/>
    <col min="12050" max="12050" width="2.28515625" style="6" customWidth="1"/>
    <col min="12051" max="12051" width="0.140625" style="6" customWidth="1"/>
    <col min="12052" max="12052" width="2.28515625" style="6" customWidth="1"/>
    <col min="12053" max="12053" width="12" style="6" customWidth="1"/>
    <col min="12054" max="12054" width="2.5703125" style="6" bestFit="1" customWidth="1"/>
    <col min="12055" max="12055" width="9.5703125" style="6" customWidth="1"/>
    <col min="12056" max="12057" width="9.28515625" style="6" bestFit="1" customWidth="1"/>
    <col min="12058" max="12288" width="9.140625" style="6"/>
    <col min="12289" max="12289" width="39" style="6" bestFit="1" customWidth="1"/>
    <col min="12290" max="12290" width="0.85546875" style="6" customWidth="1"/>
    <col min="12291" max="12291" width="12" style="6" customWidth="1"/>
    <col min="12292" max="12292" width="2.28515625" style="6" customWidth="1"/>
    <col min="12293" max="12293" width="12" style="6" customWidth="1"/>
    <col min="12294" max="12294" width="2.28515625" style="6" customWidth="1"/>
    <col min="12295" max="12295" width="12" style="6" customWidth="1"/>
    <col min="12296" max="12296" width="2.28515625" style="6" customWidth="1"/>
    <col min="12297" max="12297" width="12" style="6" customWidth="1"/>
    <col min="12298" max="12298" width="2.28515625" style="6" customWidth="1"/>
    <col min="12299" max="12299" width="12" style="6" customWidth="1"/>
    <col min="12300" max="12300" width="2.28515625" style="6" customWidth="1"/>
    <col min="12301" max="12301" width="12" style="6" customWidth="1"/>
    <col min="12302" max="12302" width="2.28515625" style="6" customWidth="1"/>
    <col min="12303" max="12303" width="12" style="6" customWidth="1"/>
    <col min="12304" max="12304" width="1.7109375" style="6" customWidth="1"/>
    <col min="12305" max="12305" width="12" style="6" customWidth="1"/>
    <col min="12306" max="12306" width="2.28515625" style="6" customWidth="1"/>
    <col min="12307" max="12307" width="0.140625" style="6" customWidth="1"/>
    <col min="12308" max="12308" width="2.28515625" style="6" customWidth="1"/>
    <col min="12309" max="12309" width="12" style="6" customWidth="1"/>
    <col min="12310" max="12310" width="2.5703125" style="6" bestFit="1" customWidth="1"/>
    <col min="12311" max="12311" width="9.5703125" style="6" customWidth="1"/>
    <col min="12312" max="12313" width="9.28515625" style="6" bestFit="1" customWidth="1"/>
    <col min="12314" max="12544" width="9.140625" style="6"/>
    <col min="12545" max="12545" width="39" style="6" bestFit="1" customWidth="1"/>
    <col min="12546" max="12546" width="0.85546875" style="6" customWidth="1"/>
    <col min="12547" max="12547" width="12" style="6" customWidth="1"/>
    <col min="12548" max="12548" width="2.28515625" style="6" customWidth="1"/>
    <col min="12549" max="12549" width="12" style="6" customWidth="1"/>
    <col min="12550" max="12550" width="2.28515625" style="6" customWidth="1"/>
    <col min="12551" max="12551" width="12" style="6" customWidth="1"/>
    <col min="12552" max="12552" width="2.28515625" style="6" customWidth="1"/>
    <col min="12553" max="12553" width="12" style="6" customWidth="1"/>
    <col min="12554" max="12554" width="2.28515625" style="6" customWidth="1"/>
    <col min="12555" max="12555" width="12" style="6" customWidth="1"/>
    <col min="12556" max="12556" width="2.28515625" style="6" customWidth="1"/>
    <col min="12557" max="12557" width="12" style="6" customWidth="1"/>
    <col min="12558" max="12558" width="2.28515625" style="6" customWidth="1"/>
    <col min="12559" max="12559" width="12" style="6" customWidth="1"/>
    <col min="12560" max="12560" width="1.7109375" style="6" customWidth="1"/>
    <col min="12561" max="12561" width="12" style="6" customWidth="1"/>
    <col min="12562" max="12562" width="2.28515625" style="6" customWidth="1"/>
    <col min="12563" max="12563" width="0.140625" style="6" customWidth="1"/>
    <col min="12564" max="12564" width="2.28515625" style="6" customWidth="1"/>
    <col min="12565" max="12565" width="12" style="6" customWidth="1"/>
    <col min="12566" max="12566" width="2.5703125" style="6" bestFit="1" customWidth="1"/>
    <col min="12567" max="12567" width="9.5703125" style="6" customWidth="1"/>
    <col min="12568" max="12569" width="9.28515625" style="6" bestFit="1" customWidth="1"/>
    <col min="12570" max="12800" width="9.140625" style="6"/>
    <col min="12801" max="12801" width="39" style="6" bestFit="1" customWidth="1"/>
    <col min="12802" max="12802" width="0.85546875" style="6" customWidth="1"/>
    <col min="12803" max="12803" width="12" style="6" customWidth="1"/>
    <col min="12804" max="12804" width="2.28515625" style="6" customWidth="1"/>
    <col min="12805" max="12805" width="12" style="6" customWidth="1"/>
    <col min="12806" max="12806" width="2.28515625" style="6" customWidth="1"/>
    <col min="12807" max="12807" width="12" style="6" customWidth="1"/>
    <col min="12808" max="12808" width="2.28515625" style="6" customWidth="1"/>
    <col min="12809" max="12809" width="12" style="6" customWidth="1"/>
    <col min="12810" max="12810" width="2.28515625" style="6" customWidth="1"/>
    <col min="12811" max="12811" width="12" style="6" customWidth="1"/>
    <col min="12812" max="12812" width="2.28515625" style="6" customWidth="1"/>
    <col min="12813" max="12813" width="12" style="6" customWidth="1"/>
    <col min="12814" max="12814" width="2.28515625" style="6" customWidth="1"/>
    <col min="12815" max="12815" width="12" style="6" customWidth="1"/>
    <col min="12816" max="12816" width="1.7109375" style="6" customWidth="1"/>
    <col min="12817" max="12817" width="12" style="6" customWidth="1"/>
    <col min="12818" max="12818" width="2.28515625" style="6" customWidth="1"/>
    <col min="12819" max="12819" width="0.140625" style="6" customWidth="1"/>
    <col min="12820" max="12820" width="2.28515625" style="6" customWidth="1"/>
    <col min="12821" max="12821" width="12" style="6" customWidth="1"/>
    <col min="12822" max="12822" width="2.5703125" style="6" bestFit="1" customWidth="1"/>
    <col min="12823" max="12823" width="9.5703125" style="6" customWidth="1"/>
    <col min="12824" max="12825" width="9.28515625" style="6" bestFit="1" customWidth="1"/>
    <col min="12826" max="13056" width="9.140625" style="6"/>
    <col min="13057" max="13057" width="39" style="6" bestFit="1" customWidth="1"/>
    <col min="13058" max="13058" width="0.85546875" style="6" customWidth="1"/>
    <col min="13059" max="13059" width="12" style="6" customWidth="1"/>
    <col min="13060" max="13060" width="2.28515625" style="6" customWidth="1"/>
    <col min="13061" max="13061" width="12" style="6" customWidth="1"/>
    <col min="13062" max="13062" width="2.28515625" style="6" customWidth="1"/>
    <col min="13063" max="13063" width="12" style="6" customWidth="1"/>
    <col min="13064" max="13064" width="2.28515625" style="6" customWidth="1"/>
    <col min="13065" max="13065" width="12" style="6" customWidth="1"/>
    <col min="13066" max="13066" width="2.28515625" style="6" customWidth="1"/>
    <col min="13067" max="13067" width="12" style="6" customWidth="1"/>
    <col min="13068" max="13068" width="2.28515625" style="6" customWidth="1"/>
    <col min="13069" max="13069" width="12" style="6" customWidth="1"/>
    <col min="13070" max="13070" width="2.28515625" style="6" customWidth="1"/>
    <col min="13071" max="13071" width="12" style="6" customWidth="1"/>
    <col min="13072" max="13072" width="1.7109375" style="6" customWidth="1"/>
    <col min="13073" max="13073" width="12" style="6" customWidth="1"/>
    <col min="13074" max="13074" width="2.28515625" style="6" customWidth="1"/>
    <col min="13075" max="13075" width="0.140625" style="6" customWidth="1"/>
    <col min="13076" max="13076" width="2.28515625" style="6" customWidth="1"/>
    <col min="13077" max="13077" width="12" style="6" customWidth="1"/>
    <col min="13078" max="13078" width="2.5703125" style="6" bestFit="1" customWidth="1"/>
    <col min="13079" max="13079" width="9.5703125" style="6" customWidth="1"/>
    <col min="13080" max="13081" width="9.28515625" style="6" bestFit="1" customWidth="1"/>
    <col min="13082" max="13312" width="9.140625" style="6"/>
    <col min="13313" max="13313" width="39" style="6" bestFit="1" customWidth="1"/>
    <col min="13314" max="13314" width="0.85546875" style="6" customWidth="1"/>
    <col min="13315" max="13315" width="12" style="6" customWidth="1"/>
    <col min="13316" max="13316" width="2.28515625" style="6" customWidth="1"/>
    <col min="13317" max="13317" width="12" style="6" customWidth="1"/>
    <col min="13318" max="13318" width="2.28515625" style="6" customWidth="1"/>
    <col min="13319" max="13319" width="12" style="6" customWidth="1"/>
    <col min="13320" max="13320" width="2.28515625" style="6" customWidth="1"/>
    <col min="13321" max="13321" width="12" style="6" customWidth="1"/>
    <col min="13322" max="13322" width="2.28515625" style="6" customWidth="1"/>
    <col min="13323" max="13323" width="12" style="6" customWidth="1"/>
    <col min="13324" max="13324" width="2.28515625" style="6" customWidth="1"/>
    <col min="13325" max="13325" width="12" style="6" customWidth="1"/>
    <col min="13326" max="13326" width="2.28515625" style="6" customWidth="1"/>
    <col min="13327" max="13327" width="12" style="6" customWidth="1"/>
    <col min="13328" max="13328" width="1.7109375" style="6" customWidth="1"/>
    <col min="13329" max="13329" width="12" style="6" customWidth="1"/>
    <col min="13330" max="13330" width="2.28515625" style="6" customWidth="1"/>
    <col min="13331" max="13331" width="0.140625" style="6" customWidth="1"/>
    <col min="13332" max="13332" width="2.28515625" style="6" customWidth="1"/>
    <col min="13333" max="13333" width="12" style="6" customWidth="1"/>
    <col min="13334" max="13334" width="2.5703125" style="6" bestFit="1" customWidth="1"/>
    <col min="13335" max="13335" width="9.5703125" style="6" customWidth="1"/>
    <col min="13336" max="13337" width="9.28515625" style="6" bestFit="1" customWidth="1"/>
    <col min="13338" max="13568" width="9.140625" style="6"/>
    <col min="13569" max="13569" width="39" style="6" bestFit="1" customWidth="1"/>
    <col min="13570" max="13570" width="0.85546875" style="6" customWidth="1"/>
    <col min="13571" max="13571" width="12" style="6" customWidth="1"/>
    <col min="13572" max="13572" width="2.28515625" style="6" customWidth="1"/>
    <col min="13573" max="13573" width="12" style="6" customWidth="1"/>
    <col min="13574" max="13574" width="2.28515625" style="6" customWidth="1"/>
    <col min="13575" max="13575" width="12" style="6" customWidth="1"/>
    <col min="13576" max="13576" width="2.28515625" style="6" customWidth="1"/>
    <col min="13577" max="13577" width="12" style="6" customWidth="1"/>
    <col min="13578" max="13578" width="2.28515625" style="6" customWidth="1"/>
    <col min="13579" max="13579" width="12" style="6" customWidth="1"/>
    <col min="13580" max="13580" width="2.28515625" style="6" customWidth="1"/>
    <col min="13581" max="13581" width="12" style="6" customWidth="1"/>
    <col min="13582" max="13582" width="2.28515625" style="6" customWidth="1"/>
    <col min="13583" max="13583" width="12" style="6" customWidth="1"/>
    <col min="13584" max="13584" width="1.7109375" style="6" customWidth="1"/>
    <col min="13585" max="13585" width="12" style="6" customWidth="1"/>
    <col min="13586" max="13586" width="2.28515625" style="6" customWidth="1"/>
    <col min="13587" max="13587" width="0.140625" style="6" customWidth="1"/>
    <col min="13588" max="13588" width="2.28515625" style="6" customWidth="1"/>
    <col min="13589" max="13589" width="12" style="6" customWidth="1"/>
    <col min="13590" max="13590" width="2.5703125" style="6" bestFit="1" customWidth="1"/>
    <col min="13591" max="13591" width="9.5703125" style="6" customWidth="1"/>
    <col min="13592" max="13593" width="9.28515625" style="6" bestFit="1" customWidth="1"/>
    <col min="13594" max="13824" width="9.140625" style="6"/>
    <col min="13825" max="13825" width="39" style="6" bestFit="1" customWidth="1"/>
    <col min="13826" max="13826" width="0.85546875" style="6" customWidth="1"/>
    <col min="13827" max="13827" width="12" style="6" customWidth="1"/>
    <col min="13828" max="13828" width="2.28515625" style="6" customWidth="1"/>
    <col min="13829" max="13829" width="12" style="6" customWidth="1"/>
    <col min="13830" max="13830" width="2.28515625" style="6" customWidth="1"/>
    <col min="13831" max="13831" width="12" style="6" customWidth="1"/>
    <col min="13832" max="13832" width="2.28515625" style="6" customWidth="1"/>
    <col min="13833" max="13833" width="12" style="6" customWidth="1"/>
    <col min="13834" max="13834" width="2.28515625" style="6" customWidth="1"/>
    <col min="13835" max="13835" width="12" style="6" customWidth="1"/>
    <col min="13836" max="13836" width="2.28515625" style="6" customWidth="1"/>
    <col min="13837" max="13837" width="12" style="6" customWidth="1"/>
    <col min="13838" max="13838" width="2.28515625" style="6" customWidth="1"/>
    <col min="13839" max="13839" width="12" style="6" customWidth="1"/>
    <col min="13840" max="13840" width="1.7109375" style="6" customWidth="1"/>
    <col min="13841" max="13841" width="12" style="6" customWidth="1"/>
    <col min="13842" max="13842" width="2.28515625" style="6" customWidth="1"/>
    <col min="13843" max="13843" width="0.140625" style="6" customWidth="1"/>
    <col min="13844" max="13844" width="2.28515625" style="6" customWidth="1"/>
    <col min="13845" max="13845" width="12" style="6" customWidth="1"/>
    <col min="13846" max="13846" width="2.5703125" style="6" bestFit="1" customWidth="1"/>
    <col min="13847" max="13847" width="9.5703125" style="6" customWidth="1"/>
    <col min="13848" max="13849" width="9.28515625" style="6" bestFit="1" customWidth="1"/>
    <col min="13850" max="14080" width="9.140625" style="6"/>
    <col min="14081" max="14081" width="39" style="6" bestFit="1" customWidth="1"/>
    <col min="14082" max="14082" width="0.85546875" style="6" customWidth="1"/>
    <col min="14083" max="14083" width="12" style="6" customWidth="1"/>
    <col min="14084" max="14084" width="2.28515625" style="6" customWidth="1"/>
    <col min="14085" max="14085" width="12" style="6" customWidth="1"/>
    <col min="14086" max="14086" width="2.28515625" style="6" customWidth="1"/>
    <col min="14087" max="14087" width="12" style="6" customWidth="1"/>
    <col min="14088" max="14088" width="2.28515625" style="6" customWidth="1"/>
    <col min="14089" max="14089" width="12" style="6" customWidth="1"/>
    <col min="14090" max="14090" width="2.28515625" style="6" customWidth="1"/>
    <col min="14091" max="14091" width="12" style="6" customWidth="1"/>
    <col min="14092" max="14092" width="2.28515625" style="6" customWidth="1"/>
    <col min="14093" max="14093" width="12" style="6" customWidth="1"/>
    <col min="14094" max="14094" width="2.28515625" style="6" customWidth="1"/>
    <col min="14095" max="14095" width="12" style="6" customWidth="1"/>
    <col min="14096" max="14096" width="1.7109375" style="6" customWidth="1"/>
    <col min="14097" max="14097" width="12" style="6" customWidth="1"/>
    <col min="14098" max="14098" width="2.28515625" style="6" customWidth="1"/>
    <col min="14099" max="14099" width="0.140625" style="6" customWidth="1"/>
    <col min="14100" max="14100" width="2.28515625" style="6" customWidth="1"/>
    <col min="14101" max="14101" width="12" style="6" customWidth="1"/>
    <col min="14102" max="14102" width="2.5703125" style="6" bestFit="1" customWidth="1"/>
    <col min="14103" max="14103" width="9.5703125" style="6" customWidth="1"/>
    <col min="14104" max="14105" width="9.28515625" style="6" bestFit="1" customWidth="1"/>
    <col min="14106" max="14336" width="9.140625" style="6"/>
    <col min="14337" max="14337" width="39" style="6" bestFit="1" customWidth="1"/>
    <col min="14338" max="14338" width="0.85546875" style="6" customWidth="1"/>
    <col min="14339" max="14339" width="12" style="6" customWidth="1"/>
    <col min="14340" max="14340" width="2.28515625" style="6" customWidth="1"/>
    <col min="14341" max="14341" width="12" style="6" customWidth="1"/>
    <col min="14342" max="14342" width="2.28515625" style="6" customWidth="1"/>
    <col min="14343" max="14343" width="12" style="6" customWidth="1"/>
    <col min="14344" max="14344" width="2.28515625" style="6" customWidth="1"/>
    <col min="14345" max="14345" width="12" style="6" customWidth="1"/>
    <col min="14346" max="14346" width="2.28515625" style="6" customWidth="1"/>
    <col min="14347" max="14347" width="12" style="6" customWidth="1"/>
    <col min="14348" max="14348" width="2.28515625" style="6" customWidth="1"/>
    <col min="14349" max="14349" width="12" style="6" customWidth="1"/>
    <col min="14350" max="14350" width="2.28515625" style="6" customWidth="1"/>
    <col min="14351" max="14351" width="12" style="6" customWidth="1"/>
    <col min="14352" max="14352" width="1.7109375" style="6" customWidth="1"/>
    <col min="14353" max="14353" width="12" style="6" customWidth="1"/>
    <col min="14354" max="14354" width="2.28515625" style="6" customWidth="1"/>
    <col min="14355" max="14355" width="0.140625" style="6" customWidth="1"/>
    <col min="14356" max="14356" width="2.28515625" style="6" customWidth="1"/>
    <col min="14357" max="14357" width="12" style="6" customWidth="1"/>
    <col min="14358" max="14358" width="2.5703125" style="6" bestFit="1" customWidth="1"/>
    <col min="14359" max="14359" width="9.5703125" style="6" customWidth="1"/>
    <col min="14360" max="14361" width="9.28515625" style="6" bestFit="1" customWidth="1"/>
    <col min="14362" max="14592" width="9.140625" style="6"/>
    <col min="14593" max="14593" width="39" style="6" bestFit="1" customWidth="1"/>
    <col min="14594" max="14594" width="0.85546875" style="6" customWidth="1"/>
    <col min="14595" max="14595" width="12" style="6" customWidth="1"/>
    <col min="14596" max="14596" width="2.28515625" style="6" customWidth="1"/>
    <col min="14597" max="14597" width="12" style="6" customWidth="1"/>
    <col min="14598" max="14598" width="2.28515625" style="6" customWidth="1"/>
    <col min="14599" max="14599" width="12" style="6" customWidth="1"/>
    <col min="14600" max="14600" width="2.28515625" style="6" customWidth="1"/>
    <col min="14601" max="14601" width="12" style="6" customWidth="1"/>
    <col min="14602" max="14602" width="2.28515625" style="6" customWidth="1"/>
    <col min="14603" max="14603" width="12" style="6" customWidth="1"/>
    <col min="14604" max="14604" width="2.28515625" style="6" customWidth="1"/>
    <col min="14605" max="14605" width="12" style="6" customWidth="1"/>
    <col min="14606" max="14606" width="2.28515625" style="6" customWidth="1"/>
    <col min="14607" max="14607" width="12" style="6" customWidth="1"/>
    <col min="14608" max="14608" width="1.7109375" style="6" customWidth="1"/>
    <col min="14609" max="14609" width="12" style="6" customWidth="1"/>
    <col min="14610" max="14610" width="2.28515625" style="6" customWidth="1"/>
    <col min="14611" max="14611" width="0.140625" style="6" customWidth="1"/>
    <col min="14612" max="14612" width="2.28515625" style="6" customWidth="1"/>
    <col min="14613" max="14613" width="12" style="6" customWidth="1"/>
    <col min="14614" max="14614" width="2.5703125" style="6" bestFit="1" customWidth="1"/>
    <col min="14615" max="14615" width="9.5703125" style="6" customWidth="1"/>
    <col min="14616" max="14617" width="9.28515625" style="6" bestFit="1" customWidth="1"/>
    <col min="14618" max="14848" width="9.140625" style="6"/>
    <col min="14849" max="14849" width="39" style="6" bestFit="1" customWidth="1"/>
    <col min="14850" max="14850" width="0.85546875" style="6" customWidth="1"/>
    <col min="14851" max="14851" width="12" style="6" customWidth="1"/>
    <col min="14852" max="14852" width="2.28515625" style="6" customWidth="1"/>
    <col min="14853" max="14853" width="12" style="6" customWidth="1"/>
    <col min="14854" max="14854" width="2.28515625" style="6" customWidth="1"/>
    <col min="14855" max="14855" width="12" style="6" customWidth="1"/>
    <col min="14856" max="14856" width="2.28515625" style="6" customWidth="1"/>
    <col min="14857" max="14857" width="12" style="6" customWidth="1"/>
    <col min="14858" max="14858" width="2.28515625" style="6" customWidth="1"/>
    <col min="14859" max="14859" width="12" style="6" customWidth="1"/>
    <col min="14860" max="14860" width="2.28515625" style="6" customWidth="1"/>
    <col min="14861" max="14861" width="12" style="6" customWidth="1"/>
    <col min="14862" max="14862" width="2.28515625" style="6" customWidth="1"/>
    <col min="14863" max="14863" width="12" style="6" customWidth="1"/>
    <col min="14864" max="14864" width="1.7109375" style="6" customWidth="1"/>
    <col min="14865" max="14865" width="12" style="6" customWidth="1"/>
    <col min="14866" max="14866" width="2.28515625" style="6" customWidth="1"/>
    <col min="14867" max="14867" width="0.140625" style="6" customWidth="1"/>
    <col min="14868" max="14868" width="2.28515625" style="6" customWidth="1"/>
    <col min="14869" max="14869" width="12" style="6" customWidth="1"/>
    <col min="14870" max="14870" width="2.5703125" style="6" bestFit="1" customWidth="1"/>
    <col min="14871" max="14871" width="9.5703125" style="6" customWidth="1"/>
    <col min="14872" max="14873" width="9.28515625" style="6" bestFit="1" customWidth="1"/>
    <col min="14874" max="15104" width="9.140625" style="6"/>
    <col min="15105" max="15105" width="39" style="6" bestFit="1" customWidth="1"/>
    <col min="15106" max="15106" width="0.85546875" style="6" customWidth="1"/>
    <col min="15107" max="15107" width="12" style="6" customWidth="1"/>
    <col min="15108" max="15108" width="2.28515625" style="6" customWidth="1"/>
    <col min="15109" max="15109" width="12" style="6" customWidth="1"/>
    <col min="15110" max="15110" width="2.28515625" style="6" customWidth="1"/>
    <col min="15111" max="15111" width="12" style="6" customWidth="1"/>
    <col min="15112" max="15112" width="2.28515625" style="6" customWidth="1"/>
    <col min="15113" max="15113" width="12" style="6" customWidth="1"/>
    <col min="15114" max="15114" width="2.28515625" style="6" customWidth="1"/>
    <col min="15115" max="15115" width="12" style="6" customWidth="1"/>
    <col min="15116" max="15116" width="2.28515625" style="6" customWidth="1"/>
    <col min="15117" max="15117" width="12" style="6" customWidth="1"/>
    <col min="15118" max="15118" width="2.28515625" style="6" customWidth="1"/>
    <col min="15119" max="15119" width="12" style="6" customWidth="1"/>
    <col min="15120" max="15120" width="1.7109375" style="6" customWidth="1"/>
    <col min="15121" max="15121" width="12" style="6" customWidth="1"/>
    <col min="15122" max="15122" width="2.28515625" style="6" customWidth="1"/>
    <col min="15123" max="15123" width="0.140625" style="6" customWidth="1"/>
    <col min="15124" max="15124" width="2.28515625" style="6" customWidth="1"/>
    <col min="15125" max="15125" width="12" style="6" customWidth="1"/>
    <col min="15126" max="15126" width="2.5703125" style="6" bestFit="1" customWidth="1"/>
    <col min="15127" max="15127" width="9.5703125" style="6" customWidth="1"/>
    <col min="15128" max="15129" width="9.28515625" style="6" bestFit="1" customWidth="1"/>
    <col min="15130" max="15360" width="9.140625" style="6"/>
    <col min="15361" max="15361" width="39" style="6" bestFit="1" customWidth="1"/>
    <col min="15362" max="15362" width="0.85546875" style="6" customWidth="1"/>
    <col min="15363" max="15363" width="12" style="6" customWidth="1"/>
    <col min="15364" max="15364" width="2.28515625" style="6" customWidth="1"/>
    <col min="15365" max="15365" width="12" style="6" customWidth="1"/>
    <col min="15366" max="15366" width="2.28515625" style="6" customWidth="1"/>
    <col min="15367" max="15367" width="12" style="6" customWidth="1"/>
    <col min="15368" max="15368" width="2.28515625" style="6" customWidth="1"/>
    <col min="15369" max="15369" width="12" style="6" customWidth="1"/>
    <col min="15370" max="15370" width="2.28515625" style="6" customWidth="1"/>
    <col min="15371" max="15371" width="12" style="6" customWidth="1"/>
    <col min="15372" max="15372" width="2.28515625" style="6" customWidth="1"/>
    <col min="15373" max="15373" width="12" style="6" customWidth="1"/>
    <col min="15374" max="15374" width="2.28515625" style="6" customWidth="1"/>
    <col min="15375" max="15375" width="12" style="6" customWidth="1"/>
    <col min="15376" max="15376" width="1.7109375" style="6" customWidth="1"/>
    <col min="15377" max="15377" width="12" style="6" customWidth="1"/>
    <col min="15378" max="15378" width="2.28515625" style="6" customWidth="1"/>
    <col min="15379" max="15379" width="0.140625" style="6" customWidth="1"/>
    <col min="15380" max="15380" width="2.28515625" style="6" customWidth="1"/>
    <col min="15381" max="15381" width="12" style="6" customWidth="1"/>
    <col min="15382" max="15382" width="2.5703125" style="6" bestFit="1" customWidth="1"/>
    <col min="15383" max="15383" width="9.5703125" style="6" customWidth="1"/>
    <col min="15384" max="15385" width="9.28515625" style="6" bestFit="1" customWidth="1"/>
    <col min="15386" max="15616" width="9.140625" style="6"/>
    <col min="15617" max="15617" width="39" style="6" bestFit="1" customWidth="1"/>
    <col min="15618" max="15618" width="0.85546875" style="6" customWidth="1"/>
    <col min="15619" max="15619" width="12" style="6" customWidth="1"/>
    <col min="15620" max="15620" width="2.28515625" style="6" customWidth="1"/>
    <col min="15621" max="15621" width="12" style="6" customWidth="1"/>
    <col min="15622" max="15622" width="2.28515625" style="6" customWidth="1"/>
    <col min="15623" max="15623" width="12" style="6" customWidth="1"/>
    <col min="15624" max="15624" width="2.28515625" style="6" customWidth="1"/>
    <col min="15625" max="15625" width="12" style="6" customWidth="1"/>
    <col min="15626" max="15626" width="2.28515625" style="6" customWidth="1"/>
    <col min="15627" max="15627" width="12" style="6" customWidth="1"/>
    <col min="15628" max="15628" width="2.28515625" style="6" customWidth="1"/>
    <col min="15629" max="15629" width="12" style="6" customWidth="1"/>
    <col min="15630" max="15630" width="2.28515625" style="6" customWidth="1"/>
    <col min="15631" max="15631" width="12" style="6" customWidth="1"/>
    <col min="15632" max="15632" width="1.7109375" style="6" customWidth="1"/>
    <col min="15633" max="15633" width="12" style="6" customWidth="1"/>
    <col min="15634" max="15634" width="2.28515625" style="6" customWidth="1"/>
    <col min="15635" max="15635" width="0.140625" style="6" customWidth="1"/>
    <col min="15636" max="15636" width="2.28515625" style="6" customWidth="1"/>
    <col min="15637" max="15637" width="12" style="6" customWidth="1"/>
    <col min="15638" max="15638" width="2.5703125" style="6" bestFit="1" customWidth="1"/>
    <col min="15639" max="15639" width="9.5703125" style="6" customWidth="1"/>
    <col min="15640" max="15641" width="9.28515625" style="6" bestFit="1" customWidth="1"/>
    <col min="15642" max="15872" width="9.140625" style="6"/>
    <col min="15873" max="15873" width="39" style="6" bestFit="1" customWidth="1"/>
    <col min="15874" max="15874" width="0.85546875" style="6" customWidth="1"/>
    <col min="15875" max="15875" width="12" style="6" customWidth="1"/>
    <col min="15876" max="15876" width="2.28515625" style="6" customWidth="1"/>
    <col min="15877" max="15877" width="12" style="6" customWidth="1"/>
    <col min="15878" max="15878" width="2.28515625" style="6" customWidth="1"/>
    <col min="15879" max="15879" width="12" style="6" customWidth="1"/>
    <col min="15880" max="15880" width="2.28515625" style="6" customWidth="1"/>
    <col min="15881" max="15881" width="12" style="6" customWidth="1"/>
    <col min="15882" max="15882" width="2.28515625" style="6" customWidth="1"/>
    <col min="15883" max="15883" width="12" style="6" customWidth="1"/>
    <col min="15884" max="15884" width="2.28515625" style="6" customWidth="1"/>
    <col min="15885" max="15885" width="12" style="6" customWidth="1"/>
    <col min="15886" max="15886" width="2.28515625" style="6" customWidth="1"/>
    <col min="15887" max="15887" width="12" style="6" customWidth="1"/>
    <col min="15888" max="15888" width="1.7109375" style="6" customWidth="1"/>
    <col min="15889" max="15889" width="12" style="6" customWidth="1"/>
    <col min="15890" max="15890" width="2.28515625" style="6" customWidth="1"/>
    <col min="15891" max="15891" width="0.140625" style="6" customWidth="1"/>
    <col min="15892" max="15892" width="2.28515625" style="6" customWidth="1"/>
    <col min="15893" max="15893" width="12" style="6" customWidth="1"/>
    <col min="15894" max="15894" width="2.5703125" style="6" bestFit="1" customWidth="1"/>
    <col min="15895" max="15895" width="9.5703125" style="6" customWidth="1"/>
    <col min="15896" max="15897" width="9.28515625" style="6" bestFit="1" customWidth="1"/>
    <col min="15898" max="16128" width="9.140625" style="6"/>
    <col min="16129" max="16129" width="39" style="6" bestFit="1" customWidth="1"/>
    <col min="16130" max="16130" width="0.85546875" style="6" customWidth="1"/>
    <col min="16131" max="16131" width="12" style="6" customWidth="1"/>
    <col min="16132" max="16132" width="2.28515625" style="6" customWidth="1"/>
    <col min="16133" max="16133" width="12" style="6" customWidth="1"/>
    <col min="16134" max="16134" width="2.28515625" style="6" customWidth="1"/>
    <col min="16135" max="16135" width="12" style="6" customWidth="1"/>
    <col min="16136" max="16136" width="2.28515625" style="6" customWidth="1"/>
    <col min="16137" max="16137" width="12" style="6" customWidth="1"/>
    <col min="16138" max="16138" width="2.28515625" style="6" customWidth="1"/>
    <col min="16139" max="16139" width="12" style="6" customWidth="1"/>
    <col min="16140" max="16140" width="2.28515625" style="6" customWidth="1"/>
    <col min="16141" max="16141" width="12" style="6" customWidth="1"/>
    <col min="16142" max="16142" width="2.28515625" style="6" customWidth="1"/>
    <col min="16143" max="16143" width="12" style="6" customWidth="1"/>
    <col min="16144" max="16144" width="1.7109375" style="6" customWidth="1"/>
    <col min="16145" max="16145" width="12" style="6" customWidth="1"/>
    <col min="16146" max="16146" width="2.28515625" style="6" customWidth="1"/>
    <col min="16147" max="16147" width="0.140625" style="6" customWidth="1"/>
    <col min="16148" max="16148" width="2.28515625" style="6" customWidth="1"/>
    <col min="16149" max="16149" width="12" style="6" customWidth="1"/>
    <col min="16150" max="16150" width="2.5703125" style="6" bestFit="1" customWidth="1"/>
    <col min="16151" max="16151" width="9.5703125" style="6" customWidth="1"/>
    <col min="16152" max="16153" width="9.28515625" style="6" bestFit="1" customWidth="1"/>
    <col min="16154" max="16384" width="9.140625" style="6"/>
  </cols>
  <sheetData>
    <row r="1" spans="1:23" ht="9.75" customHeight="1" x14ac:dyDescent="0.15">
      <c r="A1" s="170" t="s">
        <v>15</v>
      </c>
      <c r="B1" s="4"/>
      <c r="C1" s="169" t="s">
        <v>16</v>
      </c>
      <c r="D1" s="4"/>
      <c r="E1" s="169" t="s">
        <v>17</v>
      </c>
      <c r="F1" s="4"/>
      <c r="G1" s="169" t="s">
        <v>18</v>
      </c>
      <c r="H1" s="4"/>
      <c r="I1" s="169" t="s">
        <v>19</v>
      </c>
      <c r="J1" s="4"/>
      <c r="K1" s="169" t="s">
        <v>20</v>
      </c>
      <c r="L1" s="4"/>
      <c r="M1" s="169" t="s">
        <v>21</v>
      </c>
      <c r="N1" s="4"/>
      <c r="O1" s="171" t="s">
        <v>22</v>
      </c>
      <c r="P1" s="171"/>
      <c r="Q1" s="171"/>
      <c r="R1" s="4"/>
      <c r="S1" s="169" t="s">
        <v>23</v>
      </c>
      <c r="T1" s="4"/>
      <c r="U1" s="5"/>
      <c r="V1" s="172"/>
      <c r="W1" s="172"/>
    </row>
    <row r="2" spans="1:23" s="9" customFormat="1" ht="12.75" customHeight="1" x14ac:dyDescent="0.15">
      <c r="A2" s="170"/>
      <c r="B2" s="7"/>
      <c r="C2" s="169"/>
      <c r="D2" s="7"/>
      <c r="E2" s="169"/>
      <c r="F2" s="7"/>
      <c r="G2" s="169" t="s">
        <v>24</v>
      </c>
      <c r="H2" s="7"/>
      <c r="I2" s="169" t="s">
        <v>25</v>
      </c>
      <c r="J2" s="7"/>
      <c r="K2" s="169"/>
      <c r="L2" s="7"/>
      <c r="M2" s="169" t="s">
        <v>26</v>
      </c>
      <c r="N2" s="7"/>
      <c r="O2" s="8" t="s">
        <v>27</v>
      </c>
      <c r="P2" s="7"/>
      <c r="Q2" s="8" t="s">
        <v>28</v>
      </c>
      <c r="R2" s="7"/>
      <c r="S2" s="169" t="s">
        <v>29</v>
      </c>
      <c r="T2" s="7"/>
      <c r="U2" s="8" t="s">
        <v>0</v>
      </c>
      <c r="V2" s="172"/>
      <c r="W2" s="172"/>
    </row>
    <row r="3" spans="1:23" s="12" customForma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1"/>
      <c r="W3" s="11"/>
    </row>
    <row r="4" spans="1:23" hidden="1" x14ac:dyDescent="0.15">
      <c r="A4" s="13" t="s">
        <v>30</v>
      </c>
      <c r="G4" s="14"/>
    </row>
    <row r="5" spans="1:23" hidden="1" x14ac:dyDescent="0.15">
      <c r="A5" s="6" t="s">
        <v>31</v>
      </c>
      <c r="C5" s="15">
        <v>5572673</v>
      </c>
      <c r="D5" s="15"/>
      <c r="E5" s="15">
        <v>6140683</v>
      </c>
      <c r="F5" s="15"/>
      <c r="G5" s="15">
        <v>956820</v>
      </c>
      <c r="H5" s="15"/>
      <c r="I5" s="15">
        <f>132486085+1860118</f>
        <v>134346203</v>
      </c>
      <c r="J5" s="15"/>
      <c r="K5" s="15">
        <v>7871288</v>
      </c>
      <c r="L5" s="15"/>
      <c r="M5" s="15">
        <v>4393959</v>
      </c>
      <c r="N5" s="15"/>
      <c r="O5" s="15">
        <v>21381224</v>
      </c>
      <c r="P5" s="15"/>
      <c r="Q5" s="15">
        <v>7137570</v>
      </c>
      <c r="R5" s="15"/>
      <c r="S5" s="15">
        <v>1496123</v>
      </c>
      <c r="T5" s="15"/>
      <c r="U5" s="15">
        <v>189296543</v>
      </c>
      <c r="V5" s="14"/>
      <c r="W5" s="14"/>
    </row>
    <row r="6" spans="1:23" hidden="1" x14ac:dyDescent="0.15">
      <c r="A6" s="6" t="s">
        <v>32</v>
      </c>
      <c r="C6" s="15">
        <v>0</v>
      </c>
      <c r="D6" s="15"/>
      <c r="E6" s="15">
        <v>-580098</v>
      </c>
      <c r="F6" s="15"/>
      <c r="G6" s="15">
        <v>-385595</v>
      </c>
      <c r="H6" s="15"/>
      <c r="I6" s="15">
        <f>-54519031-1737436</f>
        <v>-56256467</v>
      </c>
      <c r="J6" s="15"/>
      <c r="K6" s="15">
        <v>-4996392</v>
      </c>
      <c r="L6" s="15"/>
      <c r="M6" s="15">
        <v>-950226</v>
      </c>
      <c r="N6" s="15"/>
      <c r="O6" s="15">
        <v>-8313224</v>
      </c>
      <c r="P6" s="15"/>
      <c r="Q6" s="15">
        <v>-2428709</v>
      </c>
      <c r="R6" s="15"/>
      <c r="S6" s="15">
        <v>0</v>
      </c>
      <c r="T6" s="15"/>
      <c r="U6" s="15">
        <v>-73910711</v>
      </c>
      <c r="W6" s="14"/>
    </row>
    <row r="7" spans="1:23" hidden="1" x14ac:dyDescent="0.15">
      <c r="A7" s="6" t="s">
        <v>33</v>
      </c>
      <c r="C7" s="16">
        <f>SUM(C5:C6)</f>
        <v>5572673</v>
      </c>
      <c r="D7" s="14"/>
      <c r="E7" s="16">
        <f>SUM(E5:E6)</f>
        <v>5560585</v>
      </c>
      <c r="F7" s="14"/>
      <c r="G7" s="16">
        <f>SUM(G5:G6)</f>
        <v>571225</v>
      </c>
      <c r="H7" s="14"/>
      <c r="I7" s="16">
        <f>SUM(I5:I6)</f>
        <v>78089736</v>
      </c>
      <c r="J7" s="14"/>
      <c r="K7" s="16">
        <f>SUM(K5:K6)</f>
        <v>2874896</v>
      </c>
      <c r="L7" s="14"/>
      <c r="M7" s="16">
        <f>SUM(M5:M6)</f>
        <v>3443733</v>
      </c>
      <c r="N7" s="14"/>
      <c r="O7" s="16">
        <f>SUM(O5:O6)</f>
        <v>13068000</v>
      </c>
      <c r="P7" s="14"/>
      <c r="Q7" s="16">
        <f>SUM(Q5:Q6)</f>
        <v>4708861</v>
      </c>
      <c r="R7" s="14"/>
      <c r="S7" s="16">
        <f>SUM(S5:S6)</f>
        <v>1496123</v>
      </c>
      <c r="T7" s="14"/>
      <c r="U7" s="16">
        <f>SUM(U5:U6)</f>
        <v>115385832</v>
      </c>
    </row>
    <row r="8" spans="1:23" hidden="1" x14ac:dyDescent="0.15">
      <c r="C8" s="14"/>
      <c r="E8" s="14"/>
      <c r="G8" s="14"/>
      <c r="I8" s="14"/>
      <c r="K8" s="14"/>
      <c r="M8" s="14"/>
      <c r="O8" s="14"/>
      <c r="Q8" s="14"/>
      <c r="S8" s="14"/>
      <c r="U8" s="14"/>
    </row>
    <row r="9" spans="1:23" hidden="1" x14ac:dyDescent="0.15">
      <c r="A9" s="13" t="s">
        <v>34</v>
      </c>
    </row>
    <row r="10" spans="1:23" hidden="1" x14ac:dyDescent="0.15">
      <c r="A10" s="6" t="s">
        <v>35</v>
      </c>
      <c r="C10" s="17">
        <v>13400</v>
      </c>
      <c r="D10" s="17"/>
      <c r="E10" s="17">
        <v>362783</v>
      </c>
      <c r="F10" s="17"/>
      <c r="G10" s="17">
        <f>292778+9450+161724</f>
        <v>463952</v>
      </c>
      <c r="H10" s="17"/>
      <c r="I10" s="17">
        <f>16129122+17357+641035+40485+26986+3613</f>
        <v>16858598</v>
      </c>
      <c r="J10" s="17"/>
      <c r="K10" s="17">
        <v>519131</v>
      </c>
      <c r="L10" s="17"/>
      <c r="M10" s="17">
        <f>1373922+297971+110093</f>
        <v>1781986</v>
      </c>
      <c r="N10" s="17"/>
      <c r="O10" s="17">
        <v>1006701</v>
      </c>
      <c r="P10" s="17"/>
      <c r="Q10" s="17">
        <v>673650</v>
      </c>
      <c r="R10" s="17"/>
      <c r="S10" s="17">
        <v>2678712</v>
      </c>
      <c r="T10" s="17"/>
      <c r="U10" s="17">
        <f t="shared" ref="U10:U15" si="0">SUM(C10:S10)</f>
        <v>24358913</v>
      </c>
      <c r="V10" s="18"/>
    </row>
    <row r="11" spans="1:23" hidden="1" x14ac:dyDescent="0.15">
      <c r="A11" s="6" t="s">
        <v>36</v>
      </c>
      <c r="C11" s="17">
        <v>0</v>
      </c>
      <c r="D11" s="17"/>
      <c r="E11" s="17">
        <v>0</v>
      </c>
      <c r="F11" s="17"/>
      <c r="G11" s="17">
        <v>0</v>
      </c>
      <c r="H11" s="17"/>
      <c r="I11" s="17">
        <v>0</v>
      </c>
      <c r="J11" s="17"/>
      <c r="K11" s="17">
        <v>-36775</v>
      </c>
      <c r="L11" s="17"/>
      <c r="M11" s="17">
        <v>0</v>
      </c>
      <c r="N11" s="17"/>
      <c r="O11" s="17">
        <v>0</v>
      </c>
      <c r="P11" s="17"/>
      <c r="Q11" s="17">
        <v>0</v>
      </c>
      <c r="R11" s="17"/>
      <c r="S11" s="17">
        <v>0</v>
      </c>
      <c r="T11" s="17"/>
      <c r="U11" s="17">
        <f t="shared" si="0"/>
        <v>-36775</v>
      </c>
      <c r="V11" s="18"/>
    </row>
    <row r="12" spans="1:23" hidden="1" x14ac:dyDescent="0.15">
      <c r="A12" s="6" t="s">
        <v>37</v>
      </c>
      <c r="C12" s="17">
        <v>0</v>
      </c>
      <c r="D12" s="17"/>
      <c r="E12" s="17">
        <v>0</v>
      </c>
      <c r="F12" s="17"/>
      <c r="G12" s="17">
        <v>-171505</v>
      </c>
      <c r="H12" s="17"/>
      <c r="I12" s="17">
        <f>-6512586</f>
        <v>-6512586</v>
      </c>
      <c r="J12" s="17"/>
      <c r="K12" s="17">
        <v>-16752</v>
      </c>
      <c r="L12" s="17"/>
      <c r="M12" s="17">
        <v>-578844</v>
      </c>
      <c r="N12" s="17"/>
      <c r="O12" s="17">
        <v>-105497</v>
      </c>
      <c r="P12" s="17"/>
      <c r="Q12" s="17">
        <v>-70139</v>
      </c>
      <c r="R12" s="17"/>
      <c r="S12" s="17">
        <v>0</v>
      </c>
      <c r="T12" s="17"/>
      <c r="U12" s="17">
        <f t="shared" si="0"/>
        <v>-7455323</v>
      </c>
      <c r="W12" s="14"/>
    </row>
    <row r="13" spans="1:23" hidden="1" x14ac:dyDescent="0.15">
      <c r="A13" s="6" t="s">
        <v>38</v>
      </c>
      <c r="C13" s="17">
        <v>0</v>
      </c>
      <c r="D13" s="17"/>
      <c r="E13" s="17">
        <v>0</v>
      </c>
      <c r="F13" s="17"/>
      <c r="G13" s="17">
        <v>-114361</v>
      </c>
      <c r="H13" s="17"/>
      <c r="I13" s="17">
        <v>-2143896</v>
      </c>
      <c r="J13" s="17"/>
      <c r="K13" s="17">
        <v>391690</v>
      </c>
      <c r="L13" s="17"/>
      <c r="M13" s="17">
        <v>33699</v>
      </c>
      <c r="N13" s="17"/>
      <c r="O13" s="17">
        <v>219683</v>
      </c>
      <c r="P13" s="17"/>
      <c r="Q13" s="17">
        <v>0</v>
      </c>
      <c r="R13" s="17"/>
      <c r="S13" s="17">
        <v>0</v>
      </c>
      <c r="T13" s="17"/>
      <c r="U13" s="17">
        <f t="shared" si="0"/>
        <v>-1613185</v>
      </c>
    </row>
    <row r="14" spans="1:23" hidden="1" x14ac:dyDescent="0.15">
      <c r="A14" s="6" t="s">
        <v>39</v>
      </c>
      <c r="C14" s="17">
        <v>0</v>
      </c>
      <c r="D14" s="17"/>
      <c r="E14" s="17">
        <v>0</v>
      </c>
      <c r="F14" s="17"/>
      <c r="G14" s="17">
        <v>0</v>
      </c>
      <c r="H14" s="17"/>
      <c r="I14" s="17">
        <v>0</v>
      </c>
      <c r="J14" s="17"/>
      <c r="K14" s="17">
        <v>29785</v>
      </c>
      <c r="L14" s="17"/>
      <c r="M14" s="17">
        <v>0</v>
      </c>
      <c r="N14" s="17"/>
      <c r="O14" s="17">
        <v>0</v>
      </c>
      <c r="P14" s="17"/>
      <c r="Q14" s="17">
        <v>0</v>
      </c>
      <c r="R14" s="17"/>
      <c r="S14" s="17">
        <v>0</v>
      </c>
      <c r="T14" s="17"/>
      <c r="U14" s="17">
        <f t="shared" si="0"/>
        <v>29785</v>
      </c>
    </row>
    <row r="15" spans="1:23" hidden="1" x14ac:dyDescent="0.15">
      <c r="A15" s="6" t="s">
        <v>40</v>
      </c>
      <c r="C15" s="17">
        <v>0</v>
      </c>
      <c r="D15" s="17"/>
      <c r="E15" s="17">
        <f>-145024-13474</f>
        <v>-158498</v>
      </c>
      <c r="F15" s="17"/>
      <c r="G15" s="17">
        <v>-80976</v>
      </c>
      <c r="H15" s="17"/>
      <c r="I15" s="17">
        <f>-10933263-119704-326491</f>
        <v>-11379458</v>
      </c>
      <c r="J15" s="17"/>
      <c r="K15" s="17">
        <v>-1176683</v>
      </c>
      <c r="L15" s="17"/>
      <c r="M15" s="17">
        <f>-530593-52573</f>
        <v>-583166</v>
      </c>
      <c r="N15" s="17"/>
      <c r="O15" s="17">
        <v>-3340463</v>
      </c>
      <c r="P15" s="17"/>
      <c r="Q15" s="17">
        <v>-1063602</v>
      </c>
      <c r="R15" s="17"/>
      <c r="S15" s="17">
        <v>0</v>
      </c>
      <c r="T15" s="17"/>
      <c r="U15" s="17">
        <f t="shared" si="0"/>
        <v>-17782846</v>
      </c>
      <c r="W15" s="14"/>
    </row>
    <row r="16" spans="1:23" hidden="1" x14ac:dyDescent="0.15">
      <c r="A16" s="6" t="s">
        <v>41</v>
      </c>
      <c r="C16" s="19">
        <f>SUM(C7:C15)</f>
        <v>5586073</v>
      </c>
      <c r="D16" s="17"/>
      <c r="E16" s="19">
        <f>SUM(E7:E15)</f>
        <v>5764870</v>
      </c>
      <c r="F16" s="17"/>
      <c r="G16" s="19">
        <f>SUM(G7:G15)</f>
        <v>668335</v>
      </c>
      <c r="H16" s="17"/>
      <c r="I16" s="19">
        <f>SUM(I7:I15)</f>
        <v>74912394</v>
      </c>
      <c r="J16" s="17"/>
      <c r="K16" s="19">
        <f>SUM(K7:K15)</f>
        <v>2585292</v>
      </c>
      <c r="L16" s="17"/>
      <c r="M16" s="19">
        <f>SUM(M7:M15)</f>
        <v>4097408</v>
      </c>
      <c r="N16" s="17"/>
      <c r="O16" s="19">
        <f>SUM(O7:O15)</f>
        <v>10848424</v>
      </c>
      <c r="P16" s="17"/>
      <c r="Q16" s="19">
        <f>SUM(Q7:Q15)</f>
        <v>4248770</v>
      </c>
      <c r="R16" s="17"/>
      <c r="S16" s="19">
        <f>SUM(S7:S15)</f>
        <v>4174835</v>
      </c>
      <c r="T16" s="17"/>
      <c r="U16" s="19">
        <f>SUM(U7:U15)</f>
        <v>112886401</v>
      </c>
      <c r="V16" s="14"/>
    </row>
    <row r="17" spans="1:24" hidden="1" x14ac:dyDescent="0.15">
      <c r="C17" s="17"/>
      <c r="D17" s="17"/>
      <c r="E17" s="20"/>
      <c r="F17" s="20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4" x14ac:dyDescent="0.15">
      <c r="A18" s="13" t="s">
        <v>46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4" x14ac:dyDescent="0.15">
      <c r="A19" s="6" t="s">
        <v>31</v>
      </c>
      <c r="C19" s="17">
        <f>+C5+C10+C12+C11</f>
        <v>5586073</v>
      </c>
      <c r="D19" s="17"/>
      <c r="E19" s="17">
        <f>+E5+E10+E12+E11</f>
        <v>6503466</v>
      </c>
      <c r="F19" s="17"/>
      <c r="G19" s="17">
        <f>+G5+G10+G12+G11</f>
        <v>1249267</v>
      </c>
      <c r="H19" s="17"/>
      <c r="I19" s="17">
        <f>+I5+I10+I12+I11</f>
        <v>144692215</v>
      </c>
      <c r="J19" s="17"/>
      <c r="K19" s="17">
        <f>+K5+K10+K12+K11</f>
        <v>8336892</v>
      </c>
      <c r="L19" s="17"/>
      <c r="M19" s="17">
        <f>+M5+M10+M12+M11</f>
        <v>5597101</v>
      </c>
      <c r="N19" s="17"/>
      <c r="O19" s="17">
        <f>+O5+O10+O12+O11</f>
        <v>22282428</v>
      </c>
      <c r="P19" s="17"/>
      <c r="Q19" s="17">
        <f>+Q5+Q10+Q12+Q11</f>
        <v>7741081</v>
      </c>
      <c r="R19" s="17"/>
      <c r="S19" s="17">
        <f>+S5+S10+S12+S11</f>
        <v>4174835</v>
      </c>
      <c r="T19" s="17"/>
      <c r="U19" s="17">
        <f>+U5+U10+U12+U11</f>
        <v>206163358</v>
      </c>
      <c r="W19" s="15"/>
      <c r="X19" s="21"/>
    </row>
    <row r="20" spans="1:24" x14ac:dyDescent="0.15">
      <c r="A20" s="6" t="s">
        <v>32</v>
      </c>
      <c r="C20" s="17">
        <f>+C6+C14+C15</f>
        <v>0</v>
      </c>
      <c r="D20" s="17"/>
      <c r="E20" s="17">
        <f>+E6+E14+E15</f>
        <v>-738596</v>
      </c>
      <c r="F20" s="17"/>
      <c r="G20" s="17">
        <f>+G6+G14+G15+G13</f>
        <v>-580932</v>
      </c>
      <c r="H20" s="17"/>
      <c r="I20" s="17">
        <f>+I6+I14+I15+I13</f>
        <v>-69779821</v>
      </c>
      <c r="J20" s="17"/>
      <c r="K20" s="17">
        <f>+K6+K14+K15+K13</f>
        <v>-5751600</v>
      </c>
      <c r="L20" s="17"/>
      <c r="M20" s="17">
        <f>+M6+M14+M15+M13</f>
        <v>-1499693</v>
      </c>
      <c r="N20" s="17"/>
      <c r="O20" s="17">
        <f>+O6+O14+O15+O13</f>
        <v>-11434004</v>
      </c>
      <c r="P20" s="17"/>
      <c r="Q20" s="17">
        <f>+Q6+Q14+Q15+Q13</f>
        <v>-3492311</v>
      </c>
      <c r="R20" s="17"/>
      <c r="S20" s="17">
        <f>+S6+S14+S15+S13</f>
        <v>0</v>
      </c>
      <c r="T20" s="17"/>
      <c r="U20" s="17">
        <f>+U6+U14+U15+U13</f>
        <v>-93276957</v>
      </c>
      <c r="W20" s="15"/>
      <c r="X20" s="21"/>
    </row>
    <row r="21" spans="1:24" x14ac:dyDescent="0.15">
      <c r="A21" s="6" t="s">
        <v>33</v>
      </c>
      <c r="C21" s="19">
        <f>SUM(C19:C20)</f>
        <v>5586073</v>
      </c>
      <c r="D21" s="17"/>
      <c r="E21" s="19">
        <f>SUM(E19:E20)</f>
        <v>5764870</v>
      </c>
      <c r="F21" s="17"/>
      <c r="G21" s="19">
        <f>SUM(G19:G20)</f>
        <v>668335</v>
      </c>
      <c r="H21" s="17"/>
      <c r="I21" s="19">
        <f>SUM(I19:I20)</f>
        <v>74912394</v>
      </c>
      <c r="J21" s="17"/>
      <c r="K21" s="19">
        <f>SUM(K19:K20)</f>
        <v>2585292</v>
      </c>
      <c r="L21" s="17"/>
      <c r="M21" s="19">
        <f>SUM(M19:M20)</f>
        <v>4097408</v>
      </c>
      <c r="N21" s="17"/>
      <c r="O21" s="19">
        <f>SUM(O19:O20)</f>
        <v>10848424</v>
      </c>
      <c r="P21" s="17"/>
      <c r="Q21" s="19">
        <f>SUM(Q19:Q20)</f>
        <v>4248770</v>
      </c>
      <c r="R21" s="17"/>
      <c r="S21" s="19">
        <f>SUM(S19:S20)</f>
        <v>4174835</v>
      </c>
      <c r="T21" s="17"/>
      <c r="U21" s="19">
        <f>SUM(U19:U20)</f>
        <v>112886401</v>
      </c>
      <c r="W21" s="15"/>
    </row>
    <row r="23" spans="1:24" x14ac:dyDescent="0.15">
      <c r="A23" s="13" t="s">
        <v>42</v>
      </c>
    </row>
    <row r="24" spans="1:24" x14ac:dyDescent="0.15">
      <c r="A24" s="6" t="s">
        <v>35</v>
      </c>
      <c r="C24" s="15">
        <v>1225000</v>
      </c>
      <c r="D24" s="15"/>
      <c r="E24" s="15">
        <f>65000+16580+64397</f>
        <v>145977</v>
      </c>
      <c r="F24" s="15"/>
      <c r="G24" s="15">
        <v>483392</v>
      </c>
      <c r="H24" s="15"/>
      <c r="I24" s="15">
        <f>12607843+7619+253076+4900+309047+5623939</f>
        <v>18806424</v>
      </c>
      <c r="J24" s="15"/>
      <c r="K24" s="15">
        <v>630899</v>
      </c>
      <c r="L24" s="15"/>
      <c r="M24" s="15">
        <v>1062755</v>
      </c>
      <c r="N24" s="15"/>
      <c r="O24" s="15">
        <v>196643</v>
      </c>
      <c r="P24" s="15"/>
      <c r="Q24" s="15">
        <v>139965</v>
      </c>
      <c r="R24" s="15"/>
      <c r="S24" s="15">
        <v>6035024</v>
      </c>
      <c r="T24" s="15"/>
      <c r="U24" s="15">
        <f t="shared" ref="U24:U30" si="1">SUM(C24:S24)</f>
        <v>28726079</v>
      </c>
      <c r="V24" s="18"/>
    </row>
    <row r="25" spans="1:24" x14ac:dyDescent="0.15">
      <c r="A25" s="6" t="s">
        <v>36</v>
      </c>
      <c r="C25" s="15">
        <v>0</v>
      </c>
      <c r="D25" s="15"/>
      <c r="E25" s="15">
        <v>0</v>
      </c>
      <c r="F25" s="15"/>
      <c r="G25" s="15">
        <v>0</v>
      </c>
      <c r="H25" s="15"/>
      <c r="I25" s="15">
        <v>-8257271</v>
      </c>
      <c r="J25" s="15"/>
      <c r="K25" s="15">
        <v>-104688</v>
      </c>
      <c r="L25" s="15"/>
      <c r="M25" s="15">
        <v>-428113</v>
      </c>
      <c r="N25" s="15"/>
      <c r="O25" s="15">
        <v>0</v>
      </c>
      <c r="P25" s="15"/>
      <c r="Q25" s="15">
        <v>0</v>
      </c>
      <c r="R25" s="15"/>
      <c r="S25" s="15">
        <v>0</v>
      </c>
      <c r="T25" s="15"/>
      <c r="U25" s="15">
        <f t="shared" si="1"/>
        <v>-8790072</v>
      </c>
      <c r="V25" s="18"/>
    </row>
    <row r="26" spans="1:24" x14ac:dyDescent="0.15">
      <c r="A26" s="6" t="s">
        <v>37</v>
      </c>
      <c r="C26" s="15">
        <v>0</v>
      </c>
      <c r="D26" s="15"/>
      <c r="E26" s="15">
        <v>0</v>
      </c>
      <c r="F26" s="15"/>
      <c r="G26" s="15">
        <f>-77030-175866</f>
        <v>-252896</v>
      </c>
      <c r="H26" s="15"/>
      <c r="I26" s="15">
        <f>-13185+90234+175866</f>
        <v>252915</v>
      </c>
      <c r="J26" s="15"/>
      <c r="K26" s="15">
        <v>0</v>
      </c>
      <c r="L26" s="15"/>
      <c r="M26" s="15">
        <v>2512</v>
      </c>
      <c r="N26" s="15"/>
      <c r="O26" s="15">
        <v>-2531</v>
      </c>
      <c r="P26" s="15"/>
      <c r="Q26" s="15">
        <v>0</v>
      </c>
      <c r="R26" s="15"/>
      <c r="S26" s="15">
        <v>0</v>
      </c>
      <c r="T26" s="15"/>
      <c r="U26" s="15">
        <f t="shared" si="1"/>
        <v>0</v>
      </c>
      <c r="W26" s="14"/>
    </row>
    <row r="27" spans="1:24" x14ac:dyDescent="0.15">
      <c r="A27" s="6" t="s">
        <v>38</v>
      </c>
      <c r="C27" s="15">
        <v>0</v>
      </c>
      <c r="D27" s="15"/>
      <c r="E27" s="15">
        <v>0</v>
      </c>
      <c r="F27" s="15"/>
      <c r="G27" s="15">
        <v>-384298</v>
      </c>
      <c r="H27" s="15"/>
      <c r="I27" s="15">
        <f>-4095467-1868</f>
        <v>-4097335</v>
      </c>
      <c r="J27" s="15"/>
      <c r="K27" s="15">
        <v>0</v>
      </c>
      <c r="L27" s="15"/>
      <c r="M27" s="15">
        <v>-475748</v>
      </c>
      <c r="N27" s="15"/>
      <c r="O27" s="15">
        <v>-108398</v>
      </c>
      <c r="P27" s="15"/>
      <c r="Q27" s="15">
        <v>-87568</v>
      </c>
      <c r="R27" s="15"/>
      <c r="S27" s="15">
        <v>0</v>
      </c>
      <c r="T27" s="15"/>
      <c r="U27" s="15">
        <f t="shared" si="1"/>
        <v>-5153347</v>
      </c>
    </row>
    <row r="28" spans="1:24" x14ac:dyDescent="0.15">
      <c r="A28" s="6" t="s">
        <v>43</v>
      </c>
      <c r="C28" s="15">
        <v>0</v>
      </c>
      <c r="D28" s="15"/>
      <c r="E28" s="15">
        <v>0</v>
      </c>
      <c r="F28" s="15"/>
      <c r="G28" s="15">
        <v>0</v>
      </c>
      <c r="H28" s="15"/>
      <c r="I28" s="15">
        <v>-532377</v>
      </c>
      <c r="J28" s="15"/>
      <c r="K28" s="15">
        <v>0</v>
      </c>
      <c r="L28" s="15"/>
      <c r="M28" s="15">
        <v>0</v>
      </c>
      <c r="N28" s="15"/>
      <c r="O28" s="15">
        <v>0</v>
      </c>
      <c r="P28" s="15"/>
      <c r="Q28" s="15">
        <v>0</v>
      </c>
      <c r="R28" s="15"/>
      <c r="S28" s="15">
        <v>-5784745</v>
      </c>
      <c r="T28" s="15"/>
      <c r="U28" s="15">
        <f t="shared" si="1"/>
        <v>-6317122</v>
      </c>
    </row>
    <row r="29" spans="1:24" x14ac:dyDescent="0.15">
      <c r="A29" s="6" t="s">
        <v>39</v>
      </c>
      <c r="C29" s="15">
        <v>0</v>
      </c>
      <c r="D29" s="15"/>
      <c r="E29" s="15">
        <v>0</v>
      </c>
      <c r="F29" s="15"/>
      <c r="G29" s="15">
        <v>0</v>
      </c>
      <c r="H29" s="15"/>
      <c r="I29" s="15">
        <v>3743267</v>
      </c>
      <c r="J29" s="15"/>
      <c r="K29" s="15">
        <v>71143</v>
      </c>
      <c r="L29" s="15"/>
      <c r="M29" s="15">
        <v>3289</v>
      </c>
      <c r="N29" s="15"/>
      <c r="O29" s="15">
        <v>0</v>
      </c>
      <c r="P29" s="15"/>
      <c r="Q29" s="15">
        <v>0</v>
      </c>
      <c r="R29" s="15"/>
      <c r="S29" s="15">
        <v>0</v>
      </c>
      <c r="T29" s="15"/>
      <c r="U29" s="15">
        <f t="shared" si="1"/>
        <v>3817699</v>
      </c>
    </row>
    <row r="30" spans="1:24" x14ac:dyDescent="0.15">
      <c r="A30" s="6" t="s">
        <v>40</v>
      </c>
      <c r="C30" s="15">
        <v>0</v>
      </c>
      <c r="D30" s="15"/>
      <c r="E30" s="15">
        <f>-148906-415-13474-2162</f>
        <v>-164957</v>
      </c>
      <c r="F30" s="15"/>
      <c r="G30" s="15">
        <f>-84376-7797-945</f>
        <v>-93118</v>
      </c>
      <c r="H30" s="15"/>
      <c r="I30" s="15">
        <f>-13119869-22625-60326-288-57683-572-199806-1757851</f>
        <v>-15219020</v>
      </c>
      <c r="J30" s="15"/>
      <c r="K30" s="15">
        <v>-1148093</v>
      </c>
      <c r="L30" s="15"/>
      <c r="M30" s="15">
        <f>-509960-132905</f>
        <v>-642865</v>
      </c>
      <c r="N30" s="15"/>
      <c r="O30" s="15">
        <v>-3184103</v>
      </c>
      <c r="P30" s="15"/>
      <c r="Q30" s="15">
        <v>-1111275</v>
      </c>
      <c r="R30" s="15"/>
      <c r="S30" s="15">
        <v>0</v>
      </c>
      <c r="T30" s="15"/>
      <c r="U30" s="15">
        <f t="shared" si="1"/>
        <v>-21563431</v>
      </c>
      <c r="W30" s="14"/>
    </row>
    <row r="31" spans="1:24" x14ac:dyDescent="0.15">
      <c r="A31" s="6" t="s">
        <v>44</v>
      </c>
      <c r="C31" s="22">
        <f>SUM(C21:C30)</f>
        <v>6811073</v>
      </c>
      <c r="D31" s="15"/>
      <c r="E31" s="22">
        <f>SUM(E21:E30)</f>
        <v>5745890</v>
      </c>
      <c r="F31" s="15"/>
      <c r="G31" s="22">
        <f>SUM(G21:G30)</f>
        <v>421415</v>
      </c>
      <c r="H31" s="15"/>
      <c r="I31" s="22">
        <f>SUM(I21:I30)</f>
        <v>69608997</v>
      </c>
      <c r="J31" s="15"/>
      <c r="K31" s="22">
        <f>SUM(K21:K30)</f>
        <v>2034553</v>
      </c>
      <c r="L31" s="15"/>
      <c r="M31" s="22">
        <f>SUM(M21:M30)</f>
        <v>3619238</v>
      </c>
      <c r="N31" s="15"/>
      <c r="O31" s="22">
        <f>SUM(O21:O30)</f>
        <v>7750035</v>
      </c>
      <c r="P31" s="15"/>
      <c r="Q31" s="22">
        <f>SUM(Q21:Q30)</f>
        <v>3189892</v>
      </c>
      <c r="R31" s="15"/>
      <c r="S31" s="22">
        <f>SUM(S21:S30)</f>
        <v>4425114</v>
      </c>
      <c r="T31" s="15"/>
      <c r="U31" s="22">
        <f>SUM(U21:U30)</f>
        <v>103606207</v>
      </c>
      <c r="V31" s="14"/>
    </row>
    <row r="32" spans="1:24" x14ac:dyDescent="0.15">
      <c r="C32" s="15"/>
      <c r="D32" s="15"/>
      <c r="E32" s="23"/>
      <c r="F32" s="23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4" x14ac:dyDescent="0.15">
      <c r="A33" s="13" t="s">
        <v>45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4" x14ac:dyDescent="0.15">
      <c r="A34" s="6" t="s">
        <v>31</v>
      </c>
      <c r="C34" s="15">
        <f>+C19+C24+C26+C25+C27+C28</f>
        <v>6811073</v>
      </c>
      <c r="D34" s="15"/>
      <c r="E34" s="15">
        <f>+E19+E24+E26+E25+E27+E28</f>
        <v>6649443</v>
      </c>
      <c r="F34" s="15"/>
      <c r="G34" s="15">
        <f>+G19+G24+G26+G25+G27+G28</f>
        <v>1095465</v>
      </c>
      <c r="H34" s="15"/>
      <c r="I34" s="15">
        <f>+I19+I24+I26+I25+I27+I28</f>
        <v>150864571</v>
      </c>
      <c r="J34" s="15"/>
      <c r="K34" s="15">
        <f>+K19+K24+K26+K25+K27+K28</f>
        <v>8863103</v>
      </c>
      <c r="L34" s="15"/>
      <c r="M34" s="15">
        <f>+M19+M24+M26+M25+M27+M28</f>
        <v>5758507</v>
      </c>
      <c r="N34" s="15"/>
      <c r="O34" s="15">
        <f>+O19+O24+O26+O25+O27+O28</f>
        <v>22368142</v>
      </c>
      <c r="P34" s="15"/>
      <c r="Q34" s="15">
        <f>+Q19+Q24+Q26+Q25+Q27+Q28</f>
        <v>7793478</v>
      </c>
      <c r="R34" s="15"/>
      <c r="S34" s="15">
        <f>+S19+S24+S26+S25+S27+S28</f>
        <v>4425114</v>
      </c>
      <c r="T34" s="15"/>
      <c r="U34" s="15">
        <f>+U19+U24+U26+U25+U27+U28</f>
        <v>214628896</v>
      </c>
      <c r="W34" s="15"/>
      <c r="X34" s="21"/>
    </row>
    <row r="35" spans="1:24" x14ac:dyDescent="0.15">
      <c r="A35" s="6" t="s">
        <v>32</v>
      </c>
      <c r="C35" s="15">
        <f>+C20+C29+C30</f>
        <v>0</v>
      </c>
      <c r="D35" s="15"/>
      <c r="E35" s="15">
        <f>+E20+E29+E30</f>
        <v>-903553</v>
      </c>
      <c r="F35" s="15"/>
      <c r="G35" s="15">
        <f>+G20+G29+G30</f>
        <v>-674050</v>
      </c>
      <c r="H35" s="15"/>
      <c r="I35" s="15">
        <f>+I20+I29+I30</f>
        <v>-81255574</v>
      </c>
      <c r="J35" s="15"/>
      <c r="K35" s="15">
        <f>+K20+K29+K30+K27</f>
        <v>-6828550</v>
      </c>
      <c r="L35" s="15"/>
      <c r="M35" s="15">
        <f>+M20+M29+M30</f>
        <v>-2139269</v>
      </c>
      <c r="N35" s="15"/>
      <c r="O35" s="15">
        <f>+O20+O29+O30</f>
        <v>-14618107</v>
      </c>
      <c r="P35" s="15"/>
      <c r="Q35" s="15">
        <f>+Q20+Q29+Q30</f>
        <v>-4603586</v>
      </c>
      <c r="R35" s="15"/>
      <c r="S35" s="15">
        <f>+S20+S29+S30+S27</f>
        <v>0</v>
      </c>
      <c r="T35" s="15"/>
      <c r="U35" s="15">
        <f>SUM(C35:S35)</f>
        <v>-111022689</v>
      </c>
      <c r="W35" s="15"/>
      <c r="X35" s="21"/>
    </row>
    <row r="36" spans="1:24" x14ac:dyDescent="0.15">
      <c r="A36" s="6" t="s">
        <v>33</v>
      </c>
      <c r="C36" s="22">
        <f>SUM(C34:C35)</f>
        <v>6811073</v>
      </c>
      <c r="D36" s="15"/>
      <c r="E36" s="22">
        <f>SUM(E34:E35)</f>
        <v>5745890</v>
      </c>
      <c r="F36" s="15"/>
      <c r="G36" s="22">
        <f>SUM(G34:G35)</f>
        <v>421415</v>
      </c>
      <c r="H36" s="15"/>
      <c r="I36" s="22">
        <f>SUM(I34:I35)</f>
        <v>69608997</v>
      </c>
      <c r="J36" s="15"/>
      <c r="K36" s="22">
        <f>SUM(K34:K35)</f>
        <v>2034553</v>
      </c>
      <c r="L36" s="15"/>
      <c r="M36" s="22">
        <f>SUM(M34:M35)</f>
        <v>3619238</v>
      </c>
      <c r="N36" s="15"/>
      <c r="O36" s="22">
        <f>SUM(O34:O35)</f>
        <v>7750035</v>
      </c>
      <c r="P36" s="15"/>
      <c r="Q36" s="22">
        <f>SUM(Q34:Q35)</f>
        <v>3189892</v>
      </c>
      <c r="R36" s="15"/>
      <c r="S36" s="22">
        <f>SUM(S34:S35)</f>
        <v>4425114</v>
      </c>
      <c r="T36" s="15"/>
      <c r="U36" s="22">
        <f>SUM(U34:U35)</f>
        <v>103606207</v>
      </c>
      <c r="W36" s="15"/>
    </row>
    <row r="37" spans="1:24" ht="3.75" customHeight="1" x14ac:dyDescent="0.15"/>
    <row r="38" spans="1:24" x14ac:dyDescent="0.15">
      <c r="A38" s="13" t="s">
        <v>47</v>
      </c>
    </row>
    <row r="39" spans="1:24" x14ac:dyDescent="0.15">
      <c r="A39" s="6" t="s">
        <v>35</v>
      </c>
      <c r="C39" s="15"/>
      <c r="D39" s="15"/>
      <c r="E39" s="15"/>
      <c r="F39" s="15"/>
      <c r="G39" s="15">
        <v>450644</v>
      </c>
      <c r="H39" s="15"/>
      <c r="I39" s="15">
        <v>12385325</v>
      </c>
      <c r="J39" s="15"/>
      <c r="K39" s="15">
        <v>780818</v>
      </c>
      <c r="L39" s="15"/>
      <c r="M39" s="15">
        <v>1079885</v>
      </c>
      <c r="N39" s="15"/>
      <c r="O39" s="15">
        <v>1128270</v>
      </c>
      <c r="P39" s="15"/>
      <c r="Q39" s="15">
        <v>538420</v>
      </c>
      <c r="R39" s="15"/>
      <c r="S39" s="15">
        <v>6551234</v>
      </c>
      <c r="T39" s="15"/>
      <c r="U39" s="15">
        <f t="shared" ref="U39:U45" si="2">SUM(C39:S39)</f>
        <v>22914596</v>
      </c>
      <c r="V39" s="18"/>
    </row>
    <row r="40" spans="1:24" x14ac:dyDescent="0.15">
      <c r="A40" s="6" t="s">
        <v>36</v>
      </c>
      <c r="C40" s="15">
        <v>-110964</v>
      </c>
      <c r="D40" s="15"/>
      <c r="E40" s="15"/>
      <c r="F40" s="15"/>
      <c r="G40" s="15"/>
      <c r="H40" s="15"/>
      <c r="I40" s="15"/>
      <c r="J40" s="15"/>
      <c r="K40" s="15">
        <v>-213441</v>
      </c>
      <c r="L40" s="15"/>
      <c r="M40" s="15"/>
      <c r="N40" s="15"/>
      <c r="O40" s="15"/>
      <c r="P40" s="15"/>
      <c r="Q40" s="15"/>
      <c r="R40" s="15"/>
      <c r="S40" s="15"/>
      <c r="T40" s="15"/>
      <c r="U40" s="15">
        <f t="shared" si="2"/>
        <v>-324405</v>
      </c>
      <c r="V40" s="18"/>
    </row>
    <row r="41" spans="1:24" x14ac:dyDescent="0.15">
      <c r="A41" s="6" t="s">
        <v>37</v>
      </c>
      <c r="C41" s="15">
        <v>-1140</v>
      </c>
      <c r="D41" s="15"/>
      <c r="E41" s="15"/>
      <c r="F41" s="15"/>
      <c r="G41" s="15">
        <v>-227351</v>
      </c>
      <c r="H41" s="15"/>
      <c r="I41" s="15">
        <v>163253</v>
      </c>
      <c r="J41" s="15"/>
      <c r="K41" s="15">
        <v>56569</v>
      </c>
      <c r="L41" s="15"/>
      <c r="M41" s="15">
        <v>5861</v>
      </c>
      <c r="N41" s="15"/>
      <c r="O41" s="15"/>
      <c r="P41" s="15"/>
      <c r="Q41" s="15"/>
      <c r="R41" s="15"/>
      <c r="S41" s="15">
        <v>2808</v>
      </c>
      <c r="T41" s="15"/>
      <c r="U41" s="15">
        <f t="shared" si="2"/>
        <v>0</v>
      </c>
      <c r="W41" s="14"/>
    </row>
    <row r="42" spans="1:24" x14ac:dyDescent="0.15">
      <c r="A42" s="6" t="s">
        <v>38</v>
      </c>
      <c r="C42" s="15"/>
      <c r="D42" s="15"/>
      <c r="E42" s="15">
        <v>-918</v>
      </c>
      <c r="F42" s="15"/>
      <c r="G42" s="15">
        <v>-200346</v>
      </c>
      <c r="H42" s="15"/>
      <c r="I42" s="15">
        <v>-6891602</v>
      </c>
      <c r="J42" s="15"/>
      <c r="K42" s="15"/>
      <c r="L42" s="15"/>
      <c r="M42" s="15">
        <v>-980620</v>
      </c>
      <c r="N42" s="15"/>
      <c r="O42" s="15">
        <v>-320862</v>
      </c>
      <c r="P42" s="15"/>
      <c r="Q42" s="15">
        <v>-359022</v>
      </c>
      <c r="R42" s="15"/>
      <c r="S42" s="15">
        <v>-7291604</v>
      </c>
      <c r="T42" s="15"/>
      <c r="U42" s="15">
        <f t="shared" si="2"/>
        <v>-16044974</v>
      </c>
    </row>
    <row r="43" spans="1:24" x14ac:dyDescent="0.15">
      <c r="A43" s="6" t="s">
        <v>43</v>
      </c>
      <c r="C43" s="15"/>
      <c r="D43" s="15"/>
      <c r="E43" s="15"/>
      <c r="F43" s="15"/>
      <c r="G43" s="15">
        <v>-24557</v>
      </c>
      <c r="H43" s="15"/>
      <c r="I43" s="15">
        <v>-2187807</v>
      </c>
      <c r="J43" s="15"/>
      <c r="K43" s="15"/>
      <c r="L43" s="15"/>
      <c r="M43" s="15">
        <v>-98063</v>
      </c>
      <c r="N43" s="15"/>
      <c r="O43" s="15">
        <v>-1890</v>
      </c>
      <c r="P43" s="15"/>
      <c r="Q43" s="15">
        <v>-20192</v>
      </c>
      <c r="R43" s="15"/>
      <c r="S43" s="15">
        <v>-529488</v>
      </c>
      <c r="T43" s="15"/>
      <c r="U43" s="15">
        <f t="shared" si="2"/>
        <v>-2861997</v>
      </c>
    </row>
    <row r="44" spans="1:24" x14ac:dyDescent="0.15">
      <c r="A44" s="6" t="s">
        <v>39</v>
      </c>
      <c r="C44" s="15"/>
      <c r="D44" s="15"/>
      <c r="E44" s="15"/>
      <c r="F44" s="15"/>
      <c r="G44" s="15"/>
      <c r="H44" s="15"/>
      <c r="I44" s="15"/>
      <c r="J44" s="15"/>
      <c r="K44" s="15">
        <v>161266</v>
      </c>
      <c r="L44" s="15"/>
      <c r="M44" s="15"/>
      <c r="N44" s="15"/>
      <c r="O44" s="15"/>
      <c r="P44" s="15"/>
      <c r="Q44" s="15"/>
      <c r="R44" s="15"/>
      <c r="S44" s="15"/>
      <c r="T44" s="15"/>
      <c r="U44" s="15">
        <f t="shared" si="2"/>
        <v>161266</v>
      </c>
    </row>
    <row r="45" spans="1:24" x14ac:dyDescent="0.15">
      <c r="A45" s="6" t="s">
        <v>40</v>
      </c>
      <c r="C45" s="15"/>
      <c r="D45" s="15"/>
      <c r="E45" s="15">
        <v>-288552</v>
      </c>
      <c r="F45" s="15"/>
      <c r="G45" s="15">
        <v>-81199</v>
      </c>
      <c r="H45" s="15"/>
      <c r="I45" s="15">
        <v>-15186641</v>
      </c>
      <c r="J45" s="15"/>
      <c r="K45" s="15">
        <v>-861552</v>
      </c>
      <c r="L45" s="15"/>
      <c r="M45" s="15">
        <v>-716723</v>
      </c>
      <c r="N45" s="15"/>
      <c r="O45" s="15">
        <v>-3267663</v>
      </c>
      <c r="P45" s="15"/>
      <c r="Q45" s="15">
        <v>-1113354</v>
      </c>
      <c r="R45" s="15"/>
      <c r="S45" s="15"/>
      <c r="T45" s="15"/>
      <c r="U45" s="15">
        <f t="shared" si="2"/>
        <v>-21515684</v>
      </c>
      <c r="W45" s="14"/>
    </row>
    <row r="46" spans="1:24" x14ac:dyDescent="0.15">
      <c r="A46" s="6" t="s">
        <v>44</v>
      </c>
      <c r="C46" s="22">
        <f>SUM(C36:C45)</f>
        <v>6698969</v>
      </c>
      <c r="D46" s="22">
        <f t="shared" ref="D46:S46" si="3">SUM(D36:D45)</f>
        <v>0</v>
      </c>
      <c r="E46" s="22">
        <f t="shared" si="3"/>
        <v>5456420</v>
      </c>
      <c r="F46" s="22">
        <f t="shared" si="3"/>
        <v>0</v>
      </c>
      <c r="G46" s="22">
        <f t="shared" si="3"/>
        <v>338606</v>
      </c>
      <c r="H46" s="22">
        <f t="shared" si="3"/>
        <v>0</v>
      </c>
      <c r="I46" s="22">
        <f t="shared" si="3"/>
        <v>57891525</v>
      </c>
      <c r="J46" s="22">
        <f t="shared" si="3"/>
        <v>0</v>
      </c>
      <c r="K46" s="22">
        <f t="shared" si="3"/>
        <v>1958213</v>
      </c>
      <c r="L46" s="22">
        <f t="shared" si="3"/>
        <v>0</v>
      </c>
      <c r="M46" s="22">
        <f t="shared" si="3"/>
        <v>2909578</v>
      </c>
      <c r="N46" s="22">
        <f t="shared" si="3"/>
        <v>0</v>
      </c>
      <c r="O46" s="22">
        <f t="shared" si="3"/>
        <v>5287890</v>
      </c>
      <c r="P46" s="22">
        <f t="shared" si="3"/>
        <v>0</v>
      </c>
      <c r="Q46" s="22">
        <f t="shared" si="3"/>
        <v>2235744</v>
      </c>
      <c r="R46" s="22">
        <f t="shared" si="3"/>
        <v>0</v>
      </c>
      <c r="S46" s="22">
        <f t="shared" si="3"/>
        <v>3158064</v>
      </c>
      <c r="T46" s="15"/>
      <c r="U46" s="22">
        <f>SUM(U36:U45)</f>
        <v>85935009</v>
      </c>
      <c r="V46" s="14"/>
    </row>
    <row r="47" spans="1:24" x14ac:dyDescent="0.15">
      <c r="C47" s="15"/>
      <c r="D47" s="15"/>
      <c r="E47" s="23"/>
      <c r="F47" s="23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4" x14ac:dyDescent="0.15">
      <c r="A48" s="13" t="s">
        <v>2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4" x14ac:dyDescent="0.15">
      <c r="A49" s="6" t="s">
        <v>31</v>
      </c>
      <c r="C49" s="15">
        <v>6698969</v>
      </c>
      <c r="D49" s="15"/>
      <c r="E49" s="15">
        <v>6860126</v>
      </c>
      <c r="F49" s="15"/>
      <c r="G49" s="15">
        <v>1038162</v>
      </c>
      <c r="H49" s="15"/>
      <c r="I49" s="15">
        <v>159189742</v>
      </c>
      <c r="J49" s="15"/>
      <c r="K49" s="15">
        <v>9447643</v>
      </c>
      <c r="L49" s="15"/>
      <c r="M49" s="15">
        <v>5792557</v>
      </c>
      <c r="N49" s="15"/>
      <c r="O49" s="15">
        <v>23173660</v>
      </c>
      <c r="P49" s="15"/>
      <c r="Q49" s="15">
        <v>7952684</v>
      </c>
      <c r="R49" s="15"/>
      <c r="S49" s="15">
        <v>3158064</v>
      </c>
      <c r="T49" s="15"/>
      <c r="U49" s="15">
        <f>SUM(C49:S49)</f>
        <v>223311607</v>
      </c>
      <c r="W49" s="15"/>
      <c r="X49" s="21"/>
    </row>
    <row r="50" spans="1:24" x14ac:dyDescent="0.15">
      <c r="A50" s="6" t="s">
        <v>32</v>
      </c>
      <c r="C50" s="15"/>
      <c r="D50" s="15"/>
      <c r="E50" s="15">
        <v>-1403706</v>
      </c>
      <c r="F50" s="15"/>
      <c r="G50" s="15">
        <v>-699556</v>
      </c>
      <c r="H50" s="15"/>
      <c r="I50" s="15">
        <v>-101298217</v>
      </c>
      <c r="J50" s="15"/>
      <c r="K50" s="15">
        <v>-7489430</v>
      </c>
      <c r="L50" s="15"/>
      <c r="M50" s="15">
        <v>-2882979</v>
      </c>
      <c r="N50" s="15"/>
      <c r="O50" s="15">
        <v>-17885770</v>
      </c>
      <c r="P50" s="15"/>
      <c r="Q50" s="15">
        <v>-5716940</v>
      </c>
      <c r="R50" s="15"/>
      <c r="S50" s="15"/>
      <c r="T50" s="15"/>
      <c r="U50" s="15">
        <f>SUM(C50:S50)</f>
        <v>-137376598</v>
      </c>
      <c r="W50" s="15"/>
      <c r="X50" s="21"/>
    </row>
    <row r="51" spans="1:24" ht="9" thickBot="1" x14ac:dyDescent="0.2">
      <c r="A51" s="6" t="s">
        <v>33</v>
      </c>
      <c r="C51" s="24">
        <f>SUM(C49:C50)</f>
        <v>6698969</v>
      </c>
      <c r="D51" s="15"/>
      <c r="E51" s="24">
        <f>SUM(E49:E50)</f>
        <v>5456420</v>
      </c>
      <c r="F51" s="15"/>
      <c r="G51" s="24">
        <f>SUM(G49:G50)</f>
        <v>338606</v>
      </c>
      <c r="H51" s="15"/>
      <c r="I51" s="24">
        <f>SUM(I49:I50)</f>
        <v>57891525</v>
      </c>
      <c r="J51" s="15"/>
      <c r="K51" s="24">
        <f>SUM(K49:K50)</f>
        <v>1958213</v>
      </c>
      <c r="L51" s="15"/>
      <c r="M51" s="24">
        <f>SUM(M49:M50)</f>
        <v>2909578</v>
      </c>
      <c r="N51" s="15"/>
      <c r="O51" s="24">
        <f>SUM(O49:O50)</f>
        <v>5287890</v>
      </c>
      <c r="P51" s="15"/>
      <c r="Q51" s="24">
        <f>SUM(Q49:Q50)</f>
        <v>2235744</v>
      </c>
      <c r="R51" s="15"/>
      <c r="S51" s="24">
        <f>SUM(S49:S50)</f>
        <v>3158064</v>
      </c>
      <c r="T51" s="15"/>
      <c r="U51" s="24">
        <f>SUM(U49:U50)</f>
        <v>85935009</v>
      </c>
      <c r="W51" s="15"/>
    </row>
    <row r="52" spans="1:24" ht="9" thickTop="1" x14ac:dyDescent="0.15"/>
  </sheetData>
  <mergeCells count="11">
    <mergeCell ref="M1:M2"/>
    <mergeCell ref="O1:Q1"/>
    <mergeCell ref="S1:S2"/>
    <mergeCell ref="V1:V2"/>
    <mergeCell ref="W1:W2"/>
    <mergeCell ref="K1:K2"/>
    <mergeCell ref="A1:A2"/>
    <mergeCell ref="C1:C2"/>
    <mergeCell ref="E1:E2"/>
    <mergeCell ref="G1:G2"/>
    <mergeCell ref="I1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2D5-054A-4432-98BF-747BD2D09795}">
  <dimension ref="A1:I8"/>
  <sheetViews>
    <sheetView workbookViewId="0">
      <selection activeCell="E18" sqref="E18"/>
    </sheetView>
  </sheetViews>
  <sheetFormatPr defaultRowHeight="15" x14ac:dyDescent="0.25"/>
  <cols>
    <col min="2" max="2" width="28.28515625" bestFit="1" customWidth="1"/>
    <col min="6" max="6" width="12.42578125" bestFit="1" customWidth="1"/>
    <col min="7" max="7" width="1.140625" customWidth="1"/>
    <col min="8" max="8" width="11.28515625" bestFit="1" customWidth="1"/>
  </cols>
  <sheetData>
    <row r="1" spans="1:9" x14ac:dyDescent="0.25">
      <c r="A1" s="26"/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26"/>
      <c r="B2" s="26" t="s">
        <v>50</v>
      </c>
      <c r="C2" s="26"/>
      <c r="D2" s="26"/>
      <c r="E2" s="26"/>
      <c r="F2" s="26"/>
      <c r="G2" s="26"/>
      <c r="H2" s="26"/>
      <c r="I2" s="26"/>
    </row>
    <row r="3" spans="1:9" x14ac:dyDescent="0.25">
      <c r="A3" s="26"/>
      <c r="B3" s="27"/>
      <c r="C3" s="27"/>
      <c r="D3" s="27"/>
      <c r="E3" s="27"/>
      <c r="F3" s="28">
        <v>2019</v>
      </c>
      <c r="G3" s="28"/>
      <c r="H3" s="28">
        <v>2018</v>
      </c>
      <c r="I3" s="26"/>
    </row>
    <row r="4" spans="1:9" x14ac:dyDescent="0.25">
      <c r="A4" s="26"/>
      <c r="B4" s="27"/>
      <c r="C4" s="27"/>
      <c r="D4" s="27"/>
      <c r="E4" s="27"/>
      <c r="F4" s="28"/>
      <c r="G4" s="28"/>
      <c r="H4" s="28"/>
      <c r="I4" s="26"/>
    </row>
    <row r="5" spans="1:9" x14ac:dyDescent="0.25">
      <c r="A5" s="26"/>
      <c r="B5" s="27" t="s">
        <v>48</v>
      </c>
      <c r="C5" s="27"/>
      <c r="D5" s="27"/>
      <c r="E5" s="27"/>
      <c r="F5" s="29">
        <v>12329117</v>
      </c>
      <c r="G5" s="29"/>
      <c r="H5" s="29">
        <v>0</v>
      </c>
      <c r="I5" s="26"/>
    </row>
    <row r="6" spans="1:9" x14ac:dyDescent="0.25">
      <c r="A6" s="26"/>
      <c r="B6" s="27" t="s">
        <v>49</v>
      </c>
      <c r="C6" s="27"/>
      <c r="D6" s="27"/>
      <c r="E6" s="27"/>
      <c r="F6" s="29">
        <v>1086071</v>
      </c>
      <c r="G6" s="29"/>
      <c r="H6" s="29">
        <v>1086071</v>
      </c>
      <c r="I6" s="26"/>
    </row>
    <row r="7" spans="1:9" ht="15.75" thickBot="1" x14ac:dyDescent="0.3">
      <c r="A7" s="26"/>
      <c r="B7" s="27"/>
      <c r="C7" s="27"/>
      <c r="D7" s="27"/>
      <c r="E7" s="27"/>
      <c r="F7" s="30">
        <f>SUM(F5:F6)</f>
        <v>13415188</v>
      </c>
      <c r="G7" s="29">
        <f>SUM(G5:G6)</f>
        <v>0</v>
      </c>
      <c r="H7" s="30">
        <f>SUM(H5:H6)</f>
        <v>1086071</v>
      </c>
      <c r="I7" s="26"/>
    </row>
    <row r="8" spans="1:9" ht="15.75" thickTop="1" x14ac:dyDescent="0.25">
      <c r="A8" s="26"/>
      <c r="B8" s="26"/>
      <c r="C8" s="26"/>
      <c r="D8" s="26"/>
      <c r="E8" s="26"/>
      <c r="F8" s="26"/>
      <c r="G8" s="26"/>
      <c r="H8" s="26"/>
      <c r="I8" s="26"/>
    </row>
  </sheetData>
  <pageMargins left="0.7" right="0.7" top="0.75" bottom="0.75" header="0.3" footer="0.3"/>
  <ignoredErrors>
    <ignoredError sqref="H7 F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8683-7C51-4DBB-A859-1A960D159B70}">
  <dimension ref="A1:I48"/>
  <sheetViews>
    <sheetView topLeftCell="A2" workbookViewId="0">
      <selection activeCell="L44" sqref="L44"/>
    </sheetView>
  </sheetViews>
  <sheetFormatPr defaultColWidth="9.140625" defaultRowHeight="14.25" x14ac:dyDescent="0.2"/>
  <cols>
    <col min="1" max="1" width="35.85546875" style="27" customWidth="1"/>
    <col min="2" max="2" width="3.7109375" style="27" customWidth="1"/>
    <col min="3" max="3" width="11.5703125" style="27" customWidth="1"/>
    <col min="4" max="4" width="2.140625" style="27" customWidth="1"/>
    <col min="5" max="5" width="11.5703125" style="27" customWidth="1"/>
    <col min="6" max="6" width="1.7109375" style="27" customWidth="1"/>
    <col min="7" max="7" width="10.28515625" style="27" hidden="1" customWidth="1"/>
    <col min="8" max="8" width="1.7109375" style="27" hidden="1" customWidth="1"/>
    <col min="9" max="9" width="11.5703125" style="27" customWidth="1"/>
    <col min="10" max="16384" width="9.140625" style="27"/>
  </cols>
  <sheetData>
    <row r="1" spans="1:9" ht="12.75" hidden="1" customHeight="1" x14ac:dyDescent="0.2">
      <c r="A1" s="61"/>
      <c r="B1" s="61"/>
      <c r="C1" s="62"/>
      <c r="D1" s="62"/>
      <c r="F1" s="62"/>
      <c r="G1" s="173" t="s">
        <v>97</v>
      </c>
      <c r="H1" s="62"/>
      <c r="I1" s="62"/>
    </row>
    <row r="2" spans="1:9" x14ac:dyDescent="0.2">
      <c r="A2" s="63" t="s">
        <v>15</v>
      </c>
      <c r="B2" s="63"/>
      <c r="C2" s="63" t="s">
        <v>16</v>
      </c>
      <c r="D2" s="63"/>
      <c r="E2" s="64" t="s">
        <v>98</v>
      </c>
      <c r="F2" s="63"/>
      <c r="G2" s="173"/>
      <c r="H2" s="63"/>
      <c r="I2" s="65" t="s">
        <v>0</v>
      </c>
    </row>
    <row r="3" spans="1:9" ht="6.75" customHeight="1" x14ac:dyDescent="0.2">
      <c r="A3" s="63"/>
      <c r="B3" s="63"/>
      <c r="C3" s="63"/>
      <c r="D3" s="63"/>
      <c r="E3" s="63"/>
      <c r="F3" s="63"/>
      <c r="G3" s="63"/>
      <c r="H3" s="63"/>
      <c r="I3" s="65"/>
    </row>
    <row r="4" spans="1:9" ht="12.75" hidden="1" customHeight="1" x14ac:dyDescent="0.2">
      <c r="A4" s="66" t="s">
        <v>99</v>
      </c>
      <c r="B4" s="66"/>
      <c r="C4" s="66"/>
      <c r="D4" s="66"/>
      <c r="E4" s="2"/>
      <c r="F4" s="2"/>
      <c r="G4" s="2"/>
      <c r="H4" s="2"/>
      <c r="I4" s="2"/>
    </row>
    <row r="5" spans="1:9" ht="12.75" hidden="1" customHeight="1" x14ac:dyDescent="0.2">
      <c r="A5" s="61" t="s">
        <v>100</v>
      </c>
      <c r="B5" s="61"/>
      <c r="C5" s="2">
        <v>120000</v>
      </c>
      <c r="D5" s="61"/>
      <c r="E5" s="2">
        <v>784192</v>
      </c>
      <c r="F5" s="2"/>
      <c r="G5" s="2">
        <v>169491</v>
      </c>
      <c r="H5" s="2"/>
      <c r="I5" s="2">
        <f>SUM(C5:E5)</f>
        <v>904192</v>
      </c>
    </row>
    <row r="6" spans="1:9" ht="12.75" hidden="1" customHeight="1" x14ac:dyDescent="0.2">
      <c r="A6" s="61" t="s">
        <v>32</v>
      </c>
      <c r="B6" s="61"/>
      <c r="C6" s="67">
        <v>0</v>
      </c>
      <c r="D6" s="61"/>
      <c r="E6" s="67">
        <v>-213217</v>
      </c>
      <c r="F6" s="2"/>
      <c r="G6" s="67">
        <v>0</v>
      </c>
      <c r="H6" s="2"/>
      <c r="I6" s="67">
        <f>SUM(C6:E6)</f>
        <v>-213217</v>
      </c>
    </row>
    <row r="7" spans="1:9" ht="12.75" hidden="1" customHeight="1" x14ac:dyDescent="0.2">
      <c r="A7" s="61" t="s">
        <v>33</v>
      </c>
      <c r="B7" s="61"/>
      <c r="C7" s="68">
        <f>SUM(C5:C6)</f>
        <v>120000</v>
      </c>
      <c r="D7" s="61"/>
      <c r="E7" s="68">
        <f>SUM(E5:E6)</f>
        <v>570975</v>
      </c>
      <c r="F7" s="2"/>
      <c r="G7" s="68">
        <f>SUM(G5:G6)</f>
        <v>169491</v>
      </c>
      <c r="H7" s="2"/>
      <c r="I7" s="68">
        <f>SUM(I5:I6)</f>
        <v>690975</v>
      </c>
    </row>
    <row r="8" spans="1:9" ht="9.75" hidden="1" customHeight="1" x14ac:dyDescent="0.2">
      <c r="A8" s="61"/>
      <c r="B8" s="61"/>
      <c r="C8" s="61"/>
      <c r="D8" s="61"/>
      <c r="E8" s="61"/>
      <c r="F8" s="61"/>
      <c r="G8" s="61"/>
      <c r="H8" s="61"/>
      <c r="I8" s="61"/>
    </row>
    <row r="9" spans="1:9" ht="12.75" hidden="1" customHeight="1" x14ac:dyDescent="0.2">
      <c r="A9" s="66" t="s">
        <v>101</v>
      </c>
      <c r="B9" s="66"/>
      <c r="C9" s="66"/>
      <c r="D9" s="66"/>
      <c r="E9" s="68"/>
      <c r="F9" s="61"/>
      <c r="G9" s="68"/>
      <c r="H9" s="61"/>
      <c r="I9" s="68"/>
    </row>
    <row r="10" spans="1:9" ht="12.75" hidden="1" customHeight="1" x14ac:dyDescent="0.2">
      <c r="A10" s="61" t="s">
        <v>35</v>
      </c>
      <c r="B10" s="61"/>
      <c r="C10" s="2">
        <v>0</v>
      </c>
      <c r="D10" s="61"/>
      <c r="E10" s="2">
        <v>49200</v>
      </c>
      <c r="F10" s="2"/>
      <c r="G10" s="2">
        <v>0</v>
      </c>
      <c r="H10" s="2"/>
      <c r="I10" s="2">
        <f>SUM(C10:E10)</f>
        <v>49200</v>
      </c>
    </row>
    <row r="11" spans="1:9" ht="12.75" hidden="1" customHeight="1" x14ac:dyDescent="0.2">
      <c r="A11" s="61" t="s">
        <v>102</v>
      </c>
      <c r="B11" s="61"/>
      <c r="C11" s="2">
        <v>0</v>
      </c>
      <c r="D11" s="61"/>
      <c r="E11" s="2"/>
      <c r="F11" s="2"/>
      <c r="G11" s="2">
        <v>-169491</v>
      </c>
      <c r="H11" s="2"/>
      <c r="I11" s="2">
        <f>SUM(C11:E11)</f>
        <v>0</v>
      </c>
    </row>
    <row r="12" spans="1:9" ht="12.75" hidden="1" customHeight="1" x14ac:dyDescent="0.2">
      <c r="A12" s="61" t="s">
        <v>40</v>
      </c>
      <c r="B12" s="61"/>
      <c r="C12" s="67">
        <v>0</v>
      </c>
      <c r="D12" s="61"/>
      <c r="E12" s="67">
        <v>-39210</v>
      </c>
      <c r="F12" s="2"/>
      <c r="G12" s="67">
        <v>0</v>
      </c>
      <c r="H12" s="2"/>
      <c r="I12" s="67">
        <f>SUM(C12:E12)</f>
        <v>-39210</v>
      </c>
    </row>
    <row r="13" spans="1:9" ht="12.75" hidden="1" customHeight="1" x14ac:dyDescent="0.2">
      <c r="A13" s="61" t="s">
        <v>103</v>
      </c>
      <c r="B13" s="61"/>
      <c r="C13" s="68">
        <f>SUM(C7:C12)</f>
        <v>120000</v>
      </c>
      <c r="D13" s="61"/>
      <c r="E13" s="68">
        <f>SUM(E7:E12)</f>
        <v>580965</v>
      </c>
      <c r="F13" s="2"/>
      <c r="G13" s="68">
        <f>SUM(G7:G12)</f>
        <v>0</v>
      </c>
      <c r="H13" s="2"/>
      <c r="I13" s="68">
        <f>SUM(I7:I12)</f>
        <v>700965</v>
      </c>
    </row>
    <row r="14" spans="1:9" ht="9.75" hidden="1" customHeight="1" x14ac:dyDescent="0.2">
      <c r="A14" s="61"/>
      <c r="B14" s="61"/>
      <c r="C14" s="61"/>
      <c r="D14" s="61"/>
      <c r="E14" s="2"/>
      <c r="F14" s="2"/>
      <c r="G14" s="2"/>
      <c r="H14" s="2"/>
      <c r="I14" s="2"/>
    </row>
    <row r="15" spans="1:9" ht="12.75" hidden="1" customHeight="1" x14ac:dyDescent="0.2">
      <c r="A15" s="66" t="s">
        <v>104</v>
      </c>
      <c r="B15" s="66"/>
      <c r="C15" s="66"/>
      <c r="D15" s="66"/>
      <c r="E15" s="2"/>
      <c r="F15" s="2"/>
      <c r="G15" s="2"/>
      <c r="H15" s="2"/>
      <c r="I15" s="2"/>
    </row>
    <row r="16" spans="1:9" ht="12.75" hidden="1" customHeight="1" x14ac:dyDescent="0.2">
      <c r="A16" s="61" t="s">
        <v>100</v>
      </c>
      <c r="B16" s="61"/>
      <c r="C16" s="2">
        <f>+C5</f>
        <v>120000</v>
      </c>
      <c r="D16" s="61"/>
      <c r="E16" s="2">
        <f>+E5+E10</f>
        <v>833392</v>
      </c>
      <c r="F16" s="2"/>
      <c r="G16" s="2">
        <v>0</v>
      </c>
      <c r="H16" s="2"/>
      <c r="I16" s="2">
        <f>SUM(C16:E16)</f>
        <v>953392</v>
      </c>
    </row>
    <row r="17" spans="1:9" ht="12.75" hidden="1" customHeight="1" x14ac:dyDescent="0.2">
      <c r="A17" s="61" t="s">
        <v>32</v>
      </c>
      <c r="B17" s="61"/>
      <c r="C17" s="67">
        <v>0</v>
      </c>
      <c r="D17" s="61"/>
      <c r="E17" s="67">
        <f>+E6+E12</f>
        <v>-252427</v>
      </c>
      <c r="F17" s="2"/>
      <c r="G17" s="67">
        <v>0</v>
      </c>
      <c r="H17" s="2"/>
      <c r="I17" s="67">
        <f>SUM(C17:E17)</f>
        <v>-252427</v>
      </c>
    </row>
    <row r="18" spans="1:9" ht="12.75" hidden="1" customHeight="1" x14ac:dyDescent="0.2">
      <c r="A18" s="61" t="s">
        <v>33</v>
      </c>
      <c r="B18" s="61"/>
      <c r="C18" s="2">
        <f>SUM(C16:C17)</f>
        <v>120000</v>
      </c>
      <c r="D18" s="61"/>
      <c r="E18" s="2">
        <f>SUM(E16:E17)</f>
        <v>580965</v>
      </c>
      <c r="F18" s="2"/>
      <c r="G18" s="2">
        <f>SUM(G16:G17)</f>
        <v>0</v>
      </c>
      <c r="H18" s="2"/>
      <c r="I18" s="2">
        <f>SUM(I16:I17)</f>
        <v>700965</v>
      </c>
    </row>
    <row r="19" spans="1:9" ht="12.75" hidden="1" customHeight="1" x14ac:dyDescent="0.2">
      <c r="A19" s="61"/>
      <c r="B19" s="61"/>
      <c r="C19" s="61"/>
      <c r="D19" s="61"/>
      <c r="E19" s="61"/>
      <c r="F19" s="61"/>
      <c r="G19" s="61"/>
      <c r="H19" s="61"/>
      <c r="I19" s="61"/>
    </row>
    <row r="20" spans="1:9" ht="12.75" hidden="1" customHeight="1" x14ac:dyDescent="0.2">
      <c r="A20" s="66" t="s">
        <v>34</v>
      </c>
      <c r="B20" s="66"/>
      <c r="C20" s="66"/>
      <c r="D20" s="66"/>
      <c r="E20" s="68"/>
      <c r="F20" s="61"/>
      <c r="G20" s="68"/>
      <c r="H20" s="61"/>
      <c r="I20" s="68"/>
    </row>
    <row r="21" spans="1:9" ht="12.75" hidden="1" customHeight="1" x14ac:dyDescent="0.2">
      <c r="A21" s="61" t="s">
        <v>40</v>
      </c>
      <c r="B21" s="61"/>
      <c r="C21" s="67">
        <v>0</v>
      </c>
      <c r="D21" s="61"/>
      <c r="E21" s="67">
        <v>-39210</v>
      </c>
      <c r="F21" s="2"/>
      <c r="G21" s="67">
        <v>0</v>
      </c>
      <c r="H21" s="2"/>
      <c r="I21" s="67">
        <f>SUM(C21:E21)</f>
        <v>-39210</v>
      </c>
    </row>
    <row r="22" spans="1:9" ht="12.75" hidden="1" customHeight="1" x14ac:dyDescent="0.2">
      <c r="A22" s="61" t="s">
        <v>105</v>
      </c>
      <c r="B22" s="61"/>
      <c r="C22" s="68">
        <f>+C18</f>
        <v>120000</v>
      </c>
      <c r="D22" s="61"/>
      <c r="E22" s="68">
        <f>+E18+E21</f>
        <v>541755</v>
      </c>
      <c r="F22" s="2"/>
      <c r="G22" s="68">
        <f>+G18+G21</f>
        <v>0</v>
      </c>
      <c r="H22" s="2"/>
      <c r="I22" s="68">
        <f>+I18+I21</f>
        <v>661755</v>
      </c>
    </row>
    <row r="23" spans="1:9" ht="9.75" hidden="1" customHeight="1" x14ac:dyDescent="0.2">
      <c r="A23" s="61"/>
      <c r="B23" s="61"/>
      <c r="C23" s="61"/>
      <c r="D23" s="61"/>
      <c r="E23" s="2"/>
      <c r="F23" s="2"/>
      <c r="G23" s="2"/>
      <c r="H23" s="2"/>
      <c r="I23" s="2"/>
    </row>
    <row r="24" spans="1:9" ht="12.75" customHeight="1" x14ac:dyDescent="0.2">
      <c r="A24" s="66" t="s">
        <v>46</v>
      </c>
      <c r="B24" s="66"/>
      <c r="C24" s="66"/>
      <c r="D24" s="66"/>
      <c r="E24" s="2"/>
      <c r="F24" s="2"/>
      <c r="G24" s="2"/>
      <c r="H24" s="2"/>
      <c r="I24" s="2"/>
    </row>
    <row r="25" spans="1:9" ht="12.75" customHeight="1" x14ac:dyDescent="0.2">
      <c r="A25" s="61" t="s">
        <v>100</v>
      </c>
      <c r="B25" s="61"/>
      <c r="C25" s="2">
        <f>+C22</f>
        <v>120000</v>
      </c>
      <c r="D25" s="61"/>
      <c r="E25" s="2">
        <f>+E16</f>
        <v>833392</v>
      </c>
      <c r="F25" s="2"/>
      <c r="G25" s="2">
        <f>+G16</f>
        <v>0</v>
      </c>
      <c r="H25" s="2"/>
      <c r="I25" s="2">
        <f>SUM(C25:E25)</f>
        <v>953392</v>
      </c>
    </row>
    <row r="26" spans="1:9" ht="12.75" customHeight="1" x14ac:dyDescent="0.2">
      <c r="A26" s="61" t="s">
        <v>32</v>
      </c>
      <c r="B26" s="61"/>
      <c r="C26" s="67">
        <f>+C17+C21</f>
        <v>0</v>
      </c>
      <c r="D26" s="61"/>
      <c r="E26" s="67">
        <f>+E17+E21</f>
        <v>-291637</v>
      </c>
      <c r="F26" s="2"/>
      <c r="G26" s="67">
        <f>+G17+G21</f>
        <v>0</v>
      </c>
      <c r="H26" s="2"/>
      <c r="I26" s="67">
        <f>SUM(C26:E26)</f>
        <v>-291637</v>
      </c>
    </row>
    <row r="27" spans="1:9" ht="12.75" customHeight="1" x14ac:dyDescent="0.2">
      <c r="A27" s="61" t="s">
        <v>33</v>
      </c>
      <c r="B27" s="61"/>
      <c r="C27" s="2">
        <f>SUM(C25:C26)</f>
        <v>120000</v>
      </c>
      <c r="D27" s="61"/>
      <c r="E27" s="2">
        <f>SUM(E25:E26)</f>
        <v>541755</v>
      </c>
      <c r="F27" s="2"/>
      <c r="G27" s="2">
        <f>SUM(G25:G26)</f>
        <v>0</v>
      </c>
      <c r="H27" s="2"/>
      <c r="I27" s="2">
        <f>SUM(I25:I26)</f>
        <v>661755</v>
      </c>
    </row>
    <row r="28" spans="1:9" ht="3" customHeight="1" x14ac:dyDescent="0.2">
      <c r="A28" s="61"/>
      <c r="B28" s="61"/>
      <c r="C28" s="2"/>
      <c r="D28" s="61"/>
      <c r="E28" s="2"/>
      <c r="F28" s="2"/>
      <c r="G28" s="2"/>
      <c r="H28" s="2"/>
      <c r="I28" s="2"/>
    </row>
    <row r="29" spans="1:9" ht="12.75" customHeight="1" x14ac:dyDescent="0.2">
      <c r="A29" s="66" t="s">
        <v>42</v>
      </c>
      <c r="B29" s="61"/>
      <c r="C29" s="2"/>
      <c r="D29" s="61"/>
      <c r="E29" s="2"/>
      <c r="F29" s="2"/>
      <c r="G29" s="2"/>
      <c r="H29" s="2"/>
      <c r="I29" s="2"/>
    </row>
    <row r="30" spans="1:9" ht="12.75" customHeight="1" x14ac:dyDescent="0.2">
      <c r="A30" s="61" t="s">
        <v>40</v>
      </c>
      <c r="B30" s="61"/>
      <c r="C30" s="69"/>
      <c r="D30" s="61"/>
      <c r="E30" s="67">
        <v>-37744</v>
      </c>
      <c r="F30" s="2"/>
      <c r="G30" s="67"/>
      <c r="H30" s="2"/>
      <c r="I30" s="67">
        <f>SUM(C30:E30)</f>
        <v>-37744</v>
      </c>
    </row>
    <row r="31" spans="1:9" ht="12.75" customHeight="1" x14ac:dyDescent="0.2">
      <c r="A31" s="61" t="s">
        <v>106</v>
      </c>
      <c r="B31" s="61"/>
      <c r="C31" s="68">
        <f>+C27+C30</f>
        <v>120000</v>
      </c>
      <c r="D31" s="61"/>
      <c r="E31" s="68">
        <f>+E27+E30</f>
        <v>504011</v>
      </c>
      <c r="F31" s="2"/>
      <c r="G31" s="68">
        <f>+G27+G30</f>
        <v>0</v>
      </c>
      <c r="H31" s="2"/>
      <c r="I31" s="68">
        <f>+I27+I30</f>
        <v>624011</v>
      </c>
    </row>
    <row r="32" spans="1:9" ht="3" customHeight="1" x14ac:dyDescent="0.2">
      <c r="A32" s="61"/>
    </row>
    <row r="33" spans="1:9" x14ac:dyDescent="0.2">
      <c r="A33" s="66" t="s">
        <v>45</v>
      </c>
    </row>
    <row r="34" spans="1:9" x14ac:dyDescent="0.2">
      <c r="A34" s="61" t="s">
        <v>100</v>
      </c>
      <c r="C34" s="2">
        <f>+C31</f>
        <v>120000</v>
      </c>
      <c r="D34" s="2"/>
      <c r="E34" s="2">
        <f>+E25</f>
        <v>833392</v>
      </c>
      <c r="F34" s="2"/>
      <c r="G34" s="2">
        <f>+G31</f>
        <v>0</v>
      </c>
      <c r="H34" s="2"/>
      <c r="I34" s="2">
        <f>+I25</f>
        <v>953392</v>
      </c>
    </row>
    <row r="35" spans="1:9" x14ac:dyDescent="0.2">
      <c r="A35" s="61" t="s">
        <v>32</v>
      </c>
      <c r="C35" s="2">
        <f>+C26+C30</f>
        <v>0</v>
      </c>
      <c r="D35" s="2"/>
      <c r="E35" s="2">
        <f>+E26+E30</f>
        <v>-329381</v>
      </c>
      <c r="F35" s="2"/>
      <c r="G35" s="2">
        <f>+G26+G30</f>
        <v>0</v>
      </c>
      <c r="H35" s="2"/>
      <c r="I35" s="2">
        <f>+I26+I30</f>
        <v>-329381</v>
      </c>
    </row>
    <row r="36" spans="1:9" ht="15" thickBot="1" x14ac:dyDescent="0.25">
      <c r="A36" s="61" t="s">
        <v>33</v>
      </c>
      <c r="C36" s="71">
        <f>SUM(C34:C35)</f>
        <v>120000</v>
      </c>
      <c r="D36" s="70"/>
      <c r="E36" s="71">
        <f>SUM(E34:E35)</f>
        <v>504011</v>
      </c>
      <c r="F36" s="70"/>
      <c r="G36" s="71">
        <f>SUM(G34:G35)</f>
        <v>0</v>
      </c>
      <c r="H36" s="72"/>
      <c r="I36" s="71">
        <f>SUM(I34:I35)</f>
        <v>624011</v>
      </c>
    </row>
    <row r="37" spans="1:9" ht="2.65" customHeight="1" thickTop="1" x14ac:dyDescent="0.2"/>
    <row r="38" spans="1:9" hidden="1" x14ac:dyDescent="0.2"/>
    <row r="39" spans="1:9" ht="3" customHeight="1" x14ac:dyDescent="0.2"/>
    <row r="40" spans="1:9" ht="12.75" customHeight="1" x14ac:dyDescent="0.2">
      <c r="A40" s="66" t="s">
        <v>47</v>
      </c>
      <c r="B40" s="61"/>
      <c r="C40" s="2"/>
      <c r="D40" s="61"/>
      <c r="E40" s="2"/>
      <c r="F40" s="2"/>
      <c r="G40" s="2"/>
      <c r="H40" s="2"/>
      <c r="I40" s="2"/>
    </row>
    <row r="41" spans="1:9" ht="12.75" customHeight="1" x14ac:dyDescent="0.2">
      <c r="A41" s="61" t="s">
        <v>40</v>
      </c>
      <c r="B41" s="61"/>
      <c r="C41" s="69"/>
      <c r="D41" s="61"/>
      <c r="E41" s="67">
        <v>-39210</v>
      </c>
      <c r="F41" s="2"/>
      <c r="G41" s="67"/>
      <c r="H41" s="2"/>
      <c r="I41" s="67">
        <f>SUM(C41:E41)</f>
        <v>-39210</v>
      </c>
    </row>
    <row r="42" spans="1:9" ht="12.75" customHeight="1" x14ac:dyDescent="0.2">
      <c r="A42" s="61" t="s">
        <v>106</v>
      </c>
      <c r="B42" s="61"/>
      <c r="C42" s="68">
        <v>120000</v>
      </c>
      <c r="D42" s="61"/>
      <c r="E42" s="68">
        <f>+E36+E41</f>
        <v>464801</v>
      </c>
      <c r="F42" s="2"/>
      <c r="G42" s="68">
        <f>+G38+G41</f>
        <v>0</v>
      </c>
      <c r="H42" s="2"/>
      <c r="I42" s="68">
        <f>+E42+C42</f>
        <v>584801</v>
      </c>
    </row>
    <row r="43" spans="1:9" ht="3" customHeight="1" x14ac:dyDescent="0.2">
      <c r="A43" s="61"/>
    </row>
    <row r="44" spans="1:9" x14ac:dyDescent="0.2">
      <c r="A44" s="66" t="s">
        <v>2</v>
      </c>
    </row>
    <row r="45" spans="1:9" x14ac:dyDescent="0.2">
      <c r="A45" s="61" t="s">
        <v>100</v>
      </c>
      <c r="C45" s="2">
        <f>+C42</f>
        <v>120000</v>
      </c>
      <c r="D45" s="2"/>
      <c r="E45" s="2">
        <v>833392</v>
      </c>
      <c r="F45" s="2"/>
      <c r="G45" s="2">
        <f>+G42</f>
        <v>0</v>
      </c>
      <c r="H45" s="2"/>
      <c r="I45" s="2">
        <f>+E45+C45</f>
        <v>953392</v>
      </c>
    </row>
    <row r="46" spans="1:9" x14ac:dyDescent="0.2">
      <c r="A46" s="61" t="s">
        <v>32</v>
      </c>
      <c r="C46" s="67">
        <f>+C37+C41</f>
        <v>0</v>
      </c>
      <c r="D46" s="2"/>
      <c r="E46" s="67">
        <v>-368591</v>
      </c>
      <c r="F46" s="2"/>
      <c r="G46" s="67">
        <f>+G37+G41</f>
        <v>0</v>
      </c>
      <c r="H46" s="2"/>
      <c r="I46" s="67">
        <f>+E46</f>
        <v>-368591</v>
      </c>
    </row>
    <row r="47" spans="1:9" ht="15" thickBot="1" x14ac:dyDescent="0.25">
      <c r="A47" s="61" t="s">
        <v>33</v>
      </c>
      <c r="C47" s="71">
        <f>SUM(C45:C46)</f>
        <v>120000</v>
      </c>
      <c r="D47" s="70"/>
      <c r="E47" s="71">
        <f>SUM(E45:E46)</f>
        <v>464801</v>
      </c>
      <c r="F47" s="70"/>
      <c r="G47" s="2">
        <f>SUM(G45:G46)</f>
        <v>0</v>
      </c>
      <c r="H47" s="70"/>
      <c r="I47" s="71">
        <f>SUM(I45:I46)</f>
        <v>584801</v>
      </c>
    </row>
    <row r="48" spans="1:9" ht="15" thickTop="1" x14ac:dyDescent="0.2"/>
  </sheetData>
  <mergeCells count="1">
    <mergeCell ref="G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439A-D263-4D42-A853-8810F5E543F2}">
  <dimension ref="A1:U55"/>
  <sheetViews>
    <sheetView workbookViewId="0">
      <pane xSplit="2" ySplit="13" topLeftCell="E32" activePane="bottomRight" state="frozen"/>
      <selection pane="topRight" activeCell="C1" sqref="C1"/>
      <selection pane="bottomLeft" activeCell="A14" sqref="A14"/>
      <selection pane="bottomRight" activeCell="S55" sqref="S55"/>
    </sheetView>
  </sheetViews>
  <sheetFormatPr defaultColWidth="2.28515625" defaultRowHeight="12" x14ac:dyDescent="0.2"/>
  <cols>
    <col min="1" max="1" width="37.140625" style="61" customWidth="1"/>
    <col min="2" max="2" width="1.28515625" style="61" customWidth="1"/>
    <col min="3" max="3" width="15.7109375" style="61" hidden="1" customWidth="1"/>
    <col min="4" max="4" width="0.85546875" style="61" hidden="1" customWidth="1"/>
    <col min="5" max="5" width="14" style="61" customWidth="1"/>
    <col min="6" max="6" width="0.85546875" style="61" customWidth="1"/>
    <col min="7" max="7" width="10.7109375" style="61" customWidth="1"/>
    <col min="8" max="8" width="1" style="61" customWidth="1"/>
    <col min="9" max="9" width="13.42578125" style="61" customWidth="1"/>
    <col min="10" max="10" width="0.85546875" style="61" customWidth="1"/>
    <col min="11" max="11" width="14.7109375" style="61" customWidth="1"/>
    <col min="12" max="12" width="1.5703125" style="61" customWidth="1"/>
    <col min="13" max="13" width="11.7109375" style="61" customWidth="1"/>
    <col min="14" max="14" width="0.85546875" style="61" customWidth="1"/>
    <col min="15" max="15" width="11.7109375" style="61" customWidth="1"/>
    <col min="16" max="16" width="1.5703125" style="61" customWidth="1"/>
    <col min="17" max="17" width="10.28515625" style="61" customWidth="1"/>
    <col min="18" max="18" width="1.5703125" style="61" customWidth="1"/>
    <col min="19" max="19" width="11.5703125" style="61" bestFit="1" customWidth="1"/>
    <col min="20" max="20" width="2.5703125" style="61" bestFit="1" customWidth="1"/>
    <col min="21" max="21" width="13.28515625" style="61" bestFit="1" customWidth="1"/>
    <col min="22" max="22" width="9.28515625" style="61" bestFit="1" customWidth="1"/>
    <col min="23" max="253" width="9.140625" style="61" customWidth="1"/>
    <col min="254" max="254" width="39" style="61" bestFit="1" customWidth="1"/>
    <col min="255" max="255" width="0.85546875" style="61" customWidth="1"/>
    <col min="256" max="256" width="12" style="61" customWidth="1"/>
    <col min="257" max="257" width="2.28515625" style="61"/>
    <col min="258" max="258" width="12" style="61" customWidth="1"/>
    <col min="259" max="259" width="2.28515625" style="61"/>
    <col min="260" max="260" width="3.5703125" style="61" customWidth="1"/>
    <col min="261" max="261" width="39" style="61" bestFit="1" customWidth="1"/>
    <col min="262" max="262" width="0.85546875" style="61" customWidth="1"/>
    <col min="263" max="263" width="20" style="61" customWidth="1"/>
    <col min="264" max="264" width="2.28515625" style="61"/>
    <col min="265" max="265" width="15.5703125" style="61" customWidth="1"/>
    <col min="266" max="266" width="2.28515625" style="61"/>
    <col min="267" max="267" width="19.42578125" style="61" bestFit="1" customWidth="1"/>
    <col min="268" max="268" width="2.28515625" style="61"/>
    <col min="269" max="269" width="23.5703125" style="61" bestFit="1" customWidth="1"/>
    <col min="270" max="270" width="2.28515625" style="61"/>
    <col min="271" max="271" width="20.85546875" style="61" customWidth="1"/>
    <col min="272" max="272" width="2.28515625" style="61"/>
    <col min="273" max="273" width="14.140625" style="61" bestFit="1" customWidth="1"/>
    <col min="274" max="274" width="2.28515625" style="61"/>
    <col min="275" max="275" width="15.7109375" style="61" bestFit="1" customWidth="1"/>
    <col min="276" max="276" width="2.5703125" style="61" bestFit="1" customWidth="1"/>
    <col min="277" max="277" width="13.28515625" style="61" bestFit="1" customWidth="1"/>
    <col min="278" max="278" width="9.28515625" style="61" bestFit="1" customWidth="1"/>
    <col min="279" max="509" width="9.140625" style="61" customWidth="1"/>
    <col min="510" max="510" width="39" style="61" bestFit="1" customWidth="1"/>
    <col min="511" max="511" width="0.85546875" style="61" customWidth="1"/>
    <col min="512" max="512" width="12" style="61" customWidth="1"/>
    <col min="513" max="513" width="2.28515625" style="61"/>
    <col min="514" max="514" width="12" style="61" customWidth="1"/>
    <col min="515" max="515" width="2.28515625" style="61"/>
    <col min="516" max="516" width="3.5703125" style="61" customWidth="1"/>
    <col min="517" max="517" width="39" style="61" bestFit="1" customWidth="1"/>
    <col min="518" max="518" width="0.85546875" style="61" customWidth="1"/>
    <col min="519" max="519" width="20" style="61" customWidth="1"/>
    <col min="520" max="520" width="2.28515625" style="61"/>
    <col min="521" max="521" width="15.5703125" style="61" customWidth="1"/>
    <col min="522" max="522" width="2.28515625" style="61"/>
    <col min="523" max="523" width="19.42578125" style="61" bestFit="1" customWidth="1"/>
    <col min="524" max="524" width="2.28515625" style="61"/>
    <col min="525" max="525" width="23.5703125" style="61" bestFit="1" customWidth="1"/>
    <col min="526" max="526" width="2.28515625" style="61"/>
    <col min="527" max="527" width="20.85546875" style="61" customWidth="1"/>
    <col min="528" max="528" width="2.28515625" style="61"/>
    <col min="529" max="529" width="14.140625" style="61" bestFit="1" customWidth="1"/>
    <col min="530" max="530" width="2.28515625" style="61"/>
    <col min="531" max="531" width="15.7109375" style="61" bestFit="1" customWidth="1"/>
    <col min="532" max="532" width="2.5703125" style="61" bestFit="1" customWidth="1"/>
    <col min="533" max="533" width="13.28515625" style="61" bestFit="1" customWidth="1"/>
    <col min="534" max="534" width="9.28515625" style="61" bestFit="1" customWidth="1"/>
    <col min="535" max="765" width="9.140625" style="61" customWidth="1"/>
    <col min="766" max="766" width="39" style="61" bestFit="1" customWidth="1"/>
    <col min="767" max="767" width="0.85546875" style="61" customWidth="1"/>
    <col min="768" max="768" width="12" style="61" customWidth="1"/>
    <col min="769" max="769" width="2.28515625" style="61"/>
    <col min="770" max="770" width="12" style="61" customWidth="1"/>
    <col min="771" max="771" width="2.28515625" style="61"/>
    <col min="772" max="772" width="3.5703125" style="61" customWidth="1"/>
    <col min="773" max="773" width="39" style="61" bestFit="1" customWidth="1"/>
    <col min="774" max="774" width="0.85546875" style="61" customWidth="1"/>
    <col min="775" max="775" width="20" style="61" customWidth="1"/>
    <col min="776" max="776" width="2.28515625" style="61"/>
    <col min="777" max="777" width="15.5703125" style="61" customWidth="1"/>
    <col min="778" max="778" width="2.28515625" style="61"/>
    <col min="779" max="779" width="19.42578125" style="61" bestFit="1" customWidth="1"/>
    <col min="780" max="780" width="2.28515625" style="61"/>
    <col min="781" max="781" width="23.5703125" style="61" bestFit="1" customWidth="1"/>
    <col min="782" max="782" width="2.28515625" style="61"/>
    <col min="783" max="783" width="20.85546875" style="61" customWidth="1"/>
    <col min="784" max="784" width="2.28515625" style="61"/>
    <col min="785" max="785" width="14.140625" style="61" bestFit="1" customWidth="1"/>
    <col min="786" max="786" width="2.28515625" style="61"/>
    <col min="787" max="787" width="15.7109375" style="61" bestFit="1" customWidth="1"/>
    <col min="788" max="788" width="2.5703125" style="61" bestFit="1" customWidth="1"/>
    <col min="789" max="789" width="13.28515625" style="61" bestFit="1" customWidth="1"/>
    <col min="790" max="790" width="9.28515625" style="61" bestFit="1" customWidth="1"/>
    <col min="791" max="1021" width="9.140625" style="61" customWidth="1"/>
    <col min="1022" max="1022" width="39" style="61" bestFit="1" customWidth="1"/>
    <col min="1023" max="1023" width="0.85546875" style="61" customWidth="1"/>
    <col min="1024" max="1024" width="12" style="61" customWidth="1"/>
    <col min="1025" max="1025" width="2.28515625" style="61"/>
    <col min="1026" max="1026" width="12" style="61" customWidth="1"/>
    <col min="1027" max="1027" width="2.28515625" style="61"/>
    <col min="1028" max="1028" width="3.5703125" style="61" customWidth="1"/>
    <col min="1029" max="1029" width="39" style="61" bestFit="1" customWidth="1"/>
    <col min="1030" max="1030" width="0.85546875" style="61" customWidth="1"/>
    <col min="1031" max="1031" width="20" style="61" customWidth="1"/>
    <col min="1032" max="1032" width="2.28515625" style="61"/>
    <col min="1033" max="1033" width="15.5703125" style="61" customWidth="1"/>
    <col min="1034" max="1034" width="2.28515625" style="61"/>
    <col min="1035" max="1035" width="19.42578125" style="61" bestFit="1" customWidth="1"/>
    <col min="1036" max="1036" width="2.28515625" style="61"/>
    <col min="1037" max="1037" width="23.5703125" style="61" bestFit="1" customWidth="1"/>
    <col min="1038" max="1038" width="2.28515625" style="61"/>
    <col min="1039" max="1039" width="20.85546875" style="61" customWidth="1"/>
    <col min="1040" max="1040" width="2.28515625" style="61"/>
    <col min="1041" max="1041" width="14.140625" style="61" bestFit="1" customWidth="1"/>
    <col min="1042" max="1042" width="2.28515625" style="61"/>
    <col min="1043" max="1043" width="15.7109375" style="61" bestFit="1" customWidth="1"/>
    <col min="1044" max="1044" width="2.5703125" style="61" bestFit="1" customWidth="1"/>
    <col min="1045" max="1045" width="13.28515625" style="61" bestFit="1" customWidth="1"/>
    <col min="1046" max="1046" width="9.28515625" style="61" bestFit="1" customWidth="1"/>
    <col min="1047" max="1277" width="9.140625" style="61" customWidth="1"/>
    <col min="1278" max="1278" width="39" style="61" bestFit="1" customWidth="1"/>
    <col min="1279" max="1279" width="0.85546875" style="61" customWidth="1"/>
    <col min="1280" max="1280" width="12" style="61" customWidth="1"/>
    <col min="1281" max="1281" width="2.28515625" style="61"/>
    <col min="1282" max="1282" width="12" style="61" customWidth="1"/>
    <col min="1283" max="1283" width="2.28515625" style="61"/>
    <col min="1284" max="1284" width="3.5703125" style="61" customWidth="1"/>
    <col min="1285" max="1285" width="39" style="61" bestFit="1" customWidth="1"/>
    <col min="1286" max="1286" width="0.85546875" style="61" customWidth="1"/>
    <col min="1287" max="1287" width="20" style="61" customWidth="1"/>
    <col min="1288" max="1288" width="2.28515625" style="61"/>
    <col min="1289" max="1289" width="15.5703125" style="61" customWidth="1"/>
    <col min="1290" max="1290" width="2.28515625" style="61"/>
    <col min="1291" max="1291" width="19.42578125" style="61" bestFit="1" customWidth="1"/>
    <col min="1292" max="1292" width="2.28515625" style="61"/>
    <col min="1293" max="1293" width="23.5703125" style="61" bestFit="1" customWidth="1"/>
    <col min="1294" max="1294" width="2.28515625" style="61"/>
    <col min="1295" max="1295" width="20.85546875" style="61" customWidth="1"/>
    <col min="1296" max="1296" width="2.28515625" style="61"/>
    <col min="1297" max="1297" width="14.140625" style="61" bestFit="1" customWidth="1"/>
    <col min="1298" max="1298" width="2.28515625" style="61"/>
    <col min="1299" max="1299" width="15.7109375" style="61" bestFit="1" customWidth="1"/>
    <col min="1300" max="1300" width="2.5703125" style="61" bestFit="1" customWidth="1"/>
    <col min="1301" max="1301" width="13.28515625" style="61" bestFit="1" customWidth="1"/>
    <col min="1302" max="1302" width="9.28515625" style="61" bestFit="1" customWidth="1"/>
    <col min="1303" max="1533" width="9.140625" style="61" customWidth="1"/>
    <col min="1534" max="1534" width="39" style="61" bestFit="1" customWidth="1"/>
    <col min="1535" max="1535" width="0.85546875" style="61" customWidth="1"/>
    <col min="1536" max="1536" width="12" style="61" customWidth="1"/>
    <col min="1537" max="1537" width="2.28515625" style="61"/>
    <col min="1538" max="1538" width="12" style="61" customWidth="1"/>
    <col min="1539" max="1539" width="2.28515625" style="61"/>
    <col min="1540" max="1540" width="3.5703125" style="61" customWidth="1"/>
    <col min="1541" max="1541" width="39" style="61" bestFit="1" customWidth="1"/>
    <col min="1542" max="1542" width="0.85546875" style="61" customWidth="1"/>
    <col min="1543" max="1543" width="20" style="61" customWidth="1"/>
    <col min="1544" max="1544" width="2.28515625" style="61"/>
    <col min="1545" max="1545" width="15.5703125" style="61" customWidth="1"/>
    <col min="1546" max="1546" width="2.28515625" style="61"/>
    <col min="1547" max="1547" width="19.42578125" style="61" bestFit="1" customWidth="1"/>
    <col min="1548" max="1548" width="2.28515625" style="61"/>
    <col min="1549" max="1549" width="23.5703125" style="61" bestFit="1" customWidth="1"/>
    <col min="1550" max="1550" width="2.28515625" style="61"/>
    <col min="1551" max="1551" width="20.85546875" style="61" customWidth="1"/>
    <col min="1552" max="1552" width="2.28515625" style="61"/>
    <col min="1553" max="1553" width="14.140625" style="61" bestFit="1" customWidth="1"/>
    <col min="1554" max="1554" width="2.28515625" style="61"/>
    <col min="1555" max="1555" width="15.7109375" style="61" bestFit="1" customWidth="1"/>
    <col min="1556" max="1556" width="2.5703125" style="61" bestFit="1" customWidth="1"/>
    <col min="1557" max="1557" width="13.28515625" style="61" bestFit="1" customWidth="1"/>
    <col min="1558" max="1558" width="9.28515625" style="61" bestFit="1" customWidth="1"/>
    <col min="1559" max="1789" width="9.140625" style="61" customWidth="1"/>
    <col min="1790" max="1790" width="39" style="61" bestFit="1" customWidth="1"/>
    <col min="1791" max="1791" width="0.85546875" style="61" customWidth="1"/>
    <col min="1792" max="1792" width="12" style="61" customWidth="1"/>
    <col min="1793" max="1793" width="2.28515625" style="61"/>
    <col min="1794" max="1794" width="12" style="61" customWidth="1"/>
    <col min="1795" max="1795" width="2.28515625" style="61"/>
    <col min="1796" max="1796" width="3.5703125" style="61" customWidth="1"/>
    <col min="1797" max="1797" width="39" style="61" bestFit="1" customWidth="1"/>
    <col min="1798" max="1798" width="0.85546875" style="61" customWidth="1"/>
    <col min="1799" max="1799" width="20" style="61" customWidth="1"/>
    <col min="1800" max="1800" width="2.28515625" style="61"/>
    <col min="1801" max="1801" width="15.5703125" style="61" customWidth="1"/>
    <col min="1802" max="1802" width="2.28515625" style="61"/>
    <col min="1803" max="1803" width="19.42578125" style="61" bestFit="1" customWidth="1"/>
    <col min="1804" max="1804" width="2.28515625" style="61"/>
    <col min="1805" max="1805" width="23.5703125" style="61" bestFit="1" customWidth="1"/>
    <col min="1806" max="1806" width="2.28515625" style="61"/>
    <col min="1807" max="1807" width="20.85546875" style="61" customWidth="1"/>
    <col min="1808" max="1808" width="2.28515625" style="61"/>
    <col min="1809" max="1809" width="14.140625" style="61" bestFit="1" customWidth="1"/>
    <col min="1810" max="1810" width="2.28515625" style="61"/>
    <col min="1811" max="1811" width="15.7109375" style="61" bestFit="1" customWidth="1"/>
    <col min="1812" max="1812" width="2.5703125" style="61" bestFit="1" customWidth="1"/>
    <col min="1813" max="1813" width="13.28515625" style="61" bestFit="1" customWidth="1"/>
    <col min="1814" max="1814" width="9.28515625" style="61" bestFit="1" customWidth="1"/>
    <col min="1815" max="2045" width="9.140625" style="61" customWidth="1"/>
    <col min="2046" max="2046" width="39" style="61" bestFit="1" customWidth="1"/>
    <col min="2047" max="2047" width="0.85546875" style="61" customWidth="1"/>
    <col min="2048" max="2048" width="12" style="61" customWidth="1"/>
    <col min="2049" max="2049" width="2.28515625" style="61"/>
    <col min="2050" max="2050" width="12" style="61" customWidth="1"/>
    <col min="2051" max="2051" width="2.28515625" style="61"/>
    <col min="2052" max="2052" width="3.5703125" style="61" customWidth="1"/>
    <col min="2053" max="2053" width="39" style="61" bestFit="1" customWidth="1"/>
    <col min="2054" max="2054" width="0.85546875" style="61" customWidth="1"/>
    <col min="2055" max="2055" width="20" style="61" customWidth="1"/>
    <col min="2056" max="2056" width="2.28515625" style="61"/>
    <col min="2057" max="2057" width="15.5703125" style="61" customWidth="1"/>
    <col min="2058" max="2058" width="2.28515625" style="61"/>
    <col min="2059" max="2059" width="19.42578125" style="61" bestFit="1" customWidth="1"/>
    <col min="2060" max="2060" width="2.28515625" style="61"/>
    <col min="2061" max="2061" width="23.5703125" style="61" bestFit="1" customWidth="1"/>
    <col min="2062" max="2062" width="2.28515625" style="61"/>
    <col min="2063" max="2063" width="20.85546875" style="61" customWidth="1"/>
    <col min="2064" max="2064" width="2.28515625" style="61"/>
    <col min="2065" max="2065" width="14.140625" style="61" bestFit="1" customWidth="1"/>
    <col min="2066" max="2066" width="2.28515625" style="61"/>
    <col min="2067" max="2067" width="15.7109375" style="61" bestFit="1" customWidth="1"/>
    <col min="2068" max="2068" width="2.5703125" style="61" bestFit="1" customWidth="1"/>
    <col min="2069" max="2069" width="13.28515625" style="61" bestFit="1" customWidth="1"/>
    <col min="2070" max="2070" width="9.28515625" style="61" bestFit="1" customWidth="1"/>
    <col min="2071" max="2301" width="9.140625" style="61" customWidth="1"/>
    <col min="2302" max="2302" width="39" style="61" bestFit="1" customWidth="1"/>
    <col min="2303" max="2303" width="0.85546875" style="61" customWidth="1"/>
    <col min="2304" max="2304" width="12" style="61" customWidth="1"/>
    <col min="2305" max="2305" width="2.28515625" style="61"/>
    <col min="2306" max="2306" width="12" style="61" customWidth="1"/>
    <col min="2307" max="2307" width="2.28515625" style="61"/>
    <col min="2308" max="2308" width="3.5703125" style="61" customWidth="1"/>
    <col min="2309" max="2309" width="39" style="61" bestFit="1" customWidth="1"/>
    <col min="2310" max="2310" width="0.85546875" style="61" customWidth="1"/>
    <col min="2311" max="2311" width="20" style="61" customWidth="1"/>
    <col min="2312" max="2312" width="2.28515625" style="61"/>
    <col min="2313" max="2313" width="15.5703125" style="61" customWidth="1"/>
    <col min="2314" max="2314" width="2.28515625" style="61"/>
    <col min="2315" max="2315" width="19.42578125" style="61" bestFit="1" customWidth="1"/>
    <col min="2316" max="2316" width="2.28515625" style="61"/>
    <col min="2317" max="2317" width="23.5703125" style="61" bestFit="1" customWidth="1"/>
    <col min="2318" max="2318" width="2.28515625" style="61"/>
    <col min="2319" max="2319" width="20.85546875" style="61" customWidth="1"/>
    <col min="2320" max="2320" width="2.28515625" style="61"/>
    <col min="2321" max="2321" width="14.140625" style="61" bestFit="1" customWidth="1"/>
    <col min="2322" max="2322" width="2.28515625" style="61"/>
    <col min="2323" max="2323" width="15.7109375" style="61" bestFit="1" customWidth="1"/>
    <col min="2324" max="2324" width="2.5703125" style="61" bestFit="1" customWidth="1"/>
    <col min="2325" max="2325" width="13.28515625" style="61" bestFit="1" customWidth="1"/>
    <col min="2326" max="2326" width="9.28515625" style="61" bestFit="1" customWidth="1"/>
    <col min="2327" max="2557" width="9.140625" style="61" customWidth="1"/>
    <col min="2558" max="2558" width="39" style="61" bestFit="1" customWidth="1"/>
    <col min="2559" max="2559" width="0.85546875" style="61" customWidth="1"/>
    <col min="2560" max="2560" width="12" style="61" customWidth="1"/>
    <col min="2561" max="2561" width="2.28515625" style="61"/>
    <col min="2562" max="2562" width="12" style="61" customWidth="1"/>
    <col min="2563" max="2563" width="2.28515625" style="61"/>
    <col min="2564" max="2564" width="3.5703125" style="61" customWidth="1"/>
    <col min="2565" max="2565" width="39" style="61" bestFit="1" customWidth="1"/>
    <col min="2566" max="2566" width="0.85546875" style="61" customWidth="1"/>
    <col min="2567" max="2567" width="20" style="61" customWidth="1"/>
    <col min="2568" max="2568" width="2.28515625" style="61"/>
    <col min="2569" max="2569" width="15.5703125" style="61" customWidth="1"/>
    <col min="2570" max="2570" width="2.28515625" style="61"/>
    <col min="2571" max="2571" width="19.42578125" style="61" bestFit="1" customWidth="1"/>
    <col min="2572" max="2572" width="2.28515625" style="61"/>
    <col min="2573" max="2573" width="23.5703125" style="61" bestFit="1" customWidth="1"/>
    <col min="2574" max="2574" width="2.28515625" style="61"/>
    <col min="2575" max="2575" width="20.85546875" style="61" customWidth="1"/>
    <col min="2576" max="2576" width="2.28515625" style="61"/>
    <col min="2577" max="2577" width="14.140625" style="61" bestFit="1" customWidth="1"/>
    <col min="2578" max="2578" width="2.28515625" style="61"/>
    <col min="2579" max="2579" width="15.7109375" style="61" bestFit="1" customWidth="1"/>
    <col min="2580" max="2580" width="2.5703125" style="61" bestFit="1" customWidth="1"/>
    <col min="2581" max="2581" width="13.28515625" style="61" bestFit="1" customWidth="1"/>
    <col min="2582" max="2582" width="9.28515625" style="61" bestFit="1" customWidth="1"/>
    <col min="2583" max="2813" width="9.140625" style="61" customWidth="1"/>
    <col min="2814" max="2814" width="39" style="61" bestFit="1" customWidth="1"/>
    <col min="2815" max="2815" width="0.85546875" style="61" customWidth="1"/>
    <col min="2816" max="2816" width="12" style="61" customWidth="1"/>
    <col min="2817" max="2817" width="2.28515625" style="61"/>
    <col min="2818" max="2818" width="12" style="61" customWidth="1"/>
    <col min="2819" max="2819" width="2.28515625" style="61"/>
    <col min="2820" max="2820" width="3.5703125" style="61" customWidth="1"/>
    <col min="2821" max="2821" width="39" style="61" bestFit="1" customWidth="1"/>
    <col min="2822" max="2822" width="0.85546875" style="61" customWidth="1"/>
    <col min="2823" max="2823" width="20" style="61" customWidth="1"/>
    <col min="2824" max="2824" width="2.28515625" style="61"/>
    <col min="2825" max="2825" width="15.5703125" style="61" customWidth="1"/>
    <col min="2826" max="2826" width="2.28515625" style="61"/>
    <col min="2827" max="2827" width="19.42578125" style="61" bestFit="1" customWidth="1"/>
    <col min="2828" max="2828" width="2.28515625" style="61"/>
    <col min="2829" max="2829" width="23.5703125" style="61" bestFit="1" customWidth="1"/>
    <col min="2830" max="2830" width="2.28515625" style="61"/>
    <col min="2831" max="2831" width="20.85546875" style="61" customWidth="1"/>
    <col min="2832" max="2832" width="2.28515625" style="61"/>
    <col min="2833" max="2833" width="14.140625" style="61" bestFit="1" customWidth="1"/>
    <col min="2834" max="2834" width="2.28515625" style="61"/>
    <col min="2835" max="2835" width="15.7109375" style="61" bestFit="1" customWidth="1"/>
    <col min="2836" max="2836" width="2.5703125" style="61" bestFit="1" customWidth="1"/>
    <col min="2837" max="2837" width="13.28515625" style="61" bestFit="1" customWidth="1"/>
    <col min="2838" max="2838" width="9.28515625" style="61" bestFit="1" customWidth="1"/>
    <col min="2839" max="3069" width="9.140625" style="61" customWidth="1"/>
    <col min="3070" max="3070" width="39" style="61" bestFit="1" customWidth="1"/>
    <col min="3071" max="3071" width="0.85546875" style="61" customWidth="1"/>
    <col min="3072" max="3072" width="12" style="61" customWidth="1"/>
    <col min="3073" max="3073" width="2.28515625" style="61"/>
    <col min="3074" max="3074" width="12" style="61" customWidth="1"/>
    <col min="3075" max="3075" width="2.28515625" style="61"/>
    <col min="3076" max="3076" width="3.5703125" style="61" customWidth="1"/>
    <col min="3077" max="3077" width="39" style="61" bestFit="1" customWidth="1"/>
    <col min="3078" max="3078" width="0.85546875" style="61" customWidth="1"/>
    <col min="3079" max="3079" width="20" style="61" customWidth="1"/>
    <col min="3080" max="3080" width="2.28515625" style="61"/>
    <col min="3081" max="3081" width="15.5703125" style="61" customWidth="1"/>
    <col min="3082" max="3082" width="2.28515625" style="61"/>
    <col min="3083" max="3083" width="19.42578125" style="61" bestFit="1" customWidth="1"/>
    <col min="3084" max="3084" width="2.28515625" style="61"/>
    <col min="3085" max="3085" width="23.5703125" style="61" bestFit="1" customWidth="1"/>
    <col min="3086" max="3086" width="2.28515625" style="61"/>
    <col min="3087" max="3087" width="20.85546875" style="61" customWidth="1"/>
    <col min="3088" max="3088" width="2.28515625" style="61"/>
    <col min="3089" max="3089" width="14.140625" style="61" bestFit="1" customWidth="1"/>
    <col min="3090" max="3090" width="2.28515625" style="61"/>
    <col min="3091" max="3091" width="15.7109375" style="61" bestFit="1" customWidth="1"/>
    <col min="3092" max="3092" width="2.5703125" style="61" bestFit="1" customWidth="1"/>
    <col min="3093" max="3093" width="13.28515625" style="61" bestFit="1" customWidth="1"/>
    <col min="3094" max="3094" width="9.28515625" style="61" bestFit="1" customWidth="1"/>
    <col min="3095" max="3325" width="9.140625" style="61" customWidth="1"/>
    <col min="3326" max="3326" width="39" style="61" bestFit="1" customWidth="1"/>
    <col min="3327" max="3327" width="0.85546875" style="61" customWidth="1"/>
    <col min="3328" max="3328" width="12" style="61" customWidth="1"/>
    <col min="3329" max="3329" width="2.28515625" style="61"/>
    <col min="3330" max="3330" width="12" style="61" customWidth="1"/>
    <col min="3331" max="3331" width="2.28515625" style="61"/>
    <col min="3332" max="3332" width="3.5703125" style="61" customWidth="1"/>
    <col min="3333" max="3333" width="39" style="61" bestFit="1" customWidth="1"/>
    <col min="3334" max="3334" width="0.85546875" style="61" customWidth="1"/>
    <col min="3335" max="3335" width="20" style="61" customWidth="1"/>
    <col min="3336" max="3336" width="2.28515625" style="61"/>
    <col min="3337" max="3337" width="15.5703125" style="61" customWidth="1"/>
    <col min="3338" max="3338" width="2.28515625" style="61"/>
    <col min="3339" max="3339" width="19.42578125" style="61" bestFit="1" customWidth="1"/>
    <col min="3340" max="3340" width="2.28515625" style="61"/>
    <col min="3341" max="3341" width="23.5703125" style="61" bestFit="1" customWidth="1"/>
    <col min="3342" max="3342" width="2.28515625" style="61"/>
    <col min="3343" max="3343" width="20.85546875" style="61" customWidth="1"/>
    <col min="3344" max="3344" width="2.28515625" style="61"/>
    <col min="3345" max="3345" width="14.140625" style="61" bestFit="1" customWidth="1"/>
    <col min="3346" max="3346" width="2.28515625" style="61"/>
    <col min="3347" max="3347" width="15.7109375" style="61" bestFit="1" customWidth="1"/>
    <col min="3348" max="3348" width="2.5703125" style="61" bestFit="1" customWidth="1"/>
    <col min="3349" max="3349" width="13.28515625" style="61" bestFit="1" customWidth="1"/>
    <col min="3350" max="3350" width="9.28515625" style="61" bestFit="1" customWidth="1"/>
    <col min="3351" max="3581" width="9.140625" style="61" customWidth="1"/>
    <col min="3582" max="3582" width="39" style="61" bestFit="1" customWidth="1"/>
    <col min="3583" max="3583" width="0.85546875" style="61" customWidth="1"/>
    <col min="3584" max="3584" width="12" style="61" customWidth="1"/>
    <col min="3585" max="3585" width="2.28515625" style="61"/>
    <col min="3586" max="3586" width="12" style="61" customWidth="1"/>
    <col min="3587" max="3587" width="2.28515625" style="61"/>
    <col min="3588" max="3588" width="3.5703125" style="61" customWidth="1"/>
    <col min="3589" max="3589" width="39" style="61" bestFit="1" customWidth="1"/>
    <col min="3590" max="3590" width="0.85546875" style="61" customWidth="1"/>
    <col min="3591" max="3591" width="20" style="61" customWidth="1"/>
    <col min="3592" max="3592" width="2.28515625" style="61"/>
    <col min="3593" max="3593" width="15.5703125" style="61" customWidth="1"/>
    <col min="3594" max="3594" width="2.28515625" style="61"/>
    <col min="3595" max="3595" width="19.42578125" style="61" bestFit="1" customWidth="1"/>
    <col min="3596" max="3596" width="2.28515625" style="61"/>
    <col min="3597" max="3597" width="23.5703125" style="61" bestFit="1" customWidth="1"/>
    <col min="3598" max="3598" width="2.28515625" style="61"/>
    <col min="3599" max="3599" width="20.85546875" style="61" customWidth="1"/>
    <col min="3600" max="3600" width="2.28515625" style="61"/>
    <col min="3601" max="3601" width="14.140625" style="61" bestFit="1" customWidth="1"/>
    <col min="3602" max="3602" width="2.28515625" style="61"/>
    <col min="3603" max="3603" width="15.7109375" style="61" bestFit="1" customWidth="1"/>
    <col min="3604" max="3604" width="2.5703125" style="61" bestFit="1" customWidth="1"/>
    <col min="3605" max="3605" width="13.28515625" style="61" bestFit="1" customWidth="1"/>
    <col min="3606" max="3606" width="9.28515625" style="61" bestFit="1" customWidth="1"/>
    <col min="3607" max="3837" width="9.140625" style="61" customWidth="1"/>
    <col min="3838" max="3838" width="39" style="61" bestFit="1" customWidth="1"/>
    <col min="3839" max="3839" width="0.85546875" style="61" customWidth="1"/>
    <col min="3840" max="3840" width="12" style="61" customWidth="1"/>
    <col min="3841" max="3841" width="2.28515625" style="61"/>
    <col min="3842" max="3842" width="12" style="61" customWidth="1"/>
    <col min="3843" max="3843" width="2.28515625" style="61"/>
    <col min="3844" max="3844" width="3.5703125" style="61" customWidth="1"/>
    <col min="3845" max="3845" width="39" style="61" bestFit="1" customWidth="1"/>
    <col min="3846" max="3846" width="0.85546875" style="61" customWidth="1"/>
    <col min="3847" max="3847" width="20" style="61" customWidth="1"/>
    <col min="3848" max="3848" width="2.28515625" style="61"/>
    <col min="3849" max="3849" width="15.5703125" style="61" customWidth="1"/>
    <col min="3850" max="3850" width="2.28515625" style="61"/>
    <col min="3851" max="3851" width="19.42578125" style="61" bestFit="1" customWidth="1"/>
    <col min="3852" max="3852" width="2.28515625" style="61"/>
    <col min="3853" max="3853" width="23.5703125" style="61" bestFit="1" customWidth="1"/>
    <col min="3854" max="3854" width="2.28515625" style="61"/>
    <col min="3855" max="3855" width="20.85546875" style="61" customWidth="1"/>
    <col min="3856" max="3856" width="2.28515625" style="61"/>
    <col min="3857" max="3857" width="14.140625" style="61" bestFit="1" customWidth="1"/>
    <col min="3858" max="3858" width="2.28515625" style="61"/>
    <col min="3859" max="3859" width="15.7109375" style="61" bestFit="1" customWidth="1"/>
    <col min="3860" max="3860" width="2.5703125" style="61" bestFit="1" customWidth="1"/>
    <col min="3861" max="3861" width="13.28515625" style="61" bestFit="1" customWidth="1"/>
    <col min="3862" max="3862" width="9.28515625" style="61" bestFit="1" customWidth="1"/>
    <col min="3863" max="4093" width="9.140625" style="61" customWidth="1"/>
    <col min="4094" max="4094" width="39" style="61" bestFit="1" customWidth="1"/>
    <col min="4095" max="4095" width="0.85546875" style="61" customWidth="1"/>
    <col min="4096" max="4096" width="12" style="61" customWidth="1"/>
    <col min="4097" max="4097" width="2.28515625" style="61"/>
    <col min="4098" max="4098" width="12" style="61" customWidth="1"/>
    <col min="4099" max="4099" width="2.28515625" style="61"/>
    <col min="4100" max="4100" width="3.5703125" style="61" customWidth="1"/>
    <col min="4101" max="4101" width="39" style="61" bestFit="1" customWidth="1"/>
    <col min="4102" max="4102" width="0.85546875" style="61" customWidth="1"/>
    <col min="4103" max="4103" width="20" style="61" customWidth="1"/>
    <col min="4104" max="4104" width="2.28515625" style="61"/>
    <col min="4105" max="4105" width="15.5703125" style="61" customWidth="1"/>
    <col min="4106" max="4106" width="2.28515625" style="61"/>
    <col min="4107" max="4107" width="19.42578125" style="61" bestFit="1" customWidth="1"/>
    <col min="4108" max="4108" width="2.28515625" style="61"/>
    <col min="4109" max="4109" width="23.5703125" style="61" bestFit="1" customWidth="1"/>
    <col min="4110" max="4110" width="2.28515625" style="61"/>
    <col min="4111" max="4111" width="20.85546875" style="61" customWidth="1"/>
    <col min="4112" max="4112" width="2.28515625" style="61"/>
    <col min="4113" max="4113" width="14.140625" style="61" bestFit="1" customWidth="1"/>
    <col min="4114" max="4114" width="2.28515625" style="61"/>
    <col min="4115" max="4115" width="15.7109375" style="61" bestFit="1" customWidth="1"/>
    <col min="4116" max="4116" width="2.5703125" style="61" bestFit="1" customWidth="1"/>
    <col min="4117" max="4117" width="13.28515625" style="61" bestFit="1" customWidth="1"/>
    <col min="4118" max="4118" width="9.28515625" style="61" bestFit="1" customWidth="1"/>
    <col min="4119" max="4349" width="9.140625" style="61" customWidth="1"/>
    <col min="4350" max="4350" width="39" style="61" bestFit="1" customWidth="1"/>
    <col min="4351" max="4351" width="0.85546875" style="61" customWidth="1"/>
    <col min="4352" max="4352" width="12" style="61" customWidth="1"/>
    <col min="4353" max="4353" width="2.28515625" style="61"/>
    <col min="4354" max="4354" width="12" style="61" customWidth="1"/>
    <col min="4355" max="4355" width="2.28515625" style="61"/>
    <col min="4356" max="4356" width="3.5703125" style="61" customWidth="1"/>
    <col min="4357" max="4357" width="39" style="61" bestFit="1" customWidth="1"/>
    <col min="4358" max="4358" width="0.85546875" style="61" customWidth="1"/>
    <col min="4359" max="4359" width="20" style="61" customWidth="1"/>
    <col min="4360" max="4360" width="2.28515625" style="61"/>
    <col min="4361" max="4361" width="15.5703125" style="61" customWidth="1"/>
    <col min="4362" max="4362" width="2.28515625" style="61"/>
    <col min="4363" max="4363" width="19.42578125" style="61" bestFit="1" customWidth="1"/>
    <col min="4364" max="4364" width="2.28515625" style="61"/>
    <col min="4365" max="4365" width="23.5703125" style="61" bestFit="1" customWidth="1"/>
    <col min="4366" max="4366" width="2.28515625" style="61"/>
    <col min="4367" max="4367" width="20.85546875" style="61" customWidth="1"/>
    <col min="4368" max="4368" width="2.28515625" style="61"/>
    <col min="4369" max="4369" width="14.140625" style="61" bestFit="1" customWidth="1"/>
    <col min="4370" max="4370" width="2.28515625" style="61"/>
    <col min="4371" max="4371" width="15.7109375" style="61" bestFit="1" customWidth="1"/>
    <col min="4372" max="4372" width="2.5703125" style="61" bestFit="1" customWidth="1"/>
    <col min="4373" max="4373" width="13.28515625" style="61" bestFit="1" customWidth="1"/>
    <col min="4374" max="4374" width="9.28515625" style="61" bestFit="1" customWidth="1"/>
    <col min="4375" max="4605" width="9.140625" style="61" customWidth="1"/>
    <col min="4606" max="4606" width="39" style="61" bestFit="1" customWidth="1"/>
    <col min="4607" max="4607" width="0.85546875" style="61" customWidth="1"/>
    <col min="4608" max="4608" width="12" style="61" customWidth="1"/>
    <col min="4609" max="4609" width="2.28515625" style="61"/>
    <col min="4610" max="4610" width="12" style="61" customWidth="1"/>
    <col min="4611" max="4611" width="2.28515625" style="61"/>
    <col min="4612" max="4612" width="3.5703125" style="61" customWidth="1"/>
    <col min="4613" max="4613" width="39" style="61" bestFit="1" customWidth="1"/>
    <col min="4614" max="4614" width="0.85546875" style="61" customWidth="1"/>
    <col min="4615" max="4615" width="20" style="61" customWidth="1"/>
    <col min="4616" max="4616" width="2.28515625" style="61"/>
    <col min="4617" max="4617" width="15.5703125" style="61" customWidth="1"/>
    <col min="4618" max="4618" width="2.28515625" style="61"/>
    <col min="4619" max="4619" width="19.42578125" style="61" bestFit="1" customWidth="1"/>
    <col min="4620" max="4620" width="2.28515625" style="61"/>
    <col min="4621" max="4621" width="23.5703125" style="61" bestFit="1" customWidth="1"/>
    <col min="4622" max="4622" width="2.28515625" style="61"/>
    <col min="4623" max="4623" width="20.85546875" style="61" customWidth="1"/>
    <col min="4624" max="4624" width="2.28515625" style="61"/>
    <col min="4625" max="4625" width="14.140625" style="61" bestFit="1" customWidth="1"/>
    <col min="4626" max="4626" width="2.28515625" style="61"/>
    <col min="4627" max="4627" width="15.7109375" style="61" bestFit="1" customWidth="1"/>
    <col min="4628" max="4628" width="2.5703125" style="61" bestFit="1" customWidth="1"/>
    <col min="4629" max="4629" width="13.28515625" style="61" bestFit="1" customWidth="1"/>
    <col min="4630" max="4630" width="9.28515625" style="61" bestFit="1" customWidth="1"/>
    <col min="4631" max="4861" width="9.140625" style="61" customWidth="1"/>
    <col min="4862" max="4862" width="39" style="61" bestFit="1" customWidth="1"/>
    <col min="4863" max="4863" width="0.85546875" style="61" customWidth="1"/>
    <col min="4864" max="4864" width="12" style="61" customWidth="1"/>
    <col min="4865" max="4865" width="2.28515625" style="61"/>
    <col min="4866" max="4866" width="12" style="61" customWidth="1"/>
    <col min="4867" max="4867" width="2.28515625" style="61"/>
    <col min="4868" max="4868" width="3.5703125" style="61" customWidth="1"/>
    <col min="4869" max="4869" width="39" style="61" bestFit="1" customWidth="1"/>
    <col min="4870" max="4870" width="0.85546875" style="61" customWidth="1"/>
    <col min="4871" max="4871" width="20" style="61" customWidth="1"/>
    <col min="4872" max="4872" width="2.28515625" style="61"/>
    <col min="4873" max="4873" width="15.5703125" style="61" customWidth="1"/>
    <col min="4874" max="4874" width="2.28515625" style="61"/>
    <col min="4875" max="4875" width="19.42578125" style="61" bestFit="1" customWidth="1"/>
    <col min="4876" max="4876" width="2.28515625" style="61"/>
    <col min="4877" max="4877" width="23.5703125" style="61" bestFit="1" customWidth="1"/>
    <col min="4878" max="4878" width="2.28515625" style="61"/>
    <col min="4879" max="4879" width="20.85546875" style="61" customWidth="1"/>
    <col min="4880" max="4880" width="2.28515625" style="61"/>
    <col min="4881" max="4881" width="14.140625" style="61" bestFit="1" customWidth="1"/>
    <col min="4882" max="4882" width="2.28515625" style="61"/>
    <col min="4883" max="4883" width="15.7109375" style="61" bestFit="1" customWidth="1"/>
    <col min="4884" max="4884" width="2.5703125" style="61" bestFit="1" customWidth="1"/>
    <col min="4885" max="4885" width="13.28515625" style="61" bestFit="1" customWidth="1"/>
    <col min="4886" max="4886" width="9.28515625" style="61" bestFit="1" customWidth="1"/>
    <col min="4887" max="5117" width="9.140625" style="61" customWidth="1"/>
    <col min="5118" max="5118" width="39" style="61" bestFit="1" customWidth="1"/>
    <col min="5119" max="5119" width="0.85546875" style="61" customWidth="1"/>
    <col min="5120" max="5120" width="12" style="61" customWidth="1"/>
    <col min="5121" max="5121" width="2.28515625" style="61"/>
    <col min="5122" max="5122" width="12" style="61" customWidth="1"/>
    <col min="5123" max="5123" width="2.28515625" style="61"/>
    <col min="5124" max="5124" width="3.5703125" style="61" customWidth="1"/>
    <col min="5125" max="5125" width="39" style="61" bestFit="1" customWidth="1"/>
    <col min="5126" max="5126" width="0.85546875" style="61" customWidth="1"/>
    <col min="5127" max="5127" width="20" style="61" customWidth="1"/>
    <col min="5128" max="5128" width="2.28515625" style="61"/>
    <col min="5129" max="5129" width="15.5703125" style="61" customWidth="1"/>
    <col min="5130" max="5130" width="2.28515625" style="61"/>
    <col min="5131" max="5131" width="19.42578125" style="61" bestFit="1" customWidth="1"/>
    <col min="5132" max="5132" width="2.28515625" style="61"/>
    <col min="5133" max="5133" width="23.5703125" style="61" bestFit="1" customWidth="1"/>
    <col min="5134" max="5134" width="2.28515625" style="61"/>
    <col min="5135" max="5135" width="20.85546875" style="61" customWidth="1"/>
    <col min="5136" max="5136" width="2.28515625" style="61"/>
    <col min="5137" max="5137" width="14.140625" style="61" bestFit="1" customWidth="1"/>
    <col min="5138" max="5138" width="2.28515625" style="61"/>
    <col min="5139" max="5139" width="15.7109375" style="61" bestFit="1" customWidth="1"/>
    <col min="5140" max="5140" width="2.5703125" style="61" bestFit="1" customWidth="1"/>
    <col min="5141" max="5141" width="13.28515625" style="61" bestFit="1" customWidth="1"/>
    <col min="5142" max="5142" width="9.28515625" style="61" bestFit="1" customWidth="1"/>
    <col min="5143" max="5373" width="9.140625" style="61" customWidth="1"/>
    <col min="5374" max="5374" width="39" style="61" bestFit="1" customWidth="1"/>
    <col min="5375" max="5375" width="0.85546875" style="61" customWidth="1"/>
    <col min="5376" max="5376" width="12" style="61" customWidth="1"/>
    <col min="5377" max="5377" width="2.28515625" style="61"/>
    <col min="5378" max="5378" width="12" style="61" customWidth="1"/>
    <col min="5379" max="5379" width="2.28515625" style="61"/>
    <col min="5380" max="5380" width="3.5703125" style="61" customWidth="1"/>
    <col min="5381" max="5381" width="39" style="61" bestFit="1" customWidth="1"/>
    <col min="5382" max="5382" width="0.85546875" style="61" customWidth="1"/>
    <col min="5383" max="5383" width="20" style="61" customWidth="1"/>
    <col min="5384" max="5384" width="2.28515625" style="61"/>
    <col min="5385" max="5385" width="15.5703125" style="61" customWidth="1"/>
    <col min="5386" max="5386" width="2.28515625" style="61"/>
    <col min="5387" max="5387" width="19.42578125" style="61" bestFit="1" customWidth="1"/>
    <col min="5388" max="5388" width="2.28515625" style="61"/>
    <col min="5389" max="5389" width="23.5703125" style="61" bestFit="1" customWidth="1"/>
    <col min="5390" max="5390" width="2.28515625" style="61"/>
    <col min="5391" max="5391" width="20.85546875" style="61" customWidth="1"/>
    <col min="5392" max="5392" width="2.28515625" style="61"/>
    <col min="5393" max="5393" width="14.140625" style="61" bestFit="1" customWidth="1"/>
    <col min="5394" max="5394" width="2.28515625" style="61"/>
    <col min="5395" max="5395" width="15.7109375" style="61" bestFit="1" customWidth="1"/>
    <col min="5396" max="5396" width="2.5703125" style="61" bestFit="1" customWidth="1"/>
    <col min="5397" max="5397" width="13.28515625" style="61" bestFit="1" customWidth="1"/>
    <col min="5398" max="5398" width="9.28515625" style="61" bestFit="1" customWidth="1"/>
    <col min="5399" max="5629" width="9.140625" style="61" customWidth="1"/>
    <col min="5630" max="5630" width="39" style="61" bestFit="1" customWidth="1"/>
    <col min="5631" max="5631" width="0.85546875" style="61" customWidth="1"/>
    <col min="5632" max="5632" width="12" style="61" customWidth="1"/>
    <col min="5633" max="5633" width="2.28515625" style="61"/>
    <col min="5634" max="5634" width="12" style="61" customWidth="1"/>
    <col min="5635" max="5635" width="2.28515625" style="61"/>
    <col min="5636" max="5636" width="3.5703125" style="61" customWidth="1"/>
    <col min="5637" max="5637" width="39" style="61" bestFit="1" customWidth="1"/>
    <col min="5638" max="5638" width="0.85546875" style="61" customWidth="1"/>
    <col min="5639" max="5639" width="20" style="61" customWidth="1"/>
    <col min="5640" max="5640" width="2.28515625" style="61"/>
    <col min="5641" max="5641" width="15.5703125" style="61" customWidth="1"/>
    <col min="5642" max="5642" width="2.28515625" style="61"/>
    <col min="5643" max="5643" width="19.42578125" style="61" bestFit="1" customWidth="1"/>
    <col min="5644" max="5644" width="2.28515625" style="61"/>
    <col min="5645" max="5645" width="23.5703125" style="61" bestFit="1" customWidth="1"/>
    <col min="5646" max="5646" width="2.28515625" style="61"/>
    <col min="5647" max="5647" width="20.85546875" style="61" customWidth="1"/>
    <col min="5648" max="5648" width="2.28515625" style="61"/>
    <col min="5649" max="5649" width="14.140625" style="61" bestFit="1" customWidth="1"/>
    <col min="5650" max="5650" width="2.28515625" style="61"/>
    <col min="5651" max="5651" width="15.7109375" style="61" bestFit="1" customWidth="1"/>
    <col min="5652" max="5652" width="2.5703125" style="61" bestFit="1" customWidth="1"/>
    <col min="5653" max="5653" width="13.28515625" style="61" bestFit="1" customWidth="1"/>
    <col min="5654" max="5654" width="9.28515625" style="61" bestFit="1" customWidth="1"/>
    <col min="5655" max="5885" width="9.140625" style="61" customWidth="1"/>
    <col min="5886" max="5886" width="39" style="61" bestFit="1" customWidth="1"/>
    <col min="5887" max="5887" width="0.85546875" style="61" customWidth="1"/>
    <col min="5888" max="5888" width="12" style="61" customWidth="1"/>
    <col min="5889" max="5889" width="2.28515625" style="61"/>
    <col min="5890" max="5890" width="12" style="61" customWidth="1"/>
    <col min="5891" max="5891" width="2.28515625" style="61"/>
    <col min="5892" max="5892" width="3.5703125" style="61" customWidth="1"/>
    <col min="5893" max="5893" width="39" style="61" bestFit="1" customWidth="1"/>
    <col min="5894" max="5894" width="0.85546875" style="61" customWidth="1"/>
    <col min="5895" max="5895" width="20" style="61" customWidth="1"/>
    <col min="5896" max="5896" width="2.28515625" style="61"/>
    <col min="5897" max="5897" width="15.5703125" style="61" customWidth="1"/>
    <col min="5898" max="5898" width="2.28515625" style="61"/>
    <col min="5899" max="5899" width="19.42578125" style="61" bestFit="1" customWidth="1"/>
    <col min="5900" max="5900" width="2.28515625" style="61"/>
    <col min="5901" max="5901" width="23.5703125" style="61" bestFit="1" customWidth="1"/>
    <col min="5902" max="5902" width="2.28515625" style="61"/>
    <col min="5903" max="5903" width="20.85546875" style="61" customWidth="1"/>
    <col min="5904" max="5904" width="2.28515625" style="61"/>
    <col min="5905" max="5905" width="14.140625" style="61" bestFit="1" customWidth="1"/>
    <col min="5906" max="5906" width="2.28515625" style="61"/>
    <col min="5907" max="5907" width="15.7109375" style="61" bestFit="1" customWidth="1"/>
    <col min="5908" max="5908" width="2.5703125" style="61" bestFit="1" customWidth="1"/>
    <col min="5909" max="5909" width="13.28515625" style="61" bestFit="1" customWidth="1"/>
    <col min="5910" max="5910" width="9.28515625" style="61" bestFit="1" customWidth="1"/>
    <col min="5911" max="6141" width="9.140625" style="61" customWidth="1"/>
    <col min="6142" max="6142" width="39" style="61" bestFit="1" customWidth="1"/>
    <col min="6143" max="6143" width="0.85546875" style="61" customWidth="1"/>
    <col min="6144" max="6144" width="12" style="61" customWidth="1"/>
    <col min="6145" max="6145" width="2.28515625" style="61"/>
    <col min="6146" max="6146" width="12" style="61" customWidth="1"/>
    <col min="6147" max="6147" width="2.28515625" style="61"/>
    <col min="6148" max="6148" width="3.5703125" style="61" customWidth="1"/>
    <col min="6149" max="6149" width="39" style="61" bestFit="1" customWidth="1"/>
    <col min="6150" max="6150" width="0.85546875" style="61" customWidth="1"/>
    <col min="6151" max="6151" width="20" style="61" customWidth="1"/>
    <col min="6152" max="6152" width="2.28515625" style="61"/>
    <col min="6153" max="6153" width="15.5703125" style="61" customWidth="1"/>
    <col min="6154" max="6154" width="2.28515625" style="61"/>
    <col min="6155" max="6155" width="19.42578125" style="61" bestFit="1" customWidth="1"/>
    <col min="6156" max="6156" width="2.28515625" style="61"/>
    <col min="6157" max="6157" width="23.5703125" style="61" bestFit="1" customWidth="1"/>
    <col min="6158" max="6158" width="2.28515625" style="61"/>
    <col min="6159" max="6159" width="20.85546875" style="61" customWidth="1"/>
    <col min="6160" max="6160" width="2.28515625" style="61"/>
    <col min="6161" max="6161" width="14.140625" style="61" bestFit="1" customWidth="1"/>
    <col min="6162" max="6162" width="2.28515625" style="61"/>
    <col min="6163" max="6163" width="15.7109375" style="61" bestFit="1" customWidth="1"/>
    <col min="6164" max="6164" width="2.5703125" style="61" bestFit="1" customWidth="1"/>
    <col min="6165" max="6165" width="13.28515625" style="61" bestFit="1" customWidth="1"/>
    <col min="6166" max="6166" width="9.28515625" style="61" bestFit="1" customWidth="1"/>
    <col min="6167" max="6397" width="9.140625" style="61" customWidth="1"/>
    <col min="6398" max="6398" width="39" style="61" bestFit="1" customWidth="1"/>
    <col min="6399" max="6399" width="0.85546875" style="61" customWidth="1"/>
    <col min="6400" max="6400" width="12" style="61" customWidth="1"/>
    <col min="6401" max="6401" width="2.28515625" style="61"/>
    <col min="6402" max="6402" width="12" style="61" customWidth="1"/>
    <col min="6403" max="6403" width="2.28515625" style="61"/>
    <col min="6404" max="6404" width="3.5703125" style="61" customWidth="1"/>
    <col min="6405" max="6405" width="39" style="61" bestFit="1" customWidth="1"/>
    <col min="6406" max="6406" width="0.85546875" style="61" customWidth="1"/>
    <col min="6407" max="6407" width="20" style="61" customWidth="1"/>
    <col min="6408" max="6408" width="2.28515625" style="61"/>
    <col min="6409" max="6409" width="15.5703125" style="61" customWidth="1"/>
    <col min="6410" max="6410" width="2.28515625" style="61"/>
    <col min="6411" max="6411" width="19.42578125" style="61" bestFit="1" customWidth="1"/>
    <col min="6412" max="6412" width="2.28515625" style="61"/>
    <col min="6413" max="6413" width="23.5703125" style="61" bestFit="1" customWidth="1"/>
    <col min="6414" max="6414" width="2.28515625" style="61"/>
    <col min="6415" max="6415" width="20.85546875" style="61" customWidth="1"/>
    <col min="6416" max="6416" width="2.28515625" style="61"/>
    <col min="6417" max="6417" width="14.140625" style="61" bestFit="1" customWidth="1"/>
    <col min="6418" max="6418" width="2.28515625" style="61"/>
    <col min="6419" max="6419" width="15.7109375" style="61" bestFit="1" customWidth="1"/>
    <col min="6420" max="6420" width="2.5703125" style="61" bestFit="1" customWidth="1"/>
    <col min="6421" max="6421" width="13.28515625" style="61" bestFit="1" customWidth="1"/>
    <col min="6422" max="6422" width="9.28515625" style="61" bestFit="1" customWidth="1"/>
    <col min="6423" max="6653" width="9.140625" style="61" customWidth="1"/>
    <col min="6654" max="6654" width="39" style="61" bestFit="1" customWidth="1"/>
    <col min="6655" max="6655" width="0.85546875" style="61" customWidth="1"/>
    <col min="6656" max="6656" width="12" style="61" customWidth="1"/>
    <col min="6657" max="6657" width="2.28515625" style="61"/>
    <col min="6658" max="6658" width="12" style="61" customWidth="1"/>
    <col min="6659" max="6659" width="2.28515625" style="61"/>
    <col min="6660" max="6660" width="3.5703125" style="61" customWidth="1"/>
    <col min="6661" max="6661" width="39" style="61" bestFit="1" customWidth="1"/>
    <col min="6662" max="6662" width="0.85546875" style="61" customWidth="1"/>
    <col min="6663" max="6663" width="20" style="61" customWidth="1"/>
    <col min="6664" max="6664" width="2.28515625" style="61"/>
    <col min="6665" max="6665" width="15.5703125" style="61" customWidth="1"/>
    <col min="6666" max="6666" width="2.28515625" style="61"/>
    <col min="6667" max="6667" width="19.42578125" style="61" bestFit="1" customWidth="1"/>
    <col min="6668" max="6668" width="2.28515625" style="61"/>
    <col min="6669" max="6669" width="23.5703125" style="61" bestFit="1" customWidth="1"/>
    <col min="6670" max="6670" width="2.28515625" style="61"/>
    <col min="6671" max="6671" width="20.85546875" style="61" customWidth="1"/>
    <col min="6672" max="6672" width="2.28515625" style="61"/>
    <col min="6673" max="6673" width="14.140625" style="61" bestFit="1" customWidth="1"/>
    <col min="6674" max="6674" width="2.28515625" style="61"/>
    <col min="6675" max="6675" width="15.7109375" style="61" bestFit="1" customWidth="1"/>
    <col min="6676" max="6676" width="2.5703125" style="61" bestFit="1" customWidth="1"/>
    <col min="6677" max="6677" width="13.28515625" style="61" bestFit="1" customWidth="1"/>
    <col min="6678" max="6678" width="9.28515625" style="61" bestFit="1" customWidth="1"/>
    <col min="6679" max="6909" width="9.140625" style="61" customWidth="1"/>
    <col min="6910" max="6910" width="39" style="61" bestFit="1" customWidth="1"/>
    <col min="6911" max="6911" width="0.85546875" style="61" customWidth="1"/>
    <col min="6912" max="6912" width="12" style="61" customWidth="1"/>
    <col min="6913" max="6913" width="2.28515625" style="61"/>
    <col min="6914" max="6914" width="12" style="61" customWidth="1"/>
    <col min="6915" max="6915" width="2.28515625" style="61"/>
    <col min="6916" max="6916" width="3.5703125" style="61" customWidth="1"/>
    <col min="6917" max="6917" width="39" style="61" bestFit="1" customWidth="1"/>
    <col min="6918" max="6918" width="0.85546875" style="61" customWidth="1"/>
    <col min="6919" max="6919" width="20" style="61" customWidth="1"/>
    <col min="6920" max="6920" width="2.28515625" style="61"/>
    <col min="6921" max="6921" width="15.5703125" style="61" customWidth="1"/>
    <col min="6922" max="6922" width="2.28515625" style="61"/>
    <col min="6923" max="6923" width="19.42578125" style="61" bestFit="1" customWidth="1"/>
    <col min="6924" max="6924" width="2.28515625" style="61"/>
    <col min="6925" max="6925" width="23.5703125" style="61" bestFit="1" customWidth="1"/>
    <col min="6926" max="6926" width="2.28515625" style="61"/>
    <col min="6927" max="6927" width="20.85546875" style="61" customWidth="1"/>
    <col min="6928" max="6928" width="2.28515625" style="61"/>
    <col min="6929" max="6929" width="14.140625" style="61" bestFit="1" customWidth="1"/>
    <col min="6930" max="6930" width="2.28515625" style="61"/>
    <col min="6931" max="6931" width="15.7109375" style="61" bestFit="1" customWidth="1"/>
    <col min="6932" max="6932" width="2.5703125" style="61" bestFit="1" customWidth="1"/>
    <col min="6933" max="6933" width="13.28515625" style="61" bestFit="1" customWidth="1"/>
    <col min="6934" max="6934" width="9.28515625" style="61" bestFit="1" customWidth="1"/>
    <col min="6935" max="7165" width="9.140625" style="61" customWidth="1"/>
    <col min="7166" max="7166" width="39" style="61" bestFit="1" customWidth="1"/>
    <col min="7167" max="7167" width="0.85546875" style="61" customWidth="1"/>
    <col min="7168" max="7168" width="12" style="61" customWidth="1"/>
    <col min="7169" max="7169" width="2.28515625" style="61"/>
    <col min="7170" max="7170" width="12" style="61" customWidth="1"/>
    <col min="7171" max="7171" width="2.28515625" style="61"/>
    <col min="7172" max="7172" width="3.5703125" style="61" customWidth="1"/>
    <col min="7173" max="7173" width="39" style="61" bestFit="1" customWidth="1"/>
    <col min="7174" max="7174" width="0.85546875" style="61" customWidth="1"/>
    <col min="7175" max="7175" width="20" style="61" customWidth="1"/>
    <col min="7176" max="7176" width="2.28515625" style="61"/>
    <col min="7177" max="7177" width="15.5703125" style="61" customWidth="1"/>
    <col min="7178" max="7178" width="2.28515625" style="61"/>
    <col min="7179" max="7179" width="19.42578125" style="61" bestFit="1" customWidth="1"/>
    <col min="7180" max="7180" width="2.28515625" style="61"/>
    <col min="7181" max="7181" width="23.5703125" style="61" bestFit="1" customWidth="1"/>
    <col min="7182" max="7182" width="2.28515625" style="61"/>
    <col min="7183" max="7183" width="20.85546875" style="61" customWidth="1"/>
    <col min="7184" max="7184" width="2.28515625" style="61"/>
    <col min="7185" max="7185" width="14.140625" style="61" bestFit="1" customWidth="1"/>
    <col min="7186" max="7186" width="2.28515625" style="61"/>
    <col min="7187" max="7187" width="15.7109375" style="61" bestFit="1" customWidth="1"/>
    <col min="7188" max="7188" width="2.5703125" style="61" bestFit="1" customWidth="1"/>
    <col min="7189" max="7189" width="13.28515625" style="61" bestFit="1" customWidth="1"/>
    <col min="7190" max="7190" width="9.28515625" style="61" bestFit="1" customWidth="1"/>
    <col min="7191" max="7421" width="9.140625" style="61" customWidth="1"/>
    <col min="7422" max="7422" width="39" style="61" bestFit="1" customWidth="1"/>
    <col min="7423" max="7423" width="0.85546875" style="61" customWidth="1"/>
    <col min="7424" max="7424" width="12" style="61" customWidth="1"/>
    <col min="7425" max="7425" width="2.28515625" style="61"/>
    <col min="7426" max="7426" width="12" style="61" customWidth="1"/>
    <col min="7427" max="7427" width="2.28515625" style="61"/>
    <col min="7428" max="7428" width="3.5703125" style="61" customWidth="1"/>
    <col min="7429" max="7429" width="39" style="61" bestFit="1" customWidth="1"/>
    <col min="7430" max="7430" width="0.85546875" style="61" customWidth="1"/>
    <col min="7431" max="7431" width="20" style="61" customWidth="1"/>
    <col min="7432" max="7432" width="2.28515625" style="61"/>
    <col min="7433" max="7433" width="15.5703125" style="61" customWidth="1"/>
    <col min="7434" max="7434" width="2.28515625" style="61"/>
    <col min="7435" max="7435" width="19.42578125" style="61" bestFit="1" customWidth="1"/>
    <col min="7436" max="7436" width="2.28515625" style="61"/>
    <col min="7437" max="7437" width="23.5703125" style="61" bestFit="1" customWidth="1"/>
    <col min="7438" max="7438" width="2.28515625" style="61"/>
    <col min="7439" max="7439" width="20.85546875" style="61" customWidth="1"/>
    <col min="7440" max="7440" width="2.28515625" style="61"/>
    <col min="7441" max="7441" width="14.140625" style="61" bestFit="1" customWidth="1"/>
    <col min="7442" max="7442" width="2.28515625" style="61"/>
    <col min="7443" max="7443" width="15.7109375" style="61" bestFit="1" customWidth="1"/>
    <col min="7444" max="7444" width="2.5703125" style="61" bestFit="1" customWidth="1"/>
    <col min="7445" max="7445" width="13.28515625" style="61" bestFit="1" customWidth="1"/>
    <col min="7446" max="7446" width="9.28515625" style="61" bestFit="1" customWidth="1"/>
    <col min="7447" max="7677" width="9.140625" style="61" customWidth="1"/>
    <col min="7678" max="7678" width="39" style="61" bestFit="1" customWidth="1"/>
    <col min="7679" max="7679" width="0.85546875" style="61" customWidth="1"/>
    <col min="7680" max="7680" width="12" style="61" customWidth="1"/>
    <col min="7681" max="7681" width="2.28515625" style="61"/>
    <col min="7682" max="7682" width="12" style="61" customWidth="1"/>
    <col min="7683" max="7683" width="2.28515625" style="61"/>
    <col min="7684" max="7684" width="3.5703125" style="61" customWidth="1"/>
    <col min="7685" max="7685" width="39" style="61" bestFit="1" customWidth="1"/>
    <col min="7686" max="7686" width="0.85546875" style="61" customWidth="1"/>
    <col min="7687" max="7687" width="20" style="61" customWidth="1"/>
    <col min="7688" max="7688" width="2.28515625" style="61"/>
    <col min="7689" max="7689" width="15.5703125" style="61" customWidth="1"/>
    <col min="7690" max="7690" width="2.28515625" style="61"/>
    <col min="7691" max="7691" width="19.42578125" style="61" bestFit="1" customWidth="1"/>
    <col min="7692" max="7692" width="2.28515625" style="61"/>
    <col min="7693" max="7693" width="23.5703125" style="61" bestFit="1" customWidth="1"/>
    <col min="7694" max="7694" width="2.28515625" style="61"/>
    <col min="7695" max="7695" width="20.85546875" style="61" customWidth="1"/>
    <col min="7696" max="7696" width="2.28515625" style="61"/>
    <col min="7697" max="7697" width="14.140625" style="61" bestFit="1" customWidth="1"/>
    <col min="7698" max="7698" width="2.28515625" style="61"/>
    <col min="7699" max="7699" width="15.7109375" style="61" bestFit="1" customWidth="1"/>
    <col min="7700" max="7700" width="2.5703125" style="61" bestFit="1" customWidth="1"/>
    <col min="7701" max="7701" width="13.28515625" style="61" bestFit="1" customWidth="1"/>
    <col min="7702" max="7702" width="9.28515625" style="61" bestFit="1" customWidth="1"/>
    <col min="7703" max="7933" width="9.140625" style="61" customWidth="1"/>
    <col min="7934" max="7934" width="39" style="61" bestFit="1" customWidth="1"/>
    <col min="7935" max="7935" width="0.85546875" style="61" customWidth="1"/>
    <col min="7936" max="7936" width="12" style="61" customWidth="1"/>
    <col min="7937" max="7937" width="2.28515625" style="61"/>
    <col min="7938" max="7938" width="12" style="61" customWidth="1"/>
    <col min="7939" max="7939" width="2.28515625" style="61"/>
    <col min="7940" max="7940" width="3.5703125" style="61" customWidth="1"/>
    <col min="7941" max="7941" width="39" style="61" bestFit="1" customWidth="1"/>
    <col min="7942" max="7942" width="0.85546875" style="61" customWidth="1"/>
    <col min="7943" max="7943" width="20" style="61" customWidth="1"/>
    <col min="7944" max="7944" width="2.28515625" style="61"/>
    <col min="7945" max="7945" width="15.5703125" style="61" customWidth="1"/>
    <col min="7946" max="7946" width="2.28515625" style="61"/>
    <col min="7947" max="7947" width="19.42578125" style="61" bestFit="1" customWidth="1"/>
    <col min="7948" max="7948" width="2.28515625" style="61"/>
    <col min="7949" max="7949" width="23.5703125" style="61" bestFit="1" customWidth="1"/>
    <col min="7950" max="7950" width="2.28515625" style="61"/>
    <col min="7951" max="7951" width="20.85546875" style="61" customWidth="1"/>
    <col min="7952" max="7952" width="2.28515625" style="61"/>
    <col min="7953" max="7953" width="14.140625" style="61" bestFit="1" customWidth="1"/>
    <col min="7954" max="7954" width="2.28515625" style="61"/>
    <col min="7955" max="7955" width="15.7109375" style="61" bestFit="1" customWidth="1"/>
    <col min="7956" max="7956" width="2.5703125" style="61" bestFit="1" customWidth="1"/>
    <col min="7957" max="7957" width="13.28515625" style="61" bestFit="1" customWidth="1"/>
    <col min="7958" max="7958" width="9.28515625" style="61" bestFit="1" customWidth="1"/>
    <col min="7959" max="8189" width="9.140625" style="61" customWidth="1"/>
    <col min="8190" max="8190" width="39" style="61" bestFit="1" customWidth="1"/>
    <col min="8191" max="8191" width="0.85546875" style="61" customWidth="1"/>
    <col min="8192" max="8192" width="12" style="61" customWidth="1"/>
    <col min="8193" max="8193" width="2.28515625" style="61"/>
    <col min="8194" max="8194" width="12" style="61" customWidth="1"/>
    <col min="8195" max="8195" width="2.28515625" style="61"/>
    <col min="8196" max="8196" width="3.5703125" style="61" customWidth="1"/>
    <col min="8197" max="8197" width="39" style="61" bestFit="1" customWidth="1"/>
    <col min="8198" max="8198" width="0.85546875" style="61" customWidth="1"/>
    <col min="8199" max="8199" width="20" style="61" customWidth="1"/>
    <col min="8200" max="8200" width="2.28515625" style="61"/>
    <col min="8201" max="8201" width="15.5703125" style="61" customWidth="1"/>
    <col min="8202" max="8202" width="2.28515625" style="61"/>
    <col min="8203" max="8203" width="19.42578125" style="61" bestFit="1" customWidth="1"/>
    <col min="8204" max="8204" width="2.28515625" style="61"/>
    <col min="8205" max="8205" width="23.5703125" style="61" bestFit="1" customWidth="1"/>
    <col min="8206" max="8206" width="2.28515625" style="61"/>
    <col min="8207" max="8207" width="20.85546875" style="61" customWidth="1"/>
    <col min="8208" max="8208" width="2.28515625" style="61"/>
    <col min="8209" max="8209" width="14.140625" style="61" bestFit="1" customWidth="1"/>
    <col min="8210" max="8210" width="2.28515625" style="61"/>
    <col min="8211" max="8211" width="15.7109375" style="61" bestFit="1" customWidth="1"/>
    <col min="8212" max="8212" width="2.5703125" style="61" bestFit="1" customWidth="1"/>
    <col min="8213" max="8213" width="13.28515625" style="61" bestFit="1" customWidth="1"/>
    <col min="8214" max="8214" width="9.28515625" style="61" bestFit="1" customWidth="1"/>
    <col min="8215" max="8445" width="9.140625" style="61" customWidth="1"/>
    <col min="8446" max="8446" width="39" style="61" bestFit="1" customWidth="1"/>
    <col min="8447" max="8447" width="0.85546875" style="61" customWidth="1"/>
    <col min="8448" max="8448" width="12" style="61" customWidth="1"/>
    <col min="8449" max="8449" width="2.28515625" style="61"/>
    <col min="8450" max="8450" width="12" style="61" customWidth="1"/>
    <col min="8451" max="8451" width="2.28515625" style="61"/>
    <col min="8452" max="8452" width="3.5703125" style="61" customWidth="1"/>
    <col min="8453" max="8453" width="39" style="61" bestFit="1" customWidth="1"/>
    <col min="8454" max="8454" width="0.85546875" style="61" customWidth="1"/>
    <col min="8455" max="8455" width="20" style="61" customWidth="1"/>
    <col min="8456" max="8456" width="2.28515625" style="61"/>
    <col min="8457" max="8457" width="15.5703125" style="61" customWidth="1"/>
    <col min="8458" max="8458" width="2.28515625" style="61"/>
    <col min="8459" max="8459" width="19.42578125" style="61" bestFit="1" customWidth="1"/>
    <col min="8460" max="8460" width="2.28515625" style="61"/>
    <col min="8461" max="8461" width="23.5703125" style="61" bestFit="1" customWidth="1"/>
    <col min="8462" max="8462" width="2.28515625" style="61"/>
    <col min="8463" max="8463" width="20.85546875" style="61" customWidth="1"/>
    <col min="8464" max="8464" width="2.28515625" style="61"/>
    <col min="8465" max="8465" width="14.140625" style="61" bestFit="1" customWidth="1"/>
    <col min="8466" max="8466" width="2.28515625" style="61"/>
    <col min="8467" max="8467" width="15.7109375" style="61" bestFit="1" customWidth="1"/>
    <col min="8468" max="8468" width="2.5703125" style="61" bestFit="1" customWidth="1"/>
    <col min="8469" max="8469" width="13.28515625" style="61" bestFit="1" customWidth="1"/>
    <col min="8470" max="8470" width="9.28515625" style="61" bestFit="1" customWidth="1"/>
    <col min="8471" max="8701" width="9.140625" style="61" customWidth="1"/>
    <col min="8702" max="8702" width="39" style="61" bestFit="1" customWidth="1"/>
    <col min="8703" max="8703" width="0.85546875" style="61" customWidth="1"/>
    <col min="8704" max="8704" width="12" style="61" customWidth="1"/>
    <col min="8705" max="8705" width="2.28515625" style="61"/>
    <col min="8706" max="8706" width="12" style="61" customWidth="1"/>
    <col min="8707" max="8707" width="2.28515625" style="61"/>
    <col min="8708" max="8708" width="3.5703125" style="61" customWidth="1"/>
    <col min="8709" max="8709" width="39" style="61" bestFit="1" customWidth="1"/>
    <col min="8710" max="8710" width="0.85546875" style="61" customWidth="1"/>
    <col min="8711" max="8711" width="20" style="61" customWidth="1"/>
    <col min="8712" max="8712" width="2.28515625" style="61"/>
    <col min="8713" max="8713" width="15.5703125" style="61" customWidth="1"/>
    <col min="8714" max="8714" width="2.28515625" style="61"/>
    <col min="8715" max="8715" width="19.42578125" style="61" bestFit="1" customWidth="1"/>
    <col min="8716" max="8716" width="2.28515625" style="61"/>
    <col min="8717" max="8717" width="23.5703125" style="61" bestFit="1" customWidth="1"/>
    <col min="8718" max="8718" width="2.28515625" style="61"/>
    <col min="8719" max="8719" width="20.85546875" style="61" customWidth="1"/>
    <col min="8720" max="8720" width="2.28515625" style="61"/>
    <col min="8721" max="8721" width="14.140625" style="61" bestFit="1" customWidth="1"/>
    <col min="8722" max="8722" width="2.28515625" style="61"/>
    <col min="8723" max="8723" width="15.7109375" style="61" bestFit="1" customWidth="1"/>
    <col min="8724" max="8724" width="2.5703125" style="61" bestFit="1" customWidth="1"/>
    <col min="8725" max="8725" width="13.28515625" style="61" bestFit="1" customWidth="1"/>
    <col min="8726" max="8726" width="9.28515625" style="61" bestFit="1" customWidth="1"/>
    <col min="8727" max="8957" width="9.140625" style="61" customWidth="1"/>
    <col min="8958" max="8958" width="39" style="61" bestFit="1" customWidth="1"/>
    <col min="8959" max="8959" width="0.85546875" style="61" customWidth="1"/>
    <col min="8960" max="8960" width="12" style="61" customWidth="1"/>
    <col min="8961" max="8961" width="2.28515625" style="61"/>
    <col min="8962" max="8962" width="12" style="61" customWidth="1"/>
    <col min="8963" max="8963" width="2.28515625" style="61"/>
    <col min="8964" max="8964" width="3.5703125" style="61" customWidth="1"/>
    <col min="8965" max="8965" width="39" style="61" bestFit="1" customWidth="1"/>
    <col min="8966" max="8966" width="0.85546875" style="61" customWidth="1"/>
    <col min="8967" max="8967" width="20" style="61" customWidth="1"/>
    <col min="8968" max="8968" width="2.28515625" style="61"/>
    <col min="8969" max="8969" width="15.5703125" style="61" customWidth="1"/>
    <col min="8970" max="8970" width="2.28515625" style="61"/>
    <col min="8971" max="8971" width="19.42578125" style="61" bestFit="1" customWidth="1"/>
    <col min="8972" max="8972" width="2.28515625" style="61"/>
    <col min="8973" max="8973" width="23.5703125" style="61" bestFit="1" customWidth="1"/>
    <col min="8974" max="8974" width="2.28515625" style="61"/>
    <col min="8975" max="8975" width="20.85546875" style="61" customWidth="1"/>
    <col min="8976" max="8976" width="2.28515625" style="61"/>
    <col min="8977" max="8977" width="14.140625" style="61" bestFit="1" customWidth="1"/>
    <col min="8978" max="8978" width="2.28515625" style="61"/>
    <col min="8979" max="8979" width="15.7109375" style="61" bestFit="1" customWidth="1"/>
    <col min="8980" max="8980" width="2.5703125" style="61" bestFit="1" customWidth="1"/>
    <col min="8981" max="8981" width="13.28515625" style="61" bestFit="1" customWidth="1"/>
    <col min="8982" max="8982" width="9.28515625" style="61" bestFit="1" customWidth="1"/>
    <col min="8983" max="9213" width="9.140625" style="61" customWidth="1"/>
    <col min="9214" max="9214" width="39" style="61" bestFit="1" customWidth="1"/>
    <col min="9215" max="9215" width="0.85546875" style="61" customWidth="1"/>
    <col min="9216" max="9216" width="12" style="61" customWidth="1"/>
    <col min="9217" max="9217" width="2.28515625" style="61"/>
    <col min="9218" max="9218" width="12" style="61" customWidth="1"/>
    <col min="9219" max="9219" width="2.28515625" style="61"/>
    <col min="9220" max="9220" width="3.5703125" style="61" customWidth="1"/>
    <col min="9221" max="9221" width="39" style="61" bestFit="1" customWidth="1"/>
    <col min="9222" max="9222" width="0.85546875" style="61" customWidth="1"/>
    <col min="9223" max="9223" width="20" style="61" customWidth="1"/>
    <col min="9224" max="9224" width="2.28515625" style="61"/>
    <col min="9225" max="9225" width="15.5703125" style="61" customWidth="1"/>
    <col min="9226" max="9226" width="2.28515625" style="61"/>
    <col min="9227" max="9227" width="19.42578125" style="61" bestFit="1" customWidth="1"/>
    <col min="9228" max="9228" width="2.28515625" style="61"/>
    <col min="9229" max="9229" width="23.5703125" style="61" bestFit="1" customWidth="1"/>
    <col min="9230" max="9230" width="2.28515625" style="61"/>
    <col min="9231" max="9231" width="20.85546875" style="61" customWidth="1"/>
    <col min="9232" max="9232" width="2.28515625" style="61"/>
    <col min="9233" max="9233" width="14.140625" style="61" bestFit="1" customWidth="1"/>
    <col min="9234" max="9234" width="2.28515625" style="61"/>
    <col min="9235" max="9235" width="15.7109375" style="61" bestFit="1" customWidth="1"/>
    <col min="9236" max="9236" width="2.5703125" style="61" bestFit="1" customWidth="1"/>
    <col min="9237" max="9237" width="13.28515625" style="61" bestFit="1" customWidth="1"/>
    <col min="9238" max="9238" width="9.28515625" style="61" bestFit="1" customWidth="1"/>
    <col min="9239" max="9469" width="9.140625" style="61" customWidth="1"/>
    <col min="9470" max="9470" width="39" style="61" bestFit="1" customWidth="1"/>
    <col min="9471" max="9471" width="0.85546875" style="61" customWidth="1"/>
    <col min="9472" max="9472" width="12" style="61" customWidth="1"/>
    <col min="9473" max="9473" width="2.28515625" style="61"/>
    <col min="9474" max="9474" width="12" style="61" customWidth="1"/>
    <col min="9475" max="9475" width="2.28515625" style="61"/>
    <col min="9476" max="9476" width="3.5703125" style="61" customWidth="1"/>
    <col min="9477" max="9477" width="39" style="61" bestFit="1" customWidth="1"/>
    <col min="9478" max="9478" width="0.85546875" style="61" customWidth="1"/>
    <col min="9479" max="9479" width="20" style="61" customWidth="1"/>
    <col min="9480" max="9480" width="2.28515625" style="61"/>
    <col min="9481" max="9481" width="15.5703125" style="61" customWidth="1"/>
    <col min="9482" max="9482" width="2.28515625" style="61"/>
    <col min="9483" max="9483" width="19.42578125" style="61" bestFit="1" customWidth="1"/>
    <col min="9484" max="9484" width="2.28515625" style="61"/>
    <col min="9485" max="9485" width="23.5703125" style="61" bestFit="1" customWidth="1"/>
    <col min="9486" max="9486" width="2.28515625" style="61"/>
    <col min="9487" max="9487" width="20.85546875" style="61" customWidth="1"/>
    <col min="9488" max="9488" width="2.28515625" style="61"/>
    <col min="9489" max="9489" width="14.140625" style="61" bestFit="1" customWidth="1"/>
    <col min="9490" max="9490" width="2.28515625" style="61"/>
    <col min="9491" max="9491" width="15.7109375" style="61" bestFit="1" customWidth="1"/>
    <col min="9492" max="9492" width="2.5703125" style="61" bestFit="1" customWidth="1"/>
    <col min="9493" max="9493" width="13.28515625" style="61" bestFit="1" customWidth="1"/>
    <col min="9494" max="9494" width="9.28515625" style="61" bestFit="1" customWidth="1"/>
    <col min="9495" max="9725" width="9.140625" style="61" customWidth="1"/>
    <col min="9726" max="9726" width="39" style="61" bestFit="1" customWidth="1"/>
    <col min="9727" max="9727" width="0.85546875" style="61" customWidth="1"/>
    <col min="9728" max="9728" width="12" style="61" customWidth="1"/>
    <col min="9729" max="9729" width="2.28515625" style="61"/>
    <col min="9730" max="9730" width="12" style="61" customWidth="1"/>
    <col min="9731" max="9731" width="2.28515625" style="61"/>
    <col min="9732" max="9732" width="3.5703125" style="61" customWidth="1"/>
    <col min="9733" max="9733" width="39" style="61" bestFit="1" customWidth="1"/>
    <col min="9734" max="9734" width="0.85546875" style="61" customWidth="1"/>
    <col min="9735" max="9735" width="20" style="61" customWidth="1"/>
    <col min="9736" max="9736" width="2.28515625" style="61"/>
    <col min="9737" max="9737" width="15.5703125" style="61" customWidth="1"/>
    <col min="9738" max="9738" width="2.28515625" style="61"/>
    <col min="9739" max="9739" width="19.42578125" style="61" bestFit="1" customWidth="1"/>
    <col min="9740" max="9740" width="2.28515625" style="61"/>
    <col min="9741" max="9741" width="23.5703125" style="61" bestFit="1" customWidth="1"/>
    <col min="9742" max="9742" width="2.28515625" style="61"/>
    <col min="9743" max="9743" width="20.85546875" style="61" customWidth="1"/>
    <col min="9744" max="9744" width="2.28515625" style="61"/>
    <col min="9745" max="9745" width="14.140625" style="61" bestFit="1" customWidth="1"/>
    <col min="9746" max="9746" width="2.28515625" style="61"/>
    <col min="9747" max="9747" width="15.7109375" style="61" bestFit="1" customWidth="1"/>
    <col min="9748" max="9748" width="2.5703125" style="61" bestFit="1" customWidth="1"/>
    <col min="9749" max="9749" width="13.28515625" style="61" bestFit="1" customWidth="1"/>
    <col min="9750" max="9750" width="9.28515625" style="61" bestFit="1" customWidth="1"/>
    <col min="9751" max="9981" width="9.140625" style="61" customWidth="1"/>
    <col min="9982" max="9982" width="39" style="61" bestFit="1" customWidth="1"/>
    <col min="9983" max="9983" width="0.85546875" style="61" customWidth="1"/>
    <col min="9984" max="9984" width="12" style="61" customWidth="1"/>
    <col min="9985" max="9985" width="2.28515625" style="61"/>
    <col min="9986" max="9986" width="12" style="61" customWidth="1"/>
    <col min="9987" max="9987" width="2.28515625" style="61"/>
    <col min="9988" max="9988" width="3.5703125" style="61" customWidth="1"/>
    <col min="9989" max="9989" width="39" style="61" bestFit="1" customWidth="1"/>
    <col min="9990" max="9990" width="0.85546875" style="61" customWidth="1"/>
    <col min="9991" max="9991" width="20" style="61" customWidth="1"/>
    <col min="9992" max="9992" width="2.28515625" style="61"/>
    <col min="9993" max="9993" width="15.5703125" style="61" customWidth="1"/>
    <col min="9994" max="9994" width="2.28515625" style="61"/>
    <col min="9995" max="9995" width="19.42578125" style="61" bestFit="1" customWidth="1"/>
    <col min="9996" max="9996" width="2.28515625" style="61"/>
    <col min="9997" max="9997" width="23.5703125" style="61" bestFit="1" customWidth="1"/>
    <col min="9998" max="9998" width="2.28515625" style="61"/>
    <col min="9999" max="9999" width="20.85546875" style="61" customWidth="1"/>
    <col min="10000" max="10000" width="2.28515625" style="61"/>
    <col min="10001" max="10001" width="14.140625" style="61" bestFit="1" customWidth="1"/>
    <col min="10002" max="10002" width="2.28515625" style="61"/>
    <col min="10003" max="10003" width="15.7109375" style="61" bestFit="1" customWidth="1"/>
    <col min="10004" max="10004" width="2.5703125" style="61" bestFit="1" customWidth="1"/>
    <col min="10005" max="10005" width="13.28515625" style="61" bestFit="1" customWidth="1"/>
    <col min="10006" max="10006" width="9.28515625" style="61" bestFit="1" customWidth="1"/>
    <col min="10007" max="10237" width="9.140625" style="61" customWidth="1"/>
    <col min="10238" max="10238" width="39" style="61" bestFit="1" customWidth="1"/>
    <col min="10239" max="10239" width="0.85546875" style="61" customWidth="1"/>
    <col min="10240" max="10240" width="12" style="61" customWidth="1"/>
    <col min="10241" max="10241" width="2.28515625" style="61"/>
    <col min="10242" max="10242" width="12" style="61" customWidth="1"/>
    <col min="10243" max="10243" width="2.28515625" style="61"/>
    <col min="10244" max="10244" width="3.5703125" style="61" customWidth="1"/>
    <col min="10245" max="10245" width="39" style="61" bestFit="1" customWidth="1"/>
    <col min="10246" max="10246" width="0.85546875" style="61" customWidth="1"/>
    <col min="10247" max="10247" width="20" style="61" customWidth="1"/>
    <col min="10248" max="10248" width="2.28515625" style="61"/>
    <col min="10249" max="10249" width="15.5703125" style="61" customWidth="1"/>
    <col min="10250" max="10250" width="2.28515625" style="61"/>
    <col min="10251" max="10251" width="19.42578125" style="61" bestFit="1" customWidth="1"/>
    <col min="10252" max="10252" width="2.28515625" style="61"/>
    <col min="10253" max="10253" width="23.5703125" style="61" bestFit="1" customWidth="1"/>
    <col min="10254" max="10254" width="2.28515625" style="61"/>
    <col min="10255" max="10255" width="20.85546875" style="61" customWidth="1"/>
    <col min="10256" max="10256" width="2.28515625" style="61"/>
    <col min="10257" max="10257" width="14.140625" style="61" bestFit="1" customWidth="1"/>
    <col min="10258" max="10258" width="2.28515625" style="61"/>
    <col min="10259" max="10259" width="15.7109375" style="61" bestFit="1" customWidth="1"/>
    <col min="10260" max="10260" width="2.5703125" style="61" bestFit="1" customWidth="1"/>
    <col min="10261" max="10261" width="13.28515625" style="61" bestFit="1" customWidth="1"/>
    <col min="10262" max="10262" width="9.28515625" style="61" bestFit="1" customWidth="1"/>
    <col min="10263" max="10493" width="9.140625" style="61" customWidth="1"/>
    <col min="10494" max="10494" width="39" style="61" bestFit="1" customWidth="1"/>
    <col min="10495" max="10495" width="0.85546875" style="61" customWidth="1"/>
    <col min="10496" max="10496" width="12" style="61" customWidth="1"/>
    <col min="10497" max="10497" width="2.28515625" style="61"/>
    <col min="10498" max="10498" width="12" style="61" customWidth="1"/>
    <col min="10499" max="10499" width="2.28515625" style="61"/>
    <col min="10500" max="10500" width="3.5703125" style="61" customWidth="1"/>
    <col min="10501" max="10501" width="39" style="61" bestFit="1" customWidth="1"/>
    <col min="10502" max="10502" width="0.85546875" style="61" customWidth="1"/>
    <col min="10503" max="10503" width="20" style="61" customWidth="1"/>
    <col min="10504" max="10504" width="2.28515625" style="61"/>
    <col min="10505" max="10505" width="15.5703125" style="61" customWidth="1"/>
    <col min="10506" max="10506" width="2.28515625" style="61"/>
    <col min="10507" max="10507" width="19.42578125" style="61" bestFit="1" customWidth="1"/>
    <col min="10508" max="10508" width="2.28515625" style="61"/>
    <col min="10509" max="10509" width="23.5703125" style="61" bestFit="1" customWidth="1"/>
    <col min="10510" max="10510" width="2.28515625" style="61"/>
    <col min="10511" max="10511" width="20.85546875" style="61" customWidth="1"/>
    <col min="10512" max="10512" width="2.28515625" style="61"/>
    <col min="10513" max="10513" width="14.140625" style="61" bestFit="1" customWidth="1"/>
    <col min="10514" max="10514" width="2.28515625" style="61"/>
    <col min="10515" max="10515" width="15.7109375" style="61" bestFit="1" customWidth="1"/>
    <col min="10516" max="10516" width="2.5703125" style="61" bestFit="1" customWidth="1"/>
    <col min="10517" max="10517" width="13.28515625" style="61" bestFit="1" customWidth="1"/>
    <col min="10518" max="10518" width="9.28515625" style="61" bestFit="1" customWidth="1"/>
    <col min="10519" max="10749" width="9.140625" style="61" customWidth="1"/>
    <col min="10750" max="10750" width="39" style="61" bestFit="1" customWidth="1"/>
    <col min="10751" max="10751" width="0.85546875" style="61" customWidth="1"/>
    <col min="10752" max="10752" width="12" style="61" customWidth="1"/>
    <col min="10753" max="10753" width="2.28515625" style="61"/>
    <col min="10754" max="10754" width="12" style="61" customWidth="1"/>
    <col min="10755" max="10755" width="2.28515625" style="61"/>
    <col min="10756" max="10756" width="3.5703125" style="61" customWidth="1"/>
    <col min="10757" max="10757" width="39" style="61" bestFit="1" customWidth="1"/>
    <col min="10758" max="10758" width="0.85546875" style="61" customWidth="1"/>
    <col min="10759" max="10759" width="20" style="61" customWidth="1"/>
    <col min="10760" max="10760" width="2.28515625" style="61"/>
    <col min="10761" max="10761" width="15.5703125" style="61" customWidth="1"/>
    <col min="10762" max="10762" width="2.28515625" style="61"/>
    <col min="10763" max="10763" width="19.42578125" style="61" bestFit="1" customWidth="1"/>
    <col min="10764" max="10764" width="2.28515625" style="61"/>
    <col min="10765" max="10765" width="23.5703125" style="61" bestFit="1" customWidth="1"/>
    <col min="10766" max="10766" width="2.28515625" style="61"/>
    <col min="10767" max="10767" width="20.85546875" style="61" customWidth="1"/>
    <col min="10768" max="10768" width="2.28515625" style="61"/>
    <col min="10769" max="10769" width="14.140625" style="61" bestFit="1" customWidth="1"/>
    <col min="10770" max="10770" width="2.28515625" style="61"/>
    <col min="10771" max="10771" width="15.7109375" style="61" bestFit="1" customWidth="1"/>
    <col min="10772" max="10772" width="2.5703125" style="61" bestFit="1" customWidth="1"/>
    <col min="10773" max="10773" width="13.28515625" style="61" bestFit="1" customWidth="1"/>
    <col min="10774" max="10774" width="9.28515625" style="61" bestFit="1" customWidth="1"/>
    <col min="10775" max="11005" width="9.140625" style="61" customWidth="1"/>
    <col min="11006" max="11006" width="39" style="61" bestFit="1" customWidth="1"/>
    <col min="11007" max="11007" width="0.85546875" style="61" customWidth="1"/>
    <col min="11008" max="11008" width="12" style="61" customWidth="1"/>
    <col min="11009" max="11009" width="2.28515625" style="61"/>
    <col min="11010" max="11010" width="12" style="61" customWidth="1"/>
    <col min="11011" max="11011" width="2.28515625" style="61"/>
    <col min="11012" max="11012" width="3.5703125" style="61" customWidth="1"/>
    <col min="11013" max="11013" width="39" style="61" bestFit="1" customWidth="1"/>
    <col min="11014" max="11014" width="0.85546875" style="61" customWidth="1"/>
    <col min="11015" max="11015" width="20" style="61" customWidth="1"/>
    <col min="11016" max="11016" width="2.28515625" style="61"/>
    <col min="11017" max="11017" width="15.5703125" style="61" customWidth="1"/>
    <col min="11018" max="11018" width="2.28515625" style="61"/>
    <col min="11019" max="11019" width="19.42578125" style="61" bestFit="1" customWidth="1"/>
    <col min="11020" max="11020" width="2.28515625" style="61"/>
    <col min="11021" max="11021" width="23.5703125" style="61" bestFit="1" customWidth="1"/>
    <col min="11022" max="11022" width="2.28515625" style="61"/>
    <col min="11023" max="11023" width="20.85546875" style="61" customWidth="1"/>
    <col min="11024" max="11024" width="2.28515625" style="61"/>
    <col min="11025" max="11025" width="14.140625" style="61" bestFit="1" customWidth="1"/>
    <col min="11026" max="11026" width="2.28515625" style="61"/>
    <col min="11027" max="11027" width="15.7109375" style="61" bestFit="1" customWidth="1"/>
    <col min="11028" max="11028" width="2.5703125" style="61" bestFit="1" customWidth="1"/>
    <col min="11029" max="11029" width="13.28515625" style="61" bestFit="1" customWidth="1"/>
    <col min="11030" max="11030" width="9.28515625" style="61" bestFit="1" customWidth="1"/>
    <col min="11031" max="11261" width="9.140625" style="61" customWidth="1"/>
    <col min="11262" max="11262" width="39" style="61" bestFit="1" customWidth="1"/>
    <col min="11263" max="11263" width="0.85546875" style="61" customWidth="1"/>
    <col min="11264" max="11264" width="12" style="61" customWidth="1"/>
    <col min="11265" max="11265" width="2.28515625" style="61"/>
    <col min="11266" max="11266" width="12" style="61" customWidth="1"/>
    <col min="11267" max="11267" width="2.28515625" style="61"/>
    <col min="11268" max="11268" width="3.5703125" style="61" customWidth="1"/>
    <col min="11269" max="11269" width="39" style="61" bestFit="1" customWidth="1"/>
    <col min="11270" max="11270" width="0.85546875" style="61" customWidth="1"/>
    <col min="11271" max="11271" width="20" style="61" customWidth="1"/>
    <col min="11272" max="11272" width="2.28515625" style="61"/>
    <col min="11273" max="11273" width="15.5703125" style="61" customWidth="1"/>
    <col min="11274" max="11274" width="2.28515625" style="61"/>
    <col min="11275" max="11275" width="19.42578125" style="61" bestFit="1" customWidth="1"/>
    <col min="11276" max="11276" width="2.28515625" style="61"/>
    <col min="11277" max="11277" width="23.5703125" style="61" bestFit="1" customWidth="1"/>
    <col min="11278" max="11278" width="2.28515625" style="61"/>
    <col min="11279" max="11279" width="20.85546875" style="61" customWidth="1"/>
    <col min="11280" max="11280" width="2.28515625" style="61"/>
    <col min="11281" max="11281" width="14.140625" style="61" bestFit="1" customWidth="1"/>
    <col min="11282" max="11282" width="2.28515625" style="61"/>
    <col min="11283" max="11283" width="15.7109375" style="61" bestFit="1" customWidth="1"/>
    <col min="11284" max="11284" width="2.5703125" style="61" bestFit="1" customWidth="1"/>
    <col min="11285" max="11285" width="13.28515625" style="61" bestFit="1" customWidth="1"/>
    <col min="11286" max="11286" width="9.28515625" style="61" bestFit="1" customWidth="1"/>
    <col min="11287" max="11517" width="9.140625" style="61" customWidth="1"/>
    <col min="11518" max="11518" width="39" style="61" bestFit="1" customWidth="1"/>
    <col min="11519" max="11519" width="0.85546875" style="61" customWidth="1"/>
    <col min="11520" max="11520" width="12" style="61" customWidth="1"/>
    <col min="11521" max="11521" width="2.28515625" style="61"/>
    <col min="11522" max="11522" width="12" style="61" customWidth="1"/>
    <col min="11523" max="11523" width="2.28515625" style="61"/>
    <col min="11524" max="11524" width="3.5703125" style="61" customWidth="1"/>
    <col min="11525" max="11525" width="39" style="61" bestFit="1" customWidth="1"/>
    <col min="11526" max="11526" width="0.85546875" style="61" customWidth="1"/>
    <col min="11527" max="11527" width="20" style="61" customWidth="1"/>
    <col min="11528" max="11528" width="2.28515625" style="61"/>
    <col min="11529" max="11529" width="15.5703125" style="61" customWidth="1"/>
    <col min="11530" max="11530" width="2.28515625" style="61"/>
    <col min="11531" max="11531" width="19.42578125" style="61" bestFit="1" customWidth="1"/>
    <col min="11532" max="11532" width="2.28515625" style="61"/>
    <col min="11533" max="11533" width="23.5703125" style="61" bestFit="1" customWidth="1"/>
    <col min="11534" max="11534" width="2.28515625" style="61"/>
    <col min="11535" max="11535" width="20.85546875" style="61" customWidth="1"/>
    <col min="11536" max="11536" width="2.28515625" style="61"/>
    <col min="11537" max="11537" width="14.140625" style="61" bestFit="1" customWidth="1"/>
    <col min="11538" max="11538" width="2.28515625" style="61"/>
    <col min="11539" max="11539" width="15.7109375" style="61" bestFit="1" customWidth="1"/>
    <col min="11540" max="11540" width="2.5703125" style="61" bestFit="1" customWidth="1"/>
    <col min="11541" max="11541" width="13.28515625" style="61" bestFit="1" customWidth="1"/>
    <col min="11542" max="11542" width="9.28515625" style="61" bestFit="1" customWidth="1"/>
    <col min="11543" max="11773" width="9.140625" style="61" customWidth="1"/>
    <col min="11774" max="11774" width="39" style="61" bestFit="1" customWidth="1"/>
    <col min="11775" max="11775" width="0.85546875" style="61" customWidth="1"/>
    <col min="11776" max="11776" width="12" style="61" customWidth="1"/>
    <col min="11777" max="11777" width="2.28515625" style="61"/>
    <col min="11778" max="11778" width="12" style="61" customWidth="1"/>
    <col min="11779" max="11779" width="2.28515625" style="61"/>
    <col min="11780" max="11780" width="3.5703125" style="61" customWidth="1"/>
    <col min="11781" max="11781" width="39" style="61" bestFit="1" customWidth="1"/>
    <col min="11782" max="11782" width="0.85546875" style="61" customWidth="1"/>
    <col min="11783" max="11783" width="20" style="61" customWidth="1"/>
    <col min="11784" max="11784" width="2.28515625" style="61"/>
    <col min="11785" max="11785" width="15.5703125" style="61" customWidth="1"/>
    <col min="11786" max="11786" width="2.28515625" style="61"/>
    <col min="11787" max="11787" width="19.42578125" style="61" bestFit="1" customWidth="1"/>
    <col min="11788" max="11788" width="2.28515625" style="61"/>
    <col min="11789" max="11789" width="23.5703125" style="61" bestFit="1" customWidth="1"/>
    <col min="11790" max="11790" width="2.28515625" style="61"/>
    <col min="11791" max="11791" width="20.85546875" style="61" customWidth="1"/>
    <col min="11792" max="11792" width="2.28515625" style="61"/>
    <col min="11793" max="11793" width="14.140625" style="61" bestFit="1" customWidth="1"/>
    <col min="11794" max="11794" width="2.28515625" style="61"/>
    <col min="11795" max="11795" width="15.7109375" style="61" bestFit="1" customWidth="1"/>
    <col min="11796" max="11796" width="2.5703125" style="61" bestFit="1" customWidth="1"/>
    <col min="11797" max="11797" width="13.28515625" style="61" bestFit="1" customWidth="1"/>
    <col min="11798" max="11798" width="9.28515625" style="61" bestFit="1" customWidth="1"/>
    <col min="11799" max="12029" width="9.140625" style="61" customWidth="1"/>
    <col min="12030" max="12030" width="39" style="61" bestFit="1" customWidth="1"/>
    <col min="12031" max="12031" width="0.85546875" style="61" customWidth="1"/>
    <col min="12032" max="12032" width="12" style="61" customWidth="1"/>
    <col min="12033" max="12033" width="2.28515625" style="61"/>
    <col min="12034" max="12034" width="12" style="61" customWidth="1"/>
    <col min="12035" max="12035" width="2.28515625" style="61"/>
    <col min="12036" max="12036" width="3.5703125" style="61" customWidth="1"/>
    <col min="12037" max="12037" width="39" style="61" bestFit="1" customWidth="1"/>
    <col min="12038" max="12038" width="0.85546875" style="61" customWidth="1"/>
    <col min="12039" max="12039" width="20" style="61" customWidth="1"/>
    <col min="12040" max="12040" width="2.28515625" style="61"/>
    <col min="12041" max="12041" width="15.5703125" style="61" customWidth="1"/>
    <col min="12042" max="12042" width="2.28515625" style="61"/>
    <col min="12043" max="12043" width="19.42578125" style="61" bestFit="1" customWidth="1"/>
    <col min="12044" max="12044" width="2.28515625" style="61"/>
    <col min="12045" max="12045" width="23.5703125" style="61" bestFit="1" customWidth="1"/>
    <col min="12046" max="12046" width="2.28515625" style="61"/>
    <col min="12047" max="12047" width="20.85546875" style="61" customWidth="1"/>
    <col min="12048" max="12048" width="2.28515625" style="61"/>
    <col min="12049" max="12049" width="14.140625" style="61" bestFit="1" customWidth="1"/>
    <col min="12050" max="12050" width="2.28515625" style="61"/>
    <col min="12051" max="12051" width="15.7109375" style="61" bestFit="1" customWidth="1"/>
    <col min="12052" max="12052" width="2.5703125" style="61" bestFit="1" customWidth="1"/>
    <col min="12053" max="12053" width="13.28515625" style="61" bestFit="1" customWidth="1"/>
    <col min="12054" max="12054" width="9.28515625" style="61" bestFit="1" customWidth="1"/>
    <col min="12055" max="12285" width="9.140625" style="61" customWidth="1"/>
    <col min="12286" max="12286" width="39" style="61" bestFit="1" customWidth="1"/>
    <col min="12287" max="12287" width="0.85546875" style="61" customWidth="1"/>
    <col min="12288" max="12288" width="12" style="61" customWidth="1"/>
    <col min="12289" max="12289" width="2.28515625" style="61"/>
    <col min="12290" max="12290" width="12" style="61" customWidth="1"/>
    <col min="12291" max="12291" width="2.28515625" style="61"/>
    <col min="12292" max="12292" width="3.5703125" style="61" customWidth="1"/>
    <col min="12293" max="12293" width="39" style="61" bestFit="1" customWidth="1"/>
    <col min="12294" max="12294" width="0.85546875" style="61" customWidth="1"/>
    <col min="12295" max="12295" width="20" style="61" customWidth="1"/>
    <col min="12296" max="12296" width="2.28515625" style="61"/>
    <col min="12297" max="12297" width="15.5703125" style="61" customWidth="1"/>
    <col min="12298" max="12298" width="2.28515625" style="61"/>
    <col min="12299" max="12299" width="19.42578125" style="61" bestFit="1" customWidth="1"/>
    <col min="12300" max="12300" width="2.28515625" style="61"/>
    <col min="12301" max="12301" width="23.5703125" style="61" bestFit="1" customWidth="1"/>
    <col min="12302" max="12302" width="2.28515625" style="61"/>
    <col min="12303" max="12303" width="20.85546875" style="61" customWidth="1"/>
    <col min="12304" max="12304" width="2.28515625" style="61"/>
    <col min="12305" max="12305" width="14.140625" style="61" bestFit="1" customWidth="1"/>
    <col min="12306" max="12306" width="2.28515625" style="61"/>
    <col min="12307" max="12307" width="15.7109375" style="61" bestFit="1" customWidth="1"/>
    <col min="12308" max="12308" width="2.5703125" style="61" bestFit="1" customWidth="1"/>
    <col min="12309" max="12309" width="13.28515625" style="61" bestFit="1" customWidth="1"/>
    <col min="12310" max="12310" width="9.28515625" style="61" bestFit="1" customWidth="1"/>
    <col min="12311" max="12541" width="9.140625" style="61" customWidth="1"/>
    <col min="12542" max="12542" width="39" style="61" bestFit="1" customWidth="1"/>
    <col min="12543" max="12543" width="0.85546875" style="61" customWidth="1"/>
    <col min="12544" max="12544" width="12" style="61" customWidth="1"/>
    <col min="12545" max="12545" width="2.28515625" style="61"/>
    <col min="12546" max="12546" width="12" style="61" customWidth="1"/>
    <col min="12547" max="12547" width="2.28515625" style="61"/>
    <col min="12548" max="12548" width="3.5703125" style="61" customWidth="1"/>
    <col min="12549" max="12549" width="39" style="61" bestFit="1" customWidth="1"/>
    <col min="12550" max="12550" width="0.85546875" style="61" customWidth="1"/>
    <col min="12551" max="12551" width="20" style="61" customWidth="1"/>
    <col min="12552" max="12552" width="2.28515625" style="61"/>
    <col min="12553" max="12553" width="15.5703125" style="61" customWidth="1"/>
    <col min="12554" max="12554" width="2.28515625" style="61"/>
    <col min="12555" max="12555" width="19.42578125" style="61" bestFit="1" customWidth="1"/>
    <col min="12556" max="12556" width="2.28515625" style="61"/>
    <col min="12557" max="12557" width="23.5703125" style="61" bestFit="1" customWidth="1"/>
    <col min="12558" max="12558" width="2.28515625" style="61"/>
    <col min="12559" max="12559" width="20.85546875" style="61" customWidth="1"/>
    <col min="12560" max="12560" width="2.28515625" style="61"/>
    <col min="12561" max="12561" width="14.140625" style="61" bestFit="1" customWidth="1"/>
    <col min="12562" max="12562" width="2.28515625" style="61"/>
    <col min="12563" max="12563" width="15.7109375" style="61" bestFit="1" customWidth="1"/>
    <col min="12564" max="12564" width="2.5703125" style="61" bestFit="1" customWidth="1"/>
    <col min="12565" max="12565" width="13.28515625" style="61" bestFit="1" customWidth="1"/>
    <col min="12566" max="12566" width="9.28515625" style="61" bestFit="1" customWidth="1"/>
    <col min="12567" max="12797" width="9.140625" style="61" customWidth="1"/>
    <col min="12798" max="12798" width="39" style="61" bestFit="1" customWidth="1"/>
    <col min="12799" max="12799" width="0.85546875" style="61" customWidth="1"/>
    <col min="12800" max="12800" width="12" style="61" customWidth="1"/>
    <col min="12801" max="12801" width="2.28515625" style="61"/>
    <col min="12802" max="12802" width="12" style="61" customWidth="1"/>
    <col min="12803" max="12803" width="2.28515625" style="61"/>
    <col min="12804" max="12804" width="3.5703125" style="61" customWidth="1"/>
    <col min="12805" max="12805" width="39" style="61" bestFit="1" customWidth="1"/>
    <col min="12806" max="12806" width="0.85546875" style="61" customWidth="1"/>
    <col min="12807" max="12807" width="20" style="61" customWidth="1"/>
    <col min="12808" max="12808" width="2.28515625" style="61"/>
    <col min="12809" max="12809" width="15.5703125" style="61" customWidth="1"/>
    <col min="12810" max="12810" width="2.28515625" style="61"/>
    <col min="12811" max="12811" width="19.42578125" style="61" bestFit="1" customWidth="1"/>
    <col min="12812" max="12812" width="2.28515625" style="61"/>
    <col min="12813" max="12813" width="23.5703125" style="61" bestFit="1" customWidth="1"/>
    <col min="12814" max="12814" width="2.28515625" style="61"/>
    <col min="12815" max="12815" width="20.85546875" style="61" customWidth="1"/>
    <col min="12816" max="12816" width="2.28515625" style="61"/>
    <col min="12817" max="12817" width="14.140625" style="61" bestFit="1" customWidth="1"/>
    <col min="12818" max="12818" width="2.28515625" style="61"/>
    <col min="12819" max="12819" width="15.7109375" style="61" bestFit="1" customWidth="1"/>
    <col min="12820" max="12820" width="2.5703125" style="61" bestFit="1" customWidth="1"/>
    <col min="12821" max="12821" width="13.28515625" style="61" bestFit="1" customWidth="1"/>
    <col min="12822" max="12822" width="9.28515625" style="61" bestFit="1" customWidth="1"/>
    <col min="12823" max="13053" width="9.140625" style="61" customWidth="1"/>
    <col min="13054" max="13054" width="39" style="61" bestFit="1" customWidth="1"/>
    <col min="13055" max="13055" width="0.85546875" style="61" customWidth="1"/>
    <col min="13056" max="13056" width="12" style="61" customWidth="1"/>
    <col min="13057" max="13057" width="2.28515625" style="61"/>
    <col min="13058" max="13058" width="12" style="61" customWidth="1"/>
    <col min="13059" max="13059" width="2.28515625" style="61"/>
    <col min="13060" max="13060" width="3.5703125" style="61" customWidth="1"/>
    <col min="13061" max="13061" width="39" style="61" bestFit="1" customWidth="1"/>
    <col min="13062" max="13062" width="0.85546875" style="61" customWidth="1"/>
    <col min="13063" max="13063" width="20" style="61" customWidth="1"/>
    <col min="13064" max="13064" width="2.28515625" style="61"/>
    <col min="13065" max="13065" width="15.5703125" style="61" customWidth="1"/>
    <col min="13066" max="13066" width="2.28515625" style="61"/>
    <col min="13067" max="13067" width="19.42578125" style="61" bestFit="1" customWidth="1"/>
    <col min="13068" max="13068" width="2.28515625" style="61"/>
    <col min="13069" max="13069" width="23.5703125" style="61" bestFit="1" customWidth="1"/>
    <col min="13070" max="13070" width="2.28515625" style="61"/>
    <col min="13071" max="13071" width="20.85546875" style="61" customWidth="1"/>
    <col min="13072" max="13072" width="2.28515625" style="61"/>
    <col min="13073" max="13073" width="14.140625" style="61" bestFit="1" customWidth="1"/>
    <col min="13074" max="13074" width="2.28515625" style="61"/>
    <col min="13075" max="13075" width="15.7109375" style="61" bestFit="1" customWidth="1"/>
    <col min="13076" max="13076" width="2.5703125" style="61" bestFit="1" customWidth="1"/>
    <col min="13077" max="13077" width="13.28515625" style="61" bestFit="1" customWidth="1"/>
    <col min="13078" max="13078" width="9.28515625" style="61" bestFit="1" customWidth="1"/>
    <col min="13079" max="13309" width="9.140625" style="61" customWidth="1"/>
    <col min="13310" max="13310" width="39" style="61" bestFit="1" customWidth="1"/>
    <col min="13311" max="13311" width="0.85546875" style="61" customWidth="1"/>
    <col min="13312" max="13312" width="12" style="61" customWidth="1"/>
    <col min="13313" max="13313" width="2.28515625" style="61"/>
    <col min="13314" max="13314" width="12" style="61" customWidth="1"/>
    <col min="13315" max="13315" width="2.28515625" style="61"/>
    <col min="13316" max="13316" width="3.5703125" style="61" customWidth="1"/>
    <col min="13317" max="13317" width="39" style="61" bestFit="1" customWidth="1"/>
    <col min="13318" max="13318" width="0.85546875" style="61" customWidth="1"/>
    <col min="13319" max="13319" width="20" style="61" customWidth="1"/>
    <col min="13320" max="13320" width="2.28515625" style="61"/>
    <col min="13321" max="13321" width="15.5703125" style="61" customWidth="1"/>
    <col min="13322" max="13322" width="2.28515625" style="61"/>
    <col min="13323" max="13323" width="19.42578125" style="61" bestFit="1" customWidth="1"/>
    <col min="13324" max="13324" width="2.28515625" style="61"/>
    <col min="13325" max="13325" width="23.5703125" style="61" bestFit="1" customWidth="1"/>
    <col min="13326" max="13326" width="2.28515625" style="61"/>
    <col min="13327" max="13327" width="20.85546875" style="61" customWidth="1"/>
    <col min="13328" max="13328" width="2.28515625" style="61"/>
    <col min="13329" max="13329" width="14.140625" style="61" bestFit="1" customWidth="1"/>
    <col min="13330" max="13330" width="2.28515625" style="61"/>
    <col min="13331" max="13331" width="15.7109375" style="61" bestFit="1" customWidth="1"/>
    <col min="13332" max="13332" width="2.5703125" style="61" bestFit="1" customWidth="1"/>
    <col min="13333" max="13333" width="13.28515625" style="61" bestFit="1" customWidth="1"/>
    <col min="13334" max="13334" width="9.28515625" style="61" bestFit="1" customWidth="1"/>
    <col min="13335" max="13565" width="9.140625" style="61" customWidth="1"/>
    <col min="13566" max="13566" width="39" style="61" bestFit="1" customWidth="1"/>
    <col min="13567" max="13567" width="0.85546875" style="61" customWidth="1"/>
    <col min="13568" max="13568" width="12" style="61" customWidth="1"/>
    <col min="13569" max="13569" width="2.28515625" style="61"/>
    <col min="13570" max="13570" width="12" style="61" customWidth="1"/>
    <col min="13571" max="13571" width="2.28515625" style="61"/>
    <col min="13572" max="13572" width="3.5703125" style="61" customWidth="1"/>
    <col min="13573" max="13573" width="39" style="61" bestFit="1" customWidth="1"/>
    <col min="13574" max="13574" width="0.85546875" style="61" customWidth="1"/>
    <col min="13575" max="13575" width="20" style="61" customWidth="1"/>
    <col min="13576" max="13576" width="2.28515625" style="61"/>
    <col min="13577" max="13577" width="15.5703125" style="61" customWidth="1"/>
    <col min="13578" max="13578" width="2.28515625" style="61"/>
    <col min="13579" max="13579" width="19.42578125" style="61" bestFit="1" customWidth="1"/>
    <col min="13580" max="13580" width="2.28515625" style="61"/>
    <col min="13581" max="13581" width="23.5703125" style="61" bestFit="1" customWidth="1"/>
    <col min="13582" max="13582" width="2.28515625" style="61"/>
    <col min="13583" max="13583" width="20.85546875" style="61" customWidth="1"/>
    <col min="13584" max="13584" width="2.28515625" style="61"/>
    <col min="13585" max="13585" width="14.140625" style="61" bestFit="1" customWidth="1"/>
    <col min="13586" max="13586" width="2.28515625" style="61"/>
    <col min="13587" max="13587" width="15.7109375" style="61" bestFit="1" customWidth="1"/>
    <col min="13588" max="13588" width="2.5703125" style="61" bestFit="1" customWidth="1"/>
    <col min="13589" max="13589" width="13.28515625" style="61" bestFit="1" customWidth="1"/>
    <col min="13590" max="13590" width="9.28515625" style="61" bestFit="1" customWidth="1"/>
    <col min="13591" max="13821" width="9.140625" style="61" customWidth="1"/>
    <col min="13822" max="13822" width="39" style="61" bestFit="1" customWidth="1"/>
    <col min="13823" max="13823" width="0.85546875" style="61" customWidth="1"/>
    <col min="13824" max="13824" width="12" style="61" customWidth="1"/>
    <col min="13825" max="13825" width="2.28515625" style="61"/>
    <col min="13826" max="13826" width="12" style="61" customWidth="1"/>
    <col min="13827" max="13827" width="2.28515625" style="61"/>
    <col min="13828" max="13828" width="3.5703125" style="61" customWidth="1"/>
    <col min="13829" max="13829" width="39" style="61" bestFit="1" customWidth="1"/>
    <col min="13830" max="13830" width="0.85546875" style="61" customWidth="1"/>
    <col min="13831" max="13831" width="20" style="61" customWidth="1"/>
    <col min="13832" max="13832" width="2.28515625" style="61"/>
    <col min="13833" max="13833" width="15.5703125" style="61" customWidth="1"/>
    <col min="13834" max="13834" width="2.28515625" style="61"/>
    <col min="13835" max="13835" width="19.42578125" style="61" bestFit="1" customWidth="1"/>
    <col min="13836" max="13836" width="2.28515625" style="61"/>
    <col min="13837" max="13837" width="23.5703125" style="61" bestFit="1" customWidth="1"/>
    <col min="13838" max="13838" width="2.28515625" style="61"/>
    <col min="13839" max="13839" width="20.85546875" style="61" customWidth="1"/>
    <col min="13840" max="13840" width="2.28515625" style="61"/>
    <col min="13841" max="13841" width="14.140625" style="61" bestFit="1" customWidth="1"/>
    <col min="13842" max="13842" width="2.28515625" style="61"/>
    <col min="13843" max="13843" width="15.7109375" style="61" bestFit="1" customWidth="1"/>
    <col min="13844" max="13844" width="2.5703125" style="61" bestFit="1" customWidth="1"/>
    <col min="13845" max="13845" width="13.28515625" style="61" bestFit="1" customWidth="1"/>
    <col min="13846" max="13846" width="9.28515625" style="61" bestFit="1" customWidth="1"/>
    <col min="13847" max="14077" width="9.140625" style="61" customWidth="1"/>
    <col min="14078" max="14078" width="39" style="61" bestFit="1" customWidth="1"/>
    <col min="14079" max="14079" width="0.85546875" style="61" customWidth="1"/>
    <col min="14080" max="14080" width="12" style="61" customWidth="1"/>
    <col min="14081" max="14081" width="2.28515625" style="61"/>
    <col min="14082" max="14082" width="12" style="61" customWidth="1"/>
    <col min="14083" max="14083" width="2.28515625" style="61"/>
    <col min="14084" max="14084" width="3.5703125" style="61" customWidth="1"/>
    <col min="14085" max="14085" width="39" style="61" bestFit="1" customWidth="1"/>
    <col min="14086" max="14086" width="0.85546875" style="61" customWidth="1"/>
    <col min="14087" max="14087" width="20" style="61" customWidth="1"/>
    <col min="14088" max="14088" width="2.28515625" style="61"/>
    <col min="14089" max="14089" width="15.5703125" style="61" customWidth="1"/>
    <col min="14090" max="14090" width="2.28515625" style="61"/>
    <col min="14091" max="14091" width="19.42578125" style="61" bestFit="1" customWidth="1"/>
    <col min="14092" max="14092" width="2.28515625" style="61"/>
    <col min="14093" max="14093" width="23.5703125" style="61" bestFit="1" customWidth="1"/>
    <col min="14094" max="14094" width="2.28515625" style="61"/>
    <col min="14095" max="14095" width="20.85546875" style="61" customWidth="1"/>
    <col min="14096" max="14096" width="2.28515625" style="61"/>
    <col min="14097" max="14097" width="14.140625" style="61" bestFit="1" customWidth="1"/>
    <col min="14098" max="14098" width="2.28515625" style="61"/>
    <col min="14099" max="14099" width="15.7109375" style="61" bestFit="1" customWidth="1"/>
    <col min="14100" max="14100" width="2.5703125" style="61" bestFit="1" customWidth="1"/>
    <col min="14101" max="14101" width="13.28515625" style="61" bestFit="1" customWidth="1"/>
    <col min="14102" max="14102" width="9.28515625" style="61" bestFit="1" customWidth="1"/>
    <col min="14103" max="14333" width="9.140625" style="61" customWidth="1"/>
    <col min="14334" max="14334" width="39" style="61" bestFit="1" customWidth="1"/>
    <col min="14335" max="14335" width="0.85546875" style="61" customWidth="1"/>
    <col min="14336" max="14336" width="12" style="61" customWidth="1"/>
    <col min="14337" max="14337" width="2.28515625" style="61"/>
    <col min="14338" max="14338" width="12" style="61" customWidth="1"/>
    <col min="14339" max="14339" width="2.28515625" style="61"/>
    <col min="14340" max="14340" width="3.5703125" style="61" customWidth="1"/>
    <col min="14341" max="14341" width="39" style="61" bestFit="1" customWidth="1"/>
    <col min="14342" max="14342" width="0.85546875" style="61" customWidth="1"/>
    <col min="14343" max="14343" width="20" style="61" customWidth="1"/>
    <col min="14344" max="14344" width="2.28515625" style="61"/>
    <col min="14345" max="14345" width="15.5703125" style="61" customWidth="1"/>
    <col min="14346" max="14346" width="2.28515625" style="61"/>
    <col min="14347" max="14347" width="19.42578125" style="61" bestFit="1" customWidth="1"/>
    <col min="14348" max="14348" width="2.28515625" style="61"/>
    <col min="14349" max="14349" width="23.5703125" style="61" bestFit="1" customWidth="1"/>
    <col min="14350" max="14350" width="2.28515625" style="61"/>
    <col min="14351" max="14351" width="20.85546875" style="61" customWidth="1"/>
    <col min="14352" max="14352" width="2.28515625" style="61"/>
    <col min="14353" max="14353" width="14.140625" style="61" bestFit="1" customWidth="1"/>
    <col min="14354" max="14354" width="2.28515625" style="61"/>
    <col min="14355" max="14355" width="15.7109375" style="61" bestFit="1" customWidth="1"/>
    <col min="14356" max="14356" width="2.5703125" style="61" bestFit="1" customWidth="1"/>
    <col min="14357" max="14357" width="13.28515625" style="61" bestFit="1" customWidth="1"/>
    <col min="14358" max="14358" width="9.28515625" style="61" bestFit="1" customWidth="1"/>
    <col min="14359" max="14589" width="9.140625" style="61" customWidth="1"/>
    <col min="14590" max="14590" width="39" style="61" bestFit="1" customWidth="1"/>
    <col min="14591" max="14591" width="0.85546875" style="61" customWidth="1"/>
    <col min="14592" max="14592" width="12" style="61" customWidth="1"/>
    <col min="14593" max="14593" width="2.28515625" style="61"/>
    <col min="14594" max="14594" width="12" style="61" customWidth="1"/>
    <col min="14595" max="14595" width="2.28515625" style="61"/>
    <col min="14596" max="14596" width="3.5703125" style="61" customWidth="1"/>
    <col min="14597" max="14597" width="39" style="61" bestFit="1" customWidth="1"/>
    <col min="14598" max="14598" width="0.85546875" style="61" customWidth="1"/>
    <col min="14599" max="14599" width="20" style="61" customWidth="1"/>
    <col min="14600" max="14600" width="2.28515625" style="61"/>
    <col min="14601" max="14601" width="15.5703125" style="61" customWidth="1"/>
    <col min="14602" max="14602" width="2.28515625" style="61"/>
    <col min="14603" max="14603" width="19.42578125" style="61" bestFit="1" customWidth="1"/>
    <col min="14604" max="14604" width="2.28515625" style="61"/>
    <col min="14605" max="14605" width="23.5703125" style="61" bestFit="1" customWidth="1"/>
    <col min="14606" max="14606" width="2.28515625" style="61"/>
    <col min="14607" max="14607" width="20.85546875" style="61" customWidth="1"/>
    <col min="14608" max="14608" width="2.28515625" style="61"/>
    <col min="14609" max="14609" width="14.140625" style="61" bestFit="1" customWidth="1"/>
    <col min="14610" max="14610" width="2.28515625" style="61"/>
    <col min="14611" max="14611" width="15.7109375" style="61" bestFit="1" customWidth="1"/>
    <col min="14612" max="14612" width="2.5703125" style="61" bestFit="1" customWidth="1"/>
    <col min="14613" max="14613" width="13.28515625" style="61" bestFit="1" customWidth="1"/>
    <col min="14614" max="14614" width="9.28515625" style="61" bestFit="1" customWidth="1"/>
    <col min="14615" max="14845" width="9.140625" style="61" customWidth="1"/>
    <col min="14846" max="14846" width="39" style="61" bestFit="1" customWidth="1"/>
    <col min="14847" max="14847" width="0.85546875" style="61" customWidth="1"/>
    <col min="14848" max="14848" width="12" style="61" customWidth="1"/>
    <col min="14849" max="14849" width="2.28515625" style="61"/>
    <col min="14850" max="14850" width="12" style="61" customWidth="1"/>
    <col min="14851" max="14851" width="2.28515625" style="61"/>
    <col min="14852" max="14852" width="3.5703125" style="61" customWidth="1"/>
    <col min="14853" max="14853" width="39" style="61" bestFit="1" customWidth="1"/>
    <col min="14854" max="14854" width="0.85546875" style="61" customWidth="1"/>
    <col min="14855" max="14855" width="20" style="61" customWidth="1"/>
    <col min="14856" max="14856" width="2.28515625" style="61"/>
    <col min="14857" max="14857" width="15.5703125" style="61" customWidth="1"/>
    <col min="14858" max="14858" width="2.28515625" style="61"/>
    <col min="14859" max="14859" width="19.42578125" style="61" bestFit="1" customWidth="1"/>
    <col min="14860" max="14860" width="2.28515625" style="61"/>
    <col min="14861" max="14861" width="23.5703125" style="61" bestFit="1" customWidth="1"/>
    <col min="14862" max="14862" width="2.28515625" style="61"/>
    <col min="14863" max="14863" width="20.85546875" style="61" customWidth="1"/>
    <col min="14864" max="14864" width="2.28515625" style="61"/>
    <col min="14865" max="14865" width="14.140625" style="61" bestFit="1" customWidth="1"/>
    <col min="14866" max="14866" width="2.28515625" style="61"/>
    <col min="14867" max="14867" width="15.7109375" style="61" bestFit="1" customWidth="1"/>
    <col min="14868" max="14868" width="2.5703125" style="61" bestFit="1" customWidth="1"/>
    <col min="14869" max="14869" width="13.28515625" style="61" bestFit="1" customWidth="1"/>
    <col min="14870" max="14870" width="9.28515625" style="61" bestFit="1" customWidth="1"/>
    <col min="14871" max="15101" width="9.140625" style="61" customWidth="1"/>
    <col min="15102" max="15102" width="39" style="61" bestFit="1" customWidth="1"/>
    <col min="15103" max="15103" width="0.85546875" style="61" customWidth="1"/>
    <col min="15104" max="15104" width="12" style="61" customWidth="1"/>
    <col min="15105" max="15105" width="2.28515625" style="61"/>
    <col min="15106" max="15106" width="12" style="61" customWidth="1"/>
    <col min="15107" max="15107" width="2.28515625" style="61"/>
    <col min="15108" max="15108" width="3.5703125" style="61" customWidth="1"/>
    <col min="15109" max="15109" width="39" style="61" bestFit="1" customWidth="1"/>
    <col min="15110" max="15110" width="0.85546875" style="61" customWidth="1"/>
    <col min="15111" max="15111" width="20" style="61" customWidth="1"/>
    <col min="15112" max="15112" width="2.28515625" style="61"/>
    <col min="15113" max="15113" width="15.5703125" style="61" customWidth="1"/>
    <col min="15114" max="15114" width="2.28515625" style="61"/>
    <col min="15115" max="15115" width="19.42578125" style="61" bestFit="1" customWidth="1"/>
    <col min="15116" max="15116" width="2.28515625" style="61"/>
    <col min="15117" max="15117" width="23.5703125" style="61" bestFit="1" customWidth="1"/>
    <col min="15118" max="15118" width="2.28515625" style="61"/>
    <col min="15119" max="15119" width="20.85546875" style="61" customWidth="1"/>
    <col min="15120" max="15120" width="2.28515625" style="61"/>
    <col min="15121" max="15121" width="14.140625" style="61" bestFit="1" customWidth="1"/>
    <col min="15122" max="15122" width="2.28515625" style="61"/>
    <col min="15123" max="15123" width="15.7109375" style="61" bestFit="1" customWidth="1"/>
    <col min="15124" max="15124" width="2.5703125" style="61" bestFit="1" customWidth="1"/>
    <col min="15125" max="15125" width="13.28515625" style="61" bestFit="1" customWidth="1"/>
    <col min="15126" max="15126" width="9.28515625" style="61" bestFit="1" customWidth="1"/>
    <col min="15127" max="15357" width="9.140625" style="61" customWidth="1"/>
    <col min="15358" max="15358" width="39" style="61" bestFit="1" customWidth="1"/>
    <col min="15359" max="15359" width="0.85546875" style="61" customWidth="1"/>
    <col min="15360" max="15360" width="12" style="61" customWidth="1"/>
    <col min="15361" max="15361" width="2.28515625" style="61"/>
    <col min="15362" max="15362" width="12" style="61" customWidth="1"/>
    <col min="15363" max="15363" width="2.28515625" style="61"/>
    <col min="15364" max="15364" width="3.5703125" style="61" customWidth="1"/>
    <col min="15365" max="15365" width="39" style="61" bestFit="1" customWidth="1"/>
    <col min="15366" max="15366" width="0.85546875" style="61" customWidth="1"/>
    <col min="15367" max="15367" width="20" style="61" customWidth="1"/>
    <col min="15368" max="15368" width="2.28515625" style="61"/>
    <col min="15369" max="15369" width="15.5703125" style="61" customWidth="1"/>
    <col min="15370" max="15370" width="2.28515625" style="61"/>
    <col min="15371" max="15371" width="19.42578125" style="61" bestFit="1" customWidth="1"/>
    <col min="15372" max="15372" width="2.28515625" style="61"/>
    <col min="15373" max="15373" width="23.5703125" style="61" bestFit="1" customWidth="1"/>
    <col min="15374" max="15374" width="2.28515625" style="61"/>
    <col min="15375" max="15375" width="20.85546875" style="61" customWidth="1"/>
    <col min="15376" max="15376" width="2.28515625" style="61"/>
    <col min="15377" max="15377" width="14.140625" style="61" bestFit="1" customWidth="1"/>
    <col min="15378" max="15378" width="2.28515625" style="61"/>
    <col min="15379" max="15379" width="15.7109375" style="61" bestFit="1" customWidth="1"/>
    <col min="15380" max="15380" width="2.5703125" style="61" bestFit="1" customWidth="1"/>
    <col min="15381" max="15381" width="13.28515625" style="61" bestFit="1" customWidth="1"/>
    <col min="15382" max="15382" width="9.28515625" style="61" bestFit="1" customWidth="1"/>
    <col min="15383" max="15613" width="9.140625" style="61" customWidth="1"/>
    <col min="15614" max="15614" width="39" style="61" bestFit="1" customWidth="1"/>
    <col min="15615" max="15615" width="0.85546875" style="61" customWidth="1"/>
    <col min="15616" max="15616" width="12" style="61" customWidth="1"/>
    <col min="15617" max="15617" width="2.28515625" style="61"/>
    <col min="15618" max="15618" width="12" style="61" customWidth="1"/>
    <col min="15619" max="15619" width="2.28515625" style="61"/>
    <col min="15620" max="15620" width="3.5703125" style="61" customWidth="1"/>
    <col min="15621" max="15621" width="39" style="61" bestFit="1" customWidth="1"/>
    <col min="15622" max="15622" width="0.85546875" style="61" customWidth="1"/>
    <col min="15623" max="15623" width="20" style="61" customWidth="1"/>
    <col min="15624" max="15624" width="2.28515625" style="61"/>
    <col min="15625" max="15625" width="15.5703125" style="61" customWidth="1"/>
    <col min="15626" max="15626" width="2.28515625" style="61"/>
    <col min="15627" max="15627" width="19.42578125" style="61" bestFit="1" customWidth="1"/>
    <col min="15628" max="15628" width="2.28515625" style="61"/>
    <col min="15629" max="15629" width="23.5703125" style="61" bestFit="1" customWidth="1"/>
    <col min="15630" max="15630" width="2.28515625" style="61"/>
    <col min="15631" max="15631" width="20.85546875" style="61" customWidth="1"/>
    <col min="15632" max="15632" width="2.28515625" style="61"/>
    <col min="15633" max="15633" width="14.140625" style="61" bestFit="1" customWidth="1"/>
    <col min="15634" max="15634" width="2.28515625" style="61"/>
    <col min="15635" max="15635" width="15.7109375" style="61" bestFit="1" customWidth="1"/>
    <col min="15636" max="15636" width="2.5703125" style="61" bestFit="1" customWidth="1"/>
    <col min="15637" max="15637" width="13.28515625" style="61" bestFit="1" customWidth="1"/>
    <col min="15638" max="15638" width="9.28515625" style="61" bestFit="1" customWidth="1"/>
    <col min="15639" max="15869" width="9.140625" style="61" customWidth="1"/>
    <col min="15870" max="15870" width="39" style="61" bestFit="1" customWidth="1"/>
    <col min="15871" max="15871" width="0.85546875" style="61" customWidth="1"/>
    <col min="15872" max="15872" width="12" style="61" customWidth="1"/>
    <col min="15873" max="15873" width="2.28515625" style="61"/>
    <col min="15874" max="15874" width="12" style="61" customWidth="1"/>
    <col min="15875" max="15875" width="2.28515625" style="61"/>
    <col min="15876" max="15876" width="3.5703125" style="61" customWidth="1"/>
    <col min="15877" max="15877" width="39" style="61" bestFit="1" customWidth="1"/>
    <col min="15878" max="15878" width="0.85546875" style="61" customWidth="1"/>
    <col min="15879" max="15879" width="20" style="61" customWidth="1"/>
    <col min="15880" max="15880" width="2.28515625" style="61"/>
    <col min="15881" max="15881" width="15.5703125" style="61" customWidth="1"/>
    <col min="15882" max="15882" width="2.28515625" style="61"/>
    <col min="15883" max="15883" width="19.42578125" style="61" bestFit="1" customWidth="1"/>
    <col min="15884" max="15884" width="2.28515625" style="61"/>
    <col min="15885" max="15885" width="23.5703125" style="61" bestFit="1" customWidth="1"/>
    <col min="15886" max="15886" width="2.28515625" style="61"/>
    <col min="15887" max="15887" width="20.85546875" style="61" customWidth="1"/>
    <col min="15888" max="15888" width="2.28515625" style="61"/>
    <col min="15889" max="15889" width="14.140625" style="61" bestFit="1" customWidth="1"/>
    <col min="15890" max="15890" width="2.28515625" style="61"/>
    <col min="15891" max="15891" width="15.7109375" style="61" bestFit="1" customWidth="1"/>
    <col min="15892" max="15892" width="2.5703125" style="61" bestFit="1" customWidth="1"/>
    <col min="15893" max="15893" width="13.28515625" style="61" bestFit="1" customWidth="1"/>
    <col min="15894" max="15894" width="9.28515625" style="61" bestFit="1" customWidth="1"/>
    <col min="15895" max="16125" width="9.140625" style="61" customWidth="1"/>
    <col min="16126" max="16126" width="39" style="61" bestFit="1" customWidth="1"/>
    <col min="16127" max="16127" width="0.85546875" style="61" customWidth="1"/>
    <col min="16128" max="16128" width="12" style="61" customWidth="1"/>
    <col min="16129" max="16129" width="2.28515625" style="61"/>
    <col min="16130" max="16130" width="12" style="61" customWidth="1"/>
    <col min="16131" max="16131" width="2.28515625" style="61"/>
    <col min="16132" max="16132" width="3.5703125" style="61" customWidth="1"/>
    <col min="16133" max="16133" width="39" style="61" bestFit="1" customWidth="1"/>
    <col min="16134" max="16134" width="0.85546875" style="61" customWidth="1"/>
    <col min="16135" max="16135" width="20" style="61" customWidth="1"/>
    <col min="16136" max="16136" width="2.28515625" style="61"/>
    <col min="16137" max="16137" width="15.5703125" style="61" customWidth="1"/>
    <col min="16138" max="16138" width="2.28515625" style="61"/>
    <col min="16139" max="16139" width="19.42578125" style="61" bestFit="1" customWidth="1"/>
    <col min="16140" max="16140" width="2.28515625" style="61"/>
    <col min="16141" max="16141" width="23.5703125" style="61" bestFit="1" customWidth="1"/>
    <col min="16142" max="16142" width="2.28515625" style="61"/>
    <col min="16143" max="16143" width="20.85546875" style="61" customWidth="1"/>
    <col min="16144" max="16144" width="2.28515625" style="61"/>
    <col min="16145" max="16145" width="14.140625" style="61" bestFit="1" customWidth="1"/>
    <col min="16146" max="16146" width="2.28515625" style="61"/>
    <col min="16147" max="16147" width="15.7109375" style="61" bestFit="1" customWidth="1"/>
    <col min="16148" max="16148" width="2.5703125" style="61" bestFit="1" customWidth="1"/>
    <col min="16149" max="16149" width="13.28515625" style="61" bestFit="1" customWidth="1"/>
    <col min="16150" max="16150" width="9.28515625" style="61" bestFit="1" customWidth="1"/>
    <col min="16151" max="16381" width="9.140625" style="61" customWidth="1"/>
    <col min="16382" max="16382" width="39" style="61" bestFit="1" customWidth="1"/>
    <col min="16383" max="16383" width="0.85546875" style="61" customWidth="1"/>
    <col min="16384" max="16384" width="12" style="61" customWidth="1"/>
  </cols>
  <sheetData>
    <row r="1" spans="1:21" x14ac:dyDescent="0.2">
      <c r="E1" s="62" t="s">
        <v>107</v>
      </c>
      <c r="I1" s="62"/>
    </row>
    <row r="2" spans="1:21" x14ac:dyDescent="0.2">
      <c r="A2" s="64"/>
      <c r="B2" s="64"/>
      <c r="C2" s="62" t="s">
        <v>108</v>
      </c>
      <c r="D2" s="64"/>
      <c r="E2" s="62" t="s">
        <v>109</v>
      </c>
      <c r="F2" s="64"/>
      <c r="G2" s="62"/>
      <c r="H2" s="64"/>
      <c r="I2" s="62" t="s">
        <v>108</v>
      </c>
      <c r="J2" s="64"/>
      <c r="K2" s="62" t="s">
        <v>110</v>
      </c>
      <c r="L2" s="64"/>
      <c r="M2" s="174" t="s">
        <v>119</v>
      </c>
      <c r="N2" s="64"/>
      <c r="O2" s="174" t="s">
        <v>124</v>
      </c>
      <c r="P2" s="64"/>
      <c r="Q2" s="62" t="s">
        <v>125</v>
      </c>
      <c r="R2" s="64"/>
      <c r="S2" s="73"/>
      <c r="T2" s="175"/>
      <c r="U2" s="175"/>
    </row>
    <row r="3" spans="1:21" x14ac:dyDescent="0.2">
      <c r="A3" s="64" t="s">
        <v>15</v>
      </c>
      <c r="B3" s="64"/>
      <c r="C3" s="64" t="s">
        <v>111</v>
      </c>
      <c r="D3" s="64"/>
      <c r="E3" s="64" t="s">
        <v>120</v>
      </c>
      <c r="F3" s="64"/>
      <c r="G3" s="64" t="s">
        <v>121</v>
      </c>
      <c r="H3" s="64"/>
      <c r="I3" s="64" t="s">
        <v>122</v>
      </c>
      <c r="J3" s="64"/>
      <c r="K3" s="64" t="s">
        <v>123</v>
      </c>
      <c r="L3" s="64"/>
      <c r="M3" s="174"/>
      <c r="N3" s="64"/>
      <c r="O3" s="174"/>
      <c r="P3" s="64"/>
      <c r="Q3" s="64" t="s">
        <v>126</v>
      </c>
      <c r="R3" s="64"/>
      <c r="S3" s="64" t="s">
        <v>0</v>
      </c>
      <c r="T3" s="175"/>
      <c r="U3" s="175"/>
    </row>
    <row r="4" spans="1:21" s="1" customFormat="1" hidden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2"/>
      <c r="U4" s="62"/>
    </row>
    <row r="5" spans="1:21" hidden="1" x14ac:dyDescent="0.2">
      <c r="A5" s="66" t="s">
        <v>99</v>
      </c>
      <c r="S5" s="68"/>
    </row>
    <row r="6" spans="1:21" hidden="1" x14ac:dyDescent="0.2">
      <c r="A6" s="61" t="s">
        <v>31</v>
      </c>
      <c r="C6" s="2">
        <v>940330</v>
      </c>
      <c r="D6" s="2"/>
      <c r="E6" s="2">
        <v>9141120</v>
      </c>
      <c r="F6" s="2"/>
      <c r="G6" s="2">
        <v>3234847</v>
      </c>
      <c r="H6" s="2"/>
      <c r="I6" s="2">
        <v>2440968</v>
      </c>
      <c r="J6" s="2"/>
      <c r="K6" s="2">
        <v>1112235</v>
      </c>
      <c r="L6" s="2"/>
      <c r="M6" s="2">
        <v>2108575</v>
      </c>
      <c r="O6" s="2">
        <v>2108575</v>
      </c>
      <c r="S6" s="2">
        <f>SUM(C6:N6)</f>
        <v>18978075</v>
      </c>
    </row>
    <row r="7" spans="1:21" hidden="1" x14ac:dyDescent="0.2">
      <c r="A7" s="61" t="s">
        <v>112</v>
      </c>
      <c r="C7" s="2">
        <v>0</v>
      </c>
      <c r="D7" s="2"/>
      <c r="E7" s="2">
        <v>-2393804</v>
      </c>
      <c r="F7" s="2"/>
      <c r="G7" s="2">
        <v>-614211</v>
      </c>
      <c r="H7" s="2"/>
      <c r="I7" s="2">
        <v>-1378666</v>
      </c>
      <c r="J7" s="2"/>
      <c r="K7" s="2">
        <v>-274401</v>
      </c>
      <c r="L7" s="2"/>
      <c r="M7" s="2">
        <v>-1389269</v>
      </c>
      <c r="O7" s="2">
        <v>-1389269</v>
      </c>
      <c r="S7" s="2">
        <f>SUM(C7:N7)</f>
        <v>-6050351</v>
      </c>
    </row>
    <row r="8" spans="1:21" hidden="1" x14ac:dyDescent="0.2">
      <c r="A8" s="61" t="s">
        <v>113</v>
      </c>
      <c r="C8" s="75">
        <f>SUM(C6:C7)</f>
        <v>940330</v>
      </c>
      <c r="D8" s="68"/>
      <c r="E8" s="75">
        <f>SUM(E6:E7)</f>
        <v>6747316</v>
      </c>
      <c r="F8" s="68"/>
      <c r="G8" s="75">
        <f>SUM(G6:G7)</f>
        <v>2620636</v>
      </c>
      <c r="H8" s="68"/>
      <c r="I8" s="75">
        <f>SUM(I6:I7)</f>
        <v>1062302</v>
      </c>
      <c r="J8" s="68"/>
      <c r="K8" s="75">
        <f>SUM(K6:K7)</f>
        <v>837834</v>
      </c>
      <c r="L8" s="68"/>
      <c r="M8" s="75">
        <f>SUM(M6:M7)</f>
        <v>719306</v>
      </c>
      <c r="O8" s="75">
        <f>SUM(O6:O7)</f>
        <v>719306</v>
      </c>
      <c r="S8" s="75">
        <f>SUM(S6:S7)</f>
        <v>12927724</v>
      </c>
      <c r="T8" s="2"/>
      <c r="U8" s="68"/>
    </row>
    <row r="9" spans="1:21" hidden="1" x14ac:dyDescent="0.2">
      <c r="S9" s="68"/>
    </row>
    <row r="10" spans="1:21" hidden="1" x14ac:dyDescent="0.2">
      <c r="A10" s="66" t="s">
        <v>114</v>
      </c>
    </row>
    <row r="11" spans="1:21" hidden="1" x14ac:dyDescent="0.2">
      <c r="A11" s="61" t="s">
        <v>115</v>
      </c>
      <c r="C11" s="2">
        <v>0</v>
      </c>
      <c r="D11" s="2"/>
      <c r="E11" s="2">
        <v>0</v>
      </c>
      <c r="F11" s="2"/>
      <c r="G11" s="2">
        <v>193958</v>
      </c>
      <c r="H11" s="2"/>
      <c r="I11" s="2">
        <v>0</v>
      </c>
      <c r="J11" s="2"/>
      <c r="K11" s="2">
        <v>0</v>
      </c>
      <c r="L11" s="2"/>
      <c r="M11" s="2">
        <v>1992826</v>
      </c>
      <c r="O11" s="2">
        <v>1992826</v>
      </c>
      <c r="S11" s="2">
        <f>SUM(C11:N11)</f>
        <v>2186784</v>
      </c>
    </row>
    <row r="12" spans="1:21" hidden="1" x14ac:dyDescent="0.2">
      <c r="A12" s="61" t="s">
        <v>116</v>
      </c>
      <c r="C12" s="67">
        <v>-37613</v>
      </c>
      <c r="D12" s="2"/>
      <c r="E12" s="67">
        <v>-674732</v>
      </c>
      <c r="F12" s="2"/>
      <c r="G12" s="67">
        <v>-223417</v>
      </c>
      <c r="H12" s="2"/>
      <c r="I12" s="67">
        <v>-119468</v>
      </c>
      <c r="J12" s="2"/>
      <c r="K12" s="67">
        <v>-91467</v>
      </c>
      <c r="L12" s="2"/>
      <c r="M12" s="67">
        <v>-1556959</v>
      </c>
      <c r="O12" s="67">
        <v>-1556959</v>
      </c>
      <c r="S12" s="2">
        <f>SUM(C12:N12)</f>
        <v>-2703656</v>
      </c>
    </row>
    <row r="13" spans="1:21" hidden="1" x14ac:dyDescent="0.2">
      <c r="A13" s="61" t="s">
        <v>103</v>
      </c>
      <c r="C13" s="75">
        <f>SUM(C8:C12)</f>
        <v>902717</v>
      </c>
      <c r="D13" s="68"/>
      <c r="E13" s="75">
        <f>SUM(E8:E12)</f>
        <v>6072584</v>
      </c>
      <c r="F13" s="68"/>
      <c r="G13" s="75">
        <f>SUM(G8:G12)</f>
        <v>2591177</v>
      </c>
      <c r="H13" s="68"/>
      <c r="I13" s="75">
        <f>SUM(I8:I12)</f>
        <v>942834</v>
      </c>
      <c r="J13" s="68"/>
      <c r="K13" s="75">
        <f>SUM(K8:K12)</f>
        <v>746367</v>
      </c>
      <c r="L13" s="68"/>
      <c r="M13" s="75">
        <f>SUM(M8:M12)</f>
        <v>1155173</v>
      </c>
      <c r="O13" s="75">
        <f>SUM(O8:O12)</f>
        <v>1155173</v>
      </c>
      <c r="S13" s="75">
        <f>SUM(S8:S12)</f>
        <v>12410852</v>
      </c>
      <c r="T13" s="2"/>
      <c r="U13" s="68"/>
    </row>
    <row r="15" spans="1:21" hidden="1" x14ac:dyDescent="0.2">
      <c r="A15" s="66" t="s">
        <v>104</v>
      </c>
      <c r="G15" s="68"/>
    </row>
    <row r="16" spans="1:21" hidden="1" x14ac:dyDescent="0.2">
      <c r="A16" s="61" t="s">
        <v>31</v>
      </c>
      <c r="C16" s="2">
        <f>+C6+C11</f>
        <v>940330</v>
      </c>
      <c r="D16" s="2"/>
      <c r="E16" s="2">
        <f>+E6+E11</f>
        <v>9141120</v>
      </c>
      <c r="F16" s="2"/>
      <c r="G16" s="2">
        <f>+G6+G11</f>
        <v>3428805</v>
      </c>
      <c r="H16" s="2"/>
      <c r="I16" s="2">
        <f>+I6+I11</f>
        <v>2440968</v>
      </c>
      <c r="J16" s="2"/>
      <c r="K16" s="2">
        <f>+K6+K11</f>
        <v>1112235</v>
      </c>
      <c r="L16" s="2"/>
      <c r="M16" s="2">
        <f>+M6+M11</f>
        <v>4101401</v>
      </c>
      <c r="N16" s="2"/>
      <c r="O16" s="2">
        <v>0</v>
      </c>
      <c r="P16" s="2"/>
      <c r="Q16" s="2"/>
      <c r="R16" s="2"/>
      <c r="S16" s="2">
        <f>+S6+S11</f>
        <v>21164859</v>
      </c>
      <c r="T16" s="68"/>
      <c r="U16" s="68"/>
    </row>
    <row r="17" spans="1:21" hidden="1" x14ac:dyDescent="0.2">
      <c r="A17" s="61" t="s">
        <v>112</v>
      </c>
      <c r="C17" s="2">
        <f>+C7+C12</f>
        <v>-37613</v>
      </c>
      <c r="D17" s="2"/>
      <c r="E17" s="2">
        <f>+E7+E12</f>
        <v>-3068536</v>
      </c>
      <c r="F17" s="2"/>
      <c r="G17" s="2">
        <f>+G7+G12</f>
        <v>-837628</v>
      </c>
      <c r="H17" s="2"/>
      <c r="I17" s="2">
        <f>+I7+I12</f>
        <v>-1498134</v>
      </c>
      <c r="J17" s="2"/>
      <c r="K17" s="2">
        <f>+K7+K12</f>
        <v>-365868</v>
      </c>
      <c r="L17" s="2"/>
      <c r="M17" s="2">
        <f>+M7+M12</f>
        <v>-2946228</v>
      </c>
      <c r="N17" s="2"/>
      <c r="O17" s="2">
        <v>0</v>
      </c>
      <c r="P17" s="2"/>
      <c r="Q17" s="2"/>
      <c r="R17" s="2"/>
      <c r="S17" s="2">
        <f>+S7+S12</f>
        <v>-8754007</v>
      </c>
      <c r="U17" s="68"/>
    </row>
    <row r="18" spans="1:21" hidden="1" x14ac:dyDescent="0.2">
      <c r="A18" s="61" t="s">
        <v>33</v>
      </c>
      <c r="C18" s="75">
        <f>SUM(C16:C17)</f>
        <v>902717</v>
      </c>
      <c r="D18" s="68"/>
      <c r="E18" s="75">
        <f>SUM(E16:E17)</f>
        <v>6072584</v>
      </c>
      <c r="F18" s="68"/>
      <c r="G18" s="75">
        <f>SUM(G16:G17)</f>
        <v>2591177</v>
      </c>
      <c r="H18" s="68"/>
      <c r="I18" s="75">
        <f>SUM(I16:I17)</f>
        <v>942834</v>
      </c>
      <c r="J18" s="68"/>
      <c r="K18" s="75">
        <f>SUM(K16:K17)</f>
        <v>746367</v>
      </c>
      <c r="L18" s="68"/>
      <c r="M18" s="75">
        <f>SUM(M16:M17)</f>
        <v>1155173</v>
      </c>
      <c r="N18" s="68"/>
      <c r="O18" s="75">
        <f>SUM(O16:O17)</f>
        <v>0</v>
      </c>
      <c r="P18" s="68"/>
      <c r="Q18" s="68"/>
      <c r="R18" s="68"/>
      <c r="S18" s="75">
        <f>SUM(S16:S17)</f>
        <v>12410852</v>
      </c>
    </row>
    <row r="19" spans="1:21" ht="5.0999999999999996" hidden="1" customHeight="1" x14ac:dyDescent="0.2">
      <c r="C19" s="68"/>
      <c r="E19" s="68"/>
      <c r="G19" s="68"/>
      <c r="I19" s="68"/>
      <c r="K19" s="68"/>
      <c r="M19" s="68"/>
      <c r="O19" s="68"/>
      <c r="S19" s="68"/>
    </row>
    <row r="20" spans="1:21" hidden="1" x14ac:dyDescent="0.2">
      <c r="A20" s="66" t="s">
        <v>34</v>
      </c>
    </row>
    <row r="21" spans="1:21" hidden="1" x14ac:dyDescent="0.2">
      <c r="A21" s="61" t="s">
        <v>35</v>
      </c>
      <c r="C21" s="2">
        <v>0</v>
      </c>
      <c r="D21" s="2"/>
      <c r="E21" s="2">
        <v>0</v>
      </c>
      <c r="F21" s="2"/>
      <c r="G21" s="2">
        <v>166074</v>
      </c>
      <c r="H21" s="2"/>
      <c r="I21" s="2">
        <v>0</v>
      </c>
      <c r="J21" s="2"/>
      <c r="K21" s="2">
        <v>0</v>
      </c>
      <c r="L21" s="2"/>
      <c r="M21" s="2">
        <v>961967</v>
      </c>
      <c r="N21" s="2"/>
      <c r="O21" s="2">
        <v>0</v>
      </c>
      <c r="P21" s="2"/>
      <c r="Q21" s="2"/>
      <c r="R21" s="2"/>
      <c r="S21" s="2">
        <f>SUM(B21:M21)</f>
        <v>1128041</v>
      </c>
    </row>
    <row r="22" spans="1:21" hidden="1" x14ac:dyDescent="0.2">
      <c r="A22" s="61" t="s">
        <v>117</v>
      </c>
      <c r="C22" s="2">
        <v>0</v>
      </c>
      <c r="D22" s="2"/>
      <c r="E22" s="2">
        <v>0</v>
      </c>
      <c r="F22" s="2"/>
      <c r="G22" s="2">
        <v>-319010</v>
      </c>
      <c r="H22" s="2"/>
      <c r="I22" s="2">
        <v>0</v>
      </c>
      <c r="J22" s="2"/>
      <c r="K22" s="2">
        <v>0</v>
      </c>
      <c r="L22" s="2"/>
      <c r="M22" s="2">
        <v>394997</v>
      </c>
      <c r="N22" s="2"/>
      <c r="O22" s="2">
        <v>0</v>
      </c>
      <c r="P22" s="2"/>
      <c r="Q22" s="2"/>
      <c r="R22" s="2"/>
      <c r="S22" s="2">
        <f>SUM(B22:M22)</f>
        <v>75987</v>
      </c>
      <c r="T22" s="76"/>
    </row>
    <row r="23" spans="1:21" hidden="1" x14ac:dyDescent="0.2">
      <c r="A23" s="61" t="s">
        <v>116</v>
      </c>
      <c r="C23" s="67">
        <v>-80280</v>
      </c>
      <c r="D23" s="2"/>
      <c r="E23" s="2">
        <v>-674732</v>
      </c>
      <c r="F23" s="2"/>
      <c r="G23" s="2">
        <v>-178217</v>
      </c>
      <c r="H23" s="2"/>
      <c r="I23" s="67">
        <v>-67333</v>
      </c>
      <c r="J23" s="2"/>
      <c r="K23" s="67">
        <v>-91467</v>
      </c>
      <c r="L23" s="2"/>
      <c r="M23" s="67">
        <v>-936608</v>
      </c>
      <c r="N23" s="2"/>
      <c r="O23" s="67">
        <v>0</v>
      </c>
      <c r="P23" s="2"/>
      <c r="Q23" s="2"/>
      <c r="R23" s="2"/>
      <c r="S23" s="2">
        <f>SUM(B23:M23)</f>
        <v>-2028637</v>
      </c>
      <c r="U23" s="68"/>
    </row>
    <row r="24" spans="1:21" hidden="1" x14ac:dyDescent="0.2">
      <c r="A24" s="61" t="s">
        <v>41</v>
      </c>
      <c r="C24" s="75">
        <f>SUM(C18:C23)</f>
        <v>822437</v>
      </c>
      <c r="D24" s="68"/>
      <c r="E24" s="75">
        <f>SUM(E18:E23)</f>
        <v>5397852</v>
      </c>
      <c r="F24" s="68"/>
      <c r="G24" s="75">
        <f>SUM(G18:G23)</f>
        <v>2260024</v>
      </c>
      <c r="H24" s="68"/>
      <c r="I24" s="75">
        <f>SUM(I18:I23)</f>
        <v>875501</v>
      </c>
      <c r="J24" s="68"/>
      <c r="K24" s="75">
        <f>SUM(K18:K23)</f>
        <v>654900</v>
      </c>
      <c r="L24" s="68"/>
      <c r="M24" s="75">
        <f>SUM(M18:M23)</f>
        <v>1575529</v>
      </c>
      <c r="O24" s="75">
        <f>SUM(O18:O23)</f>
        <v>0</v>
      </c>
      <c r="S24" s="75">
        <f>SUM(S18:S23)</f>
        <v>11586243</v>
      </c>
      <c r="T24" s="2"/>
      <c r="U24" s="68"/>
    </row>
    <row r="25" spans="1:21" hidden="1" x14ac:dyDescent="0.2">
      <c r="C25" s="2"/>
      <c r="D25" s="2"/>
      <c r="E25" s="77"/>
      <c r="F25" s="7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1" x14ac:dyDescent="0.2">
      <c r="A26" s="66" t="s">
        <v>46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1" x14ac:dyDescent="0.2">
      <c r="A27" s="61" t="s">
        <v>31</v>
      </c>
      <c r="C27" s="2">
        <f>+C16+C21+C22</f>
        <v>940330</v>
      </c>
      <c r="D27" s="2"/>
      <c r="E27" s="2">
        <f>+E16+E21+E22</f>
        <v>9141120</v>
      </c>
      <c r="F27" s="2"/>
      <c r="G27" s="2">
        <f>+G16+G21+G22</f>
        <v>3275869</v>
      </c>
      <c r="H27" s="2"/>
      <c r="I27" s="2">
        <f>+I16+I21+I22</f>
        <v>2440968</v>
      </c>
      <c r="J27" s="2"/>
      <c r="K27" s="2">
        <f>+K16+K21+K22</f>
        <v>1112235</v>
      </c>
      <c r="L27" s="2"/>
      <c r="M27" s="2">
        <v>5766716</v>
      </c>
      <c r="N27" s="2"/>
      <c r="O27" s="2">
        <f>+O16+O21+O22</f>
        <v>0</v>
      </c>
      <c r="P27" s="2"/>
      <c r="Q27" s="2">
        <v>394335</v>
      </c>
      <c r="R27" s="2"/>
      <c r="S27" s="2">
        <f>SUM(E27:R27)</f>
        <v>22131243</v>
      </c>
      <c r="U27" s="2"/>
    </row>
    <row r="28" spans="1:21" x14ac:dyDescent="0.2">
      <c r="A28" s="61" t="s">
        <v>112</v>
      </c>
      <c r="C28" s="2">
        <f>+C17+C23</f>
        <v>-117893</v>
      </c>
      <c r="D28" s="2"/>
      <c r="E28" s="2">
        <f>+E17+E23</f>
        <v>-3743268</v>
      </c>
      <c r="F28" s="2"/>
      <c r="G28" s="2">
        <f>+G17+G23</f>
        <v>-1015845</v>
      </c>
      <c r="H28" s="2"/>
      <c r="I28" s="2">
        <f>+I17+I23</f>
        <v>-1565467</v>
      </c>
      <c r="J28" s="2"/>
      <c r="K28" s="2">
        <f>+K17+K23</f>
        <v>-457335</v>
      </c>
      <c r="L28" s="2"/>
      <c r="M28" s="2">
        <v>-4073216</v>
      </c>
      <c r="N28" s="2"/>
      <c r="O28" s="2">
        <f>+O17+O23</f>
        <v>0</v>
      </c>
      <c r="P28" s="2"/>
      <c r="Q28" s="2"/>
      <c r="R28" s="2"/>
      <c r="S28" s="2">
        <f>SUM(E28:R28)</f>
        <v>-10855131</v>
      </c>
      <c r="U28" s="2"/>
    </row>
    <row r="29" spans="1:21" x14ac:dyDescent="0.2">
      <c r="A29" s="61" t="s">
        <v>33</v>
      </c>
      <c r="C29" s="3">
        <f>SUM(C27:C28)</f>
        <v>822437</v>
      </c>
      <c r="D29" s="2"/>
      <c r="E29" s="3">
        <f>SUM(E27:E28)</f>
        <v>5397852</v>
      </c>
      <c r="F29" s="2"/>
      <c r="G29" s="3">
        <f>SUM(G27:G28)</f>
        <v>2260024</v>
      </c>
      <c r="H29" s="2"/>
      <c r="I29" s="3">
        <f>SUM(I27:I28)</f>
        <v>875501</v>
      </c>
      <c r="J29" s="2"/>
      <c r="K29" s="3">
        <f>SUM(K27:K28)</f>
        <v>654900</v>
      </c>
      <c r="L29" s="2"/>
      <c r="M29" s="3">
        <f>SUM(M27:M28)</f>
        <v>1693500</v>
      </c>
      <c r="N29" s="2"/>
      <c r="O29" s="3">
        <f>SUM(O27:O28)</f>
        <v>0</v>
      </c>
      <c r="P29" s="2"/>
      <c r="Q29" s="3">
        <f>SUM(Q27:Q28)</f>
        <v>394335</v>
      </c>
      <c r="R29" s="2"/>
      <c r="S29" s="3">
        <f>SUM(S27:S28)</f>
        <v>11276112</v>
      </c>
      <c r="U29" s="2"/>
    </row>
    <row r="30" spans="1:21" ht="5.0999999999999996" customHeight="1" x14ac:dyDescent="0.2"/>
    <row r="31" spans="1:21" x14ac:dyDescent="0.2">
      <c r="A31" s="66" t="s">
        <v>42</v>
      </c>
    </row>
    <row r="32" spans="1:21" x14ac:dyDescent="0.2">
      <c r="A32" s="61" t="s">
        <v>35</v>
      </c>
      <c r="C32" s="2">
        <v>0</v>
      </c>
      <c r="D32" s="2"/>
      <c r="E32" s="2">
        <v>0</v>
      </c>
      <c r="F32" s="2"/>
      <c r="G32" s="2">
        <v>38821</v>
      </c>
      <c r="H32" s="2"/>
      <c r="I32" s="2">
        <v>0</v>
      </c>
      <c r="J32" s="2"/>
      <c r="K32" s="2">
        <v>0</v>
      </c>
      <c r="L32" s="2"/>
      <c r="M32" s="2">
        <v>967271</v>
      </c>
      <c r="N32" s="2"/>
      <c r="O32" s="2">
        <v>277873</v>
      </c>
      <c r="P32" s="2"/>
      <c r="Q32" s="2"/>
      <c r="R32" s="2"/>
      <c r="S32" s="2">
        <f>SUM(B32:O32)</f>
        <v>1283965</v>
      </c>
    </row>
    <row r="33" spans="1:21" x14ac:dyDescent="0.2">
      <c r="A33" s="61" t="s">
        <v>117</v>
      </c>
      <c r="C33" s="2">
        <v>0</v>
      </c>
      <c r="D33" s="2"/>
      <c r="E33" s="2">
        <v>3573728</v>
      </c>
      <c r="F33" s="2"/>
      <c r="G33" s="2">
        <v>0</v>
      </c>
      <c r="H33" s="2"/>
      <c r="I33" s="2">
        <v>0</v>
      </c>
      <c r="J33" s="2"/>
      <c r="K33" s="2">
        <v>0</v>
      </c>
      <c r="L33" s="2"/>
      <c r="M33" s="2">
        <v>0</v>
      </c>
      <c r="N33" s="2"/>
      <c r="O33" s="2">
        <v>0</v>
      </c>
      <c r="P33" s="2"/>
      <c r="Q33" s="2"/>
      <c r="R33" s="2"/>
      <c r="S33" s="2">
        <f>SUM(B33:O33)</f>
        <v>3573728</v>
      </c>
      <c r="T33" s="76"/>
    </row>
    <row r="34" spans="1:21" x14ac:dyDescent="0.2">
      <c r="A34" s="61" t="s">
        <v>38</v>
      </c>
      <c r="C34" s="2">
        <v>0</v>
      </c>
      <c r="D34" s="2"/>
      <c r="E34" s="2">
        <v>0</v>
      </c>
      <c r="F34" s="2"/>
      <c r="G34" s="2">
        <v>0</v>
      </c>
      <c r="H34" s="2"/>
      <c r="I34" s="2">
        <v>0</v>
      </c>
      <c r="J34" s="2"/>
      <c r="K34" s="2">
        <v>0</v>
      </c>
      <c r="L34" s="2"/>
      <c r="M34" s="2">
        <v>5025</v>
      </c>
      <c r="N34" s="2"/>
      <c r="O34" s="2">
        <v>0</v>
      </c>
      <c r="P34" s="2"/>
      <c r="Q34" s="2"/>
      <c r="R34" s="2"/>
      <c r="S34" s="2">
        <f>SUM(B34:O34)</f>
        <v>5025</v>
      </c>
      <c r="T34" s="76"/>
    </row>
    <row r="35" spans="1:21" x14ac:dyDescent="0.2">
      <c r="A35" s="61" t="s">
        <v>116</v>
      </c>
      <c r="C35" s="67">
        <v>-83835</v>
      </c>
      <c r="D35" s="2"/>
      <c r="E35" s="2">
        <v>-730959</v>
      </c>
      <c r="F35" s="2"/>
      <c r="G35" s="2">
        <v>-213238</v>
      </c>
      <c r="H35" s="2"/>
      <c r="I35" s="67">
        <v>-67333</v>
      </c>
      <c r="J35" s="2"/>
      <c r="K35" s="67">
        <v>-99089</v>
      </c>
      <c r="L35" s="2"/>
      <c r="M35" s="67">
        <v>-913176</v>
      </c>
      <c r="N35" s="2"/>
      <c r="O35" s="67">
        <v>-162094</v>
      </c>
      <c r="P35" s="2"/>
      <c r="Q35" s="2"/>
      <c r="R35" s="2"/>
      <c r="S35" s="67">
        <f>SUM(E35:O35)</f>
        <v>-2185889</v>
      </c>
      <c r="U35" s="68"/>
    </row>
    <row r="36" spans="1:21" x14ac:dyDescent="0.2">
      <c r="A36" s="61" t="s">
        <v>44</v>
      </c>
      <c r="C36" s="75">
        <f>SUM(C29:C35)</f>
        <v>738602</v>
      </c>
      <c r="D36" s="68"/>
      <c r="E36" s="75">
        <f>SUM(E29:E35)</f>
        <v>8240621</v>
      </c>
      <c r="F36" s="68"/>
      <c r="G36" s="75">
        <f>SUM(G29:G35)</f>
        <v>2085607</v>
      </c>
      <c r="H36" s="68"/>
      <c r="I36" s="75">
        <f>SUM(I29:I35)</f>
        <v>808168</v>
      </c>
      <c r="J36" s="68"/>
      <c r="K36" s="75">
        <f>SUM(K29:K35)</f>
        <v>555811</v>
      </c>
      <c r="L36" s="68"/>
      <c r="M36" s="75">
        <f>SUM(M29:M35)</f>
        <v>1752620</v>
      </c>
      <c r="O36" s="75">
        <f>SUM(O29:O35)</f>
        <v>115779</v>
      </c>
      <c r="Q36" s="78">
        <f>SUM(Q29:Q35)</f>
        <v>394335</v>
      </c>
      <c r="S36" s="75">
        <f>SUM(S29:S35)</f>
        <v>13952941</v>
      </c>
      <c r="T36" s="2"/>
      <c r="U36" s="68"/>
    </row>
    <row r="37" spans="1:21" ht="5.0999999999999996" customHeight="1" x14ac:dyDescent="0.2">
      <c r="C37" s="2"/>
      <c r="D37" s="2"/>
      <c r="E37" s="77"/>
      <c r="F37" s="7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21" x14ac:dyDescent="0.2">
      <c r="A38" s="66" t="s">
        <v>45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21" x14ac:dyDescent="0.2">
      <c r="A39" s="61" t="s">
        <v>31</v>
      </c>
      <c r="C39" s="2">
        <f>+C27+C32+C33</f>
        <v>940330</v>
      </c>
      <c r="D39" s="2"/>
      <c r="E39" s="2">
        <f>+E27+E32+E33</f>
        <v>12714848</v>
      </c>
      <c r="F39" s="2"/>
      <c r="G39" s="2">
        <f>+G27+G32+G33</f>
        <v>3314690</v>
      </c>
      <c r="H39" s="2"/>
      <c r="I39" s="2">
        <f>+I27+I32+I33</f>
        <v>2440968</v>
      </c>
      <c r="J39" s="2"/>
      <c r="K39" s="2">
        <f>+K27+K32+K33</f>
        <v>1112235</v>
      </c>
      <c r="L39" s="2"/>
      <c r="M39" s="2">
        <f>+M27+M32+M33+M34</f>
        <v>6739012</v>
      </c>
      <c r="N39" s="2"/>
      <c r="O39" s="2">
        <f>+O27+O32+O33</f>
        <v>277873</v>
      </c>
      <c r="P39" s="2"/>
      <c r="Q39" s="2">
        <f>+Q27+Q32+Q33</f>
        <v>394335</v>
      </c>
      <c r="R39" s="2"/>
      <c r="S39" s="2">
        <f>+S27+S32+S33+S34</f>
        <v>26993961</v>
      </c>
      <c r="U39" s="2"/>
    </row>
    <row r="40" spans="1:21" x14ac:dyDescent="0.2">
      <c r="A40" s="61" t="s">
        <v>112</v>
      </c>
      <c r="C40" s="2">
        <f>+C28+C35</f>
        <v>-201728</v>
      </c>
      <c r="D40" s="2"/>
      <c r="E40" s="2">
        <f>+E28+E35</f>
        <v>-4474227</v>
      </c>
      <c r="F40" s="2"/>
      <c r="G40" s="2">
        <f>+G28+G35</f>
        <v>-1229083</v>
      </c>
      <c r="H40" s="2"/>
      <c r="I40" s="2">
        <f>+I28+I35</f>
        <v>-1632800</v>
      </c>
      <c r="J40" s="2"/>
      <c r="K40" s="2">
        <f>+K28+K35</f>
        <v>-556424</v>
      </c>
      <c r="L40" s="2"/>
      <c r="M40" s="2">
        <f>+M28+M35</f>
        <v>-4986392</v>
      </c>
      <c r="N40" s="2"/>
      <c r="O40" s="2">
        <f>+O28+O35</f>
        <v>-162094</v>
      </c>
      <c r="P40" s="2"/>
      <c r="Q40" s="2">
        <f>+Q28+Q35</f>
        <v>0</v>
      </c>
      <c r="R40" s="2"/>
      <c r="S40" s="2">
        <f>+S28+S35</f>
        <v>-13041020</v>
      </c>
      <c r="U40" s="2"/>
    </row>
    <row r="41" spans="1:21" ht="12.75" thickBot="1" x14ac:dyDescent="0.25">
      <c r="A41" s="61" t="s">
        <v>33</v>
      </c>
      <c r="C41" s="71">
        <f>SUM(C39:C40)</f>
        <v>738602</v>
      </c>
      <c r="D41" s="2"/>
      <c r="E41" s="71">
        <f>SUM(E39:E40)</f>
        <v>8240621</v>
      </c>
      <c r="F41" s="2"/>
      <c r="G41" s="71">
        <f>SUM(G39:G40)</f>
        <v>2085607</v>
      </c>
      <c r="H41" s="2"/>
      <c r="I41" s="71">
        <f>SUM(I39:I40)</f>
        <v>808168</v>
      </c>
      <c r="J41" s="2"/>
      <c r="K41" s="71">
        <f>SUM(K39:K40)</f>
        <v>555811</v>
      </c>
      <c r="L41" s="2"/>
      <c r="M41" s="71">
        <f>SUM(M39:M40)</f>
        <v>1752620</v>
      </c>
      <c r="N41" s="2"/>
      <c r="O41" s="71">
        <f>SUM(O39:O40)</f>
        <v>115779</v>
      </c>
      <c r="P41" s="2"/>
      <c r="Q41" s="71">
        <f>SUM(Q39:Q40)</f>
        <v>394335</v>
      </c>
      <c r="R41" s="2"/>
      <c r="S41" s="71">
        <f>SUM(S39:S40)</f>
        <v>13952941</v>
      </c>
      <c r="U41" s="2"/>
    </row>
    <row r="42" spans="1:21" ht="8.25" customHeight="1" thickTop="1" x14ac:dyDescent="0.2"/>
    <row r="43" spans="1:21" x14ac:dyDescent="0.2">
      <c r="A43" s="66" t="s">
        <v>47</v>
      </c>
    </row>
    <row r="44" spans="1:21" x14ac:dyDescent="0.2">
      <c r="A44" s="61" t="s">
        <v>35</v>
      </c>
      <c r="C44" s="2">
        <v>0</v>
      </c>
      <c r="D44" s="2"/>
      <c r="E44" s="2">
        <v>0</v>
      </c>
      <c r="F44" s="2"/>
      <c r="G44" s="2">
        <v>30541</v>
      </c>
      <c r="H44" s="2"/>
      <c r="I44" s="2">
        <v>0</v>
      </c>
      <c r="J44" s="2"/>
      <c r="K44" s="2">
        <v>0</v>
      </c>
      <c r="L44" s="2"/>
      <c r="M44" s="2">
        <v>1277138</v>
      </c>
      <c r="N44" s="2"/>
      <c r="O44" s="2">
        <v>0</v>
      </c>
      <c r="P44" s="2"/>
      <c r="Q44" s="2"/>
      <c r="R44" s="2"/>
      <c r="S44" s="2">
        <f>SUM(E44:O44)</f>
        <v>1307679</v>
      </c>
    </row>
    <row r="45" spans="1:21" x14ac:dyDescent="0.2">
      <c r="A45" s="61" t="s">
        <v>117</v>
      </c>
      <c r="C45" s="2">
        <v>0</v>
      </c>
      <c r="D45" s="2"/>
      <c r="E45" s="2">
        <v>0</v>
      </c>
      <c r="F45" s="2"/>
      <c r="G45" s="2">
        <v>0</v>
      </c>
      <c r="H45" s="2"/>
      <c r="I45" s="2">
        <v>0</v>
      </c>
      <c r="J45" s="2"/>
      <c r="K45" s="2">
        <v>0</v>
      </c>
      <c r="L45" s="2"/>
      <c r="M45" s="2">
        <v>0</v>
      </c>
      <c r="N45" s="2"/>
      <c r="O45" s="2">
        <v>0</v>
      </c>
      <c r="P45" s="2"/>
      <c r="Q45" s="2"/>
      <c r="R45" s="2"/>
      <c r="S45" s="2">
        <f>SUM(E45:Q45)</f>
        <v>0</v>
      </c>
      <c r="T45" s="76"/>
    </row>
    <row r="46" spans="1:21" x14ac:dyDescent="0.2">
      <c r="A46" s="61" t="s">
        <v>38</v>
      </c>
      <c r="C46" s="2">
        <v>0</v>
      </c>
      <c r="D46" s="2"/>
      <c r="E46" s="2">
        <v>0</v>
      </c>
      <c r="F46" s="2"/>
      <c r="G46" s="2">
        <v>-4286.87</v>
      </c>
      <c r="H46" s="2"/>
      <c r="I46" s="2">
        <v>0</v>
      </c>
      <c r="J46" s="2"/>
      <c r="K46" s="2">
        <v>0</v>
      </c>
      <c r="L46" s="2"/>
      <c r="M46" s="2">
        <v>1</v>
      </c>
      <c r="N46" s="2"/>
      <c r="O46" s="2">
        <v>0</v>
      </c>
      <c r="P46" s="2"/>
      <c r="Q46" s="2">
        <v>-394335</v>
      </c>
      <c r="R46" s="2"/>
      <c r="S46" s="2">
        <f>SUM(E46:Q46)</f>
        <v>-398620.87</v>
      </c>
      <c r="T46" s="76"/>
    </row>
    <row r="47" spans="1:21" x14ac:dyDescent="0.2">
      <c r="A47" s="61" t="s">
        <v>116</v>
      </c>
      <c r="C47" s="67">
        <v>-64607.729999999981</v>
      </c>
      <c r="D47" s="2"/>
      <c r="E47" s="2">
        <v>-1185264.1199999999</v>
      </c>
      <c r="F47" s="2"/>
      <c r="G47" s="2">
        <v>-196834.92</v>
      </c>
      <c r="H47" s="2"/>
      <c r="I47" s="67">
        <v>-61722.21</v>
      </c>
      <c r="J47" s="2"/>
      <c r="K47" s="67">
        <v>-83844.42</v>
      </c>
      <c r="L47" s="2"/>
      <c r="M47" s="67">
        <v>-984467.78000000061</v>
      </c>
      <c r="N47" s="2"/>
      <c r="O47" s="67">
        <v>-115781.25</v>
      </c>
      <c r="P47" s="2"/>
      <c r="Q47" s="2"/>
      <c r="R47" s="2"/>
      <c r="S47" s="2">
        <f>SUM(E47:Q47)</f>
        <v>-2627914.7000000002</v>
      </c>
      <c r="U47" s="68"/>
    </row>
    <row r="48" spans="1:21" x14ac:dyDescent="0.2">
      <c r="A48" s="61" t="s">
        <v>118</v>
      </c>
      <c r="C48" s="75">
        <f>SUM(C41:C47)</f>
        <v>673994.27</v>
      </c>
      <c r="D48" s="68"/>
      <c r="E48" s="75">
        <f>SUM(E41:E47)</f>
        <v>7055356.8799999999</v>
      </c>
      <c r="F48" s="68"/>
      <c r="G48" s="75">
        <f>SUM(G41:G47)</f>
        <v>1915026.21</v>
      </c>
      <c r="H48" s="68"/>
      <c r="I48" s="75">
        <f>SUM(I41:I47)</f>
        <v>746445.79</v>
      </c>
      <c r="J48" s="68"/>
      <c r="K48" s="75">
        <f>SUM(K41:K47)</f>
        <v>471966.58</v>
      </c>
      <c r="L48" s="68"/>
      <c r="M48" s="75">
        <f>SUM(M41:M47)</f>
        <v>2045291.2199999993</v>
      </c>
      <c r="O48" s="75">
        <f>SUM(O41:O47)</f>
        <v>-2.25</v>
      </c>
      <c r="P48" s="75">
        <f t="shared" ref="P48:Q48" si="0">SUM(P41:P47)</f>
        <v>0</v>
      </c>
      <c r="Q48" s="75">
        <f t="shared" si="0"/>
        <v>0</v>
      </c>
      <c r="S48" s="75">
        <f>SUM(S41:S47)</f>
        <v>12234084.43</v>
      </c>
      <c r="T48" s="2"/>
      <c r="U48" s="68"/>
    </row>
    <row r="49" spans="1:21" ht="5.0999999999999996" customHeight="1" x14ac:dyDescent="0.2">
      <c r="C49" s="2"/>
      <c r="D49" s="2"/>
      <c r="E49" s="77"/>
      <c r="F49" s="7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21" x14ac:dyDescent="0.2">
      <c r="A50" s="66" t="s">
        <v>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21" x14ac:dyDescent="0.2">
      <c r="A51" s="61" t="s">
        <v>31</v>
      </c>
      <c r="C51" s="2">
        <f>+C39+C44+C45</f>
        <v>940330</v>
      </c>
      <c r="D51" s="2"/>
      <c r="E51" s="2">
        <f>+E39+E44+E45</f>
        <v>12714848</v>
      </c>
      <c r="F51" s="2"/>
      <c r="G51" s="2">
        <f>+G39+G44+G45</f>
        <v>3345231</v>
      </c>
      <c r="H51" s="2"/>
      <c r="I51" s="2">
        <f>+I39+I44+I45</f>
        <v>2440968</v>
      </c>
      <c r="J51" s="2"/>
      <c r="K51" s="2">
        <f>+K39+K44+K45</f>
        <v>1112235</v>
      </c>
      <c r="L51" s="2"/>
      <c r="M51" s="2">
        <f>+M39+M44+M45+M46</f>
        <v>8016151</v>
      </c>
      <c r="N51" s="2"/>
      <c r="O51" s="2">
        <f>+O39+O44+O45</f>
        <v>277873</v>
      </c>
      <c r="P51" s="2"/>
      <c r="Q51" s="2">
        <f>+Q39+Q44+Q45</f>
        <v>394335</v>
      </c>
      <c r="R51" s="2"/>
      <c r="S51" s="2">
        <f>+S39+S44+S45+S46</f>
        <v>27903019.129999999</v>
      </c>
      <c r="U51" s="2"/>
    </row>
    <row r="52" spans="1:21" x14ac:dyDescent="0.2">
      <c r="A52" s="61" t="s">
        <v>112</v>
      </c>
      <c r="C52" s="2">
        <f>+C40+C47</f>
        <v>-266335.73</v>
      </c>
      <c r="D52" s="2"/>
      <c r="E52" s="2">
        <f>+E40+E47</f>
        <v>-5659491.1200000001</v>
      </c>
      <c r="F52" s="2"/>
      <c r="G52" s="2">
        <f>+G40+G47+G46</f>
        <v>-1430204.79</v>
      </c>
      <c r="H52" s="2"/>
      <c r="I52" s="2">
        <f>+I40+I47</f>
        <v>-1694522.21</v>
      </c>
      <c r="J52" s="2"/>
      <c r="K52" s="2">
        <f>+K40+K47</f>
        <v>-640268.42000000004</v>
      </c>
      <c r="L52" s="2"/>
      <c r="M52" s="2">
        <f>+M40+M47</f>
        <v>-5970859.7800000003</v>
      </c>
      <c r="N52" s="2"/>
      <c r="O52" s="2">
        <f>+O40+O47</f>
        <v>-277875.25</v>
      </c>
      <c r="P52" s="2">
        <f t="shared" ref="P52" si="1">+P40+P47</f>
        <v>0</v>
      </c>
      <c r="Q52" s="2">
        <f>+Q40+Q47+Q46</f>
        <v>-394335</v>
      </c>
      <c r="R52" s="2"/>
      <c r="S52" s="2">
        <f>+S40+S47</f>
        <v>-15668934.699999999</v>
      </c>
      <c r="U52" s="2"/>
    </row>
    <row r="53" spans="1:21" ht="12.75" thickBot="1" x14ac:dyDescent="0.25">
      <c r="A53" s="61" t="s">
        <v>33</v>
      </c>
      <c r="C53" s="71">
        <f>SUM(C51:C52)</f>
        <v>673994.27</v>
      </c>
      <c r="D53" s="2"/>
      <c r="E53" s="71">
        <f>SUM(E51:E52)</f>
        <v>7055356.8799999999</v>
      </c>
      <c r="F53" s="2"/>
      <c r="G53" s="71">
        <f>SUM(G51:G52)</f>
        <v>1915026.21</v>
      </c>
      <c r="H53" s="2"/>
      <c r="I53" s="71">
        <f>SUM(I51:I52)</f>
        <v>746445.79</v>
      </c>
      <c r="J53" s="2"/>
      <c r="K53" s="71">
        <f>SUM(K51:K52)</f>
        <v>471966.57999999996</v>
      </c>
      <c r="L53" s="2"/>
      <c r="M53" s="71">
        <f>SUM(M51:M52)</f>
        <v>2045291.2199999997</v>
      </c>
      <c r="N53" s="2"/>
      <c r="O53" s="71">
        <f>SUM(O51:O52)</f>
        <v>-2.25</v>
      </c>
      <c r="P53" s="2"/>
      <c r="Q53" s="71">
        <f>SUM(Q51:Q52)</f>
        <v>0</v>
      </c>
      <c r="R53" s="2"/>
      <c r="S53" s="71">
        <f>SUM(S51:S52)</f>
        <v>12234084.43</v>
      </c>
      <c r="U53" s="2"/>
    </row>
    <row r="54" spans="1:21" ht="7.5" customHeight="1" thickTop="1" x14ac:dyDescent="0.2"/>
    <row r="55" spans="1:21" x14ac:dyDescent="0.2">
      <c r="S55" s="68">
        <f>SUM(E53:Q53)-S53</f>
        <v>0</v>
      </c>
    </row>
  </sheetData>
  <mergeCells count="4">
    <mergeCell ref="M2:M3"/>
    <mergeCell ref="O2:O3"/>
    <mergeCell ref="T2:T3"/>
    <mergeCell ref="U2:U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F5DA-ED06-4465-9E18-350CFF56CB05}">
  <dimension ref="B2:G10"/>
  <sheetViews>
    <sheetView workbookViewId="0">
      <selection activeCell="D13" sqref="D13"/>
    </sheetView>
  </sheetViews>
  <sheetFormatPr defaultRowHeight="15" x14ac:dyDescent="0.25"/>
  <cols>
    <col min="4" max="7" width="11" bestFit="1" customWidth="1"/>
  </cols>
  <sheetData>
    <row r="2" spans="2:7" ht="30" x14ac:dyDescent="0.25">
      <c r="D2" t="s">
        <v>141</v>
      </c>
      <c r="E2" s="50" t="s">
        <v>142</v>
      </c>
      <c r="F2" t="s">
        <v>0</v>
      </c>
    </row>
    <row r="4" spans="2:7" x14ac:dyDescent="0.25">
      <c r="B4" t="s">
        <v>62</v>
      </c>
      <c r="D4" s="25">
        <v>9819266</v>
      </c>
      <c r="E4" s="25">
        <v>11112787</v>
      </c>
      <c r="F4" s="25">
        <f>+D4+E4</f>
        <v>20932053</v>
      </c>
      <c r="G4" s="25"/>
    </row>
    <row r="5" spans="2:7" x14ac:dyDescent="0.25">
      <c r="B5" t="s">
        <v>143</v>
      </c>
      <c r="D5" s="25">
        <v>39950</v>
      </c>
      <c r="E5" s="25">
        <v>984847</v>
      </c>
      <c r="F5" s="25">
        <f t="shared" ref="F5:F9" si="0">+D5+E5</f>
        <v>1024797</v>
      </c>
      <c r="G5" s="25"/>
    </row>
    <row r="6" spans="2:7" x14ac:dyDescent="0.25">
      <c r="B6" t="s">
        <v>144</v>
      </c>
      <c r="D6" s="25">
        <v>108376</v>
      </c>
      <c r="E6" s="25"/>
      <c r="F6" s="25">
        <f t="shared" si="0"/>
        <v>108376</v>
      </c>
      <c r="G6" s="25"/>
    </row>
    <row r="7" spans="2:7" x14ac:dyDescent="0.25">
      <c r="B7" t="s">
        <v>145</v>
      </c>
      <c r="D7" s="25">
        <v>11700</v>
      </c>
      <c r="E7" s="25"/>
      <c r="F7" s="25">
        <f t="shared" si="0"/>
        <v>11700</v>
      </c>
      <c r="G7" s="25"/>
    </row>
    <row r="8" spans="2:7" x14ac:dyDescent="0.25">
      <c r="B8" t="s">
        <v>146</v>
      </c>
      <c r="D8" s="25">
        <v>35183</v>
      </c>
      <c r="E8" s="25"/>
      <c r="F8" s="25">
        <f t="shared" si="0"/>
        <v>35183</v>
      </c>
      <c r="G8" s="25"/>
    </row>
    <row r="9" spans="2:7" x14ac:dyDescent="0.25">
      <c r="B9" t="s">
        <v>147</v>
      </c>
      <c r="D9" s="25"/>
      <c r="E9" s="25">
        <v>427980</v>
      </c>
      <c r="F9" s="25">
        <f t="shared" si="0"/>
        <v>427980</v>
      </c>
      <c r="G9" s="25"/>
    </row>
    <row r="10" spans="2:7" x14ac:dyDescent="0.25">
      <c r="B10" t="s">
        <v>148</v>
      </c>
      <c r="D10" s="25">
        <f>SUM(D4:D9)</f>
        <v>10014475</v>
      </c>
      <c r="E10" s="25">
        <f>SUM(E4:E9)</f>
        <v>12525614</v>
      </c>
      <c r="F10" s="25">
        <f>+D10+E10</f>
        <v>22540089</v>
      </c>
      <c r="G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6</vt:lpstr>
      <vt:lpstr>8</vt:lpstr>
      <vt:lpstr>9</vt:lpstr>
      <vt:lpstr>10</vt:lpstr>
      <vt:lpstr>12</vt:lpstr>
      <vt:lpstr>22</vt:lpstr>
      <vt:lpstr>13</vt:lpstr>
      <vt:lpstr>14</vt:lpstr>
      <vt:lpstr>20</vt:lpstr>
      <vt:lpstr>21</vt:lpstr>
      <vt:lpstr>24</vt:lpstr>
      <vt:lpstr>25</vt:lpstr>
      <vt:lpstr>27c</vt:lpstr>
      <vt:lpstr>33a</vt:lpstr>
      <vt:lpstr>33b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2020-06-26T01:40:33Z</dcterms:created>
  <dcterms:modified xsi:type="dcterms:W3CDTF">2021-05-16T17:20:58Z</dcterms:modified>
</cp:coreProperties>
</file>