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Combinado 2020\"/>
    </mc:Choice>
  </mc:AlternateContent>
  <xr:revisionPtr revIDLastSave="0" documentId="13_ncr:1_{C3C8715E-13C0-4509-91B0-D34A641B5501}" xr6:coauthVersionLast="46" xr6:coauthVersionMax="46" xr10:uidLastSave="{00000000-0000-0000-0000-000000000000}"/>
  <bookViews>
    <workbookView xWindow="10155" yWindow="0" windowWidth="10320" windowHeight="7110" xr2:uid="{D65CF950-DCD9-41B0-A57E-4B5AFCF0B31C}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Sheet1!$A$1:$M$95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  <c r="B87" i="1"/>
  <c r="B82" i="1"/>
  <c r="B77" i="1"/>
  <c r="B76" i="1"/>
  <c r="B71" i="1"/>
  <c r="B70" i="1"/>
  <c r="B65" i="1"/>
  <c r="B60" i="1"/>
  <c r="B55" i="1"/>
  <c r="B49" i="1"/>
  <c r="K46" i="1"/>
  <c r="K45" i="1"/>
  <c r="B44" i="1"/>
  <c r="B43" i="1"/>
  <c r="K40" i="1"/>
  <c r="B40" i="1"/>
  <c r="K39" i="1"/>
  <c r="K38" i="1"/>
  <c r="L35" i="1"/>
  <c r="Q31" i="1"/>
  <c r="P31" i="1"/>
  <c r="O31" i="1"/>
  <c r="M31" i="1"/>
  <c r="K31" i="1"/>
  <c r="L31" i="1" s="1"/>
  <c r="D28" i="1"/>
  <c r="E26" i="1" s="1"/>
  <c r="C28" i="1"/>
  <c r="B28" i="1"/>
  <c r="M27" i="1"/>
  <c r="N27" i="1" s="1"/>
  <c r="K27" i="1"/>
  <c r="L27" i="1" s="1"/>
  <c r="H27" i="1"/>
  <c r="H33" i="1" s="1"/>
  <c r="D27" i="1"/>
  <c r="B27" i="1"/>
  <c r="P26" i="1"/>
  <c r="O26" i="1"/>
  <c r="M26" i="1"/>
  <c r="N26" i="1" s="1"/>
  <c r="K26" i="1"/>
  <c r="L26" i="1" s="1"/>
  <c r="G26" i="1"/>
  <c r="D26" i="1"/>
  <c r="B26" i="1"/>
  <c r="O25" i="1"/>
  <c r="M25" i="1"/>
  <c r="N25" i="1" s="1"/>
  <c r="K25" i="1"/>
  <c r="L25" i="1" s="1"/>
  <c r="D25" i="1"/>
  <c r="C25" i="1" s="1"/>
  <c r="B41" i="1" s="1"/>
  <c r="B25" i="1"/>
  <c r="P24" i="1"/>
  <c r="O24" i="1"/>
  <c r="O28" i="1" s="1"/>
  <c r="M24" i="1"/>
  <c r="N24" i="1" s="1"/>
  <c r="K24" i="1"/>
  <c r="H24" i="1"/>
  <c r="F24" i="1"/>
  <c r="G24" i="1" s="1"/>
  <c r="E24" i="1"/>
  <c r="D24" i="1"/>
  <c r="B24" i="1"/>
  <c r="C24" i="1" s="1"/>
  <c r="P23" i="1"/>
  <c r="O23" i="1"/>
  <c r="M23" i="1"/>
  <c r="N23" i="1" s="1"/>
  <c r="K23" i="1"/>
  <c r="L23" i="1" s="1"/>
  <c r="F23" i="1"/>
  <c r="G23" i="1" s="1"/>
  <c r="D23" i="1"/>
  <c r="B23" i="1"/>
  <c r="P22" i="1"/>
  <c r="O22" i="1"/>
  <c r="M22" i="1"/>
  <c r="N22" i="1" s="1"/>
  <c r="K22" i="1"/>
  <c r="L22" i="1" s="1"/>
  <c r="F22" i="1"/>
  <c r="G22" i="1" s="1"/>
  <c r="E22" i="1"/>
  <c r="D22" i="1"/>
  <c r="B22" i="1"/>
  <c r="Q21" i="1"/>
  <c r="P21" i="1" s="1"/>
  <c r="O21" i="1"/>
  <c r="M21" i="1"/>
  <c r="N21" i="1" s="1"/>
  <c r="K21" i="1"/>
  <c r="L21" i="1" s="1"/>
  <c r="F21" i="1"/>
  <c r="D21" i="1"/>
  <c r="B21" i="1"/>
  <c r="C21" i="1" s="1"/>
  <c r="B45" i="1" s="1"/>
  <c r="B46" i="1" s="1"/>
  <c r="B47" i="1" s="1"/>
  <c r="P20" i="1"/>
  <c r="O20" i="1"/>
  <c r="M20" i="1"/>
  <c r="N20" i="1" s="1"/>
  <c r="K20" i="1"/>
  <c r="L20" i="1" s="1"/>
  <c r="F20" i="1"/>
  <c r="E20" i="1" s="1"/>
  <c r="D20" i="1"/>
  <c r="B20" i="1"/>
  <c r="C20" i="1" s="1"/>
  <c r="P19" i="1"/>
  <c r="O19" i="1"/>
  <c r="M19" i="1"/>
  <c r="K19" i="1"/>
  <c r="L19" i="1" s="1"/>
  <c r="F19" i="1"/>
  <c r="E19" i="1" s="1"/>
  <c r="D19" i="1"/>
  <c r="D29" i="1" s="1"/>
  <c r="B19" i="1"/>
  <c r="P18" i="1"/>
  <c r="F18" i="1"/>
  <c r="G18" i="1" s="1"/>
  <c r="E18" i="1"/>
  <c r="Q17" i="1"/>
  <c r="Q27" i="1" s="1"/>
  <c r="Q28" i="1" s="1"/>
  <c r="Q33" i="1" s="1"/>
  <c r="P17" i="1"/>
  <c r="F17" i="1"/>
  <c r="M15" i="1"/>
  <c r="K15" i="1"/>
  <c r="C15" i="1"/>
  <c r="O14" i="1"/>
  <c r="M14" i="1"/>
  <c r="N14" i="1" s="1"/>
  <c r="K14" i="1"/>
  <c r="D14" i="1"/>
  <c r="B14" i="1"/>
  <c r="C14" i="1" s="1"/>
  <c r="P13" i="1"/>
  <c r="M13" i="1"/>
  <c r="K13" i="1"/>
  <c r="L13" i="1" s="1"/>
  <c r="F13" i="1"/>
  <c r="G13" i="1" s="1"/>
  <c r="D13" i="1"/>
  <c r="E13" i="1" s="1"/>
  <c r="B13" i="1"/>
  <c r="C13" i="1" s="1"/>
  <c r="Q12" i="1"/>
  <c r="O12" i="1"/>
  <c r="P12" i="1" s="1"/>
  <c r="M12" i="1"/>
  <c r="N12" i="1" s="1"/>
  <c r="K12" i="1"/>
  <c r="L12" i="1" s="1"/>
  <c r="F12" i="1"/>
  <c r="D12" i="1"/>
  <c r="B12" i="1"/>
  <c r="C12" i="1" s="1"/>
  <c r="Q11" i="1"/>
  <c r="O11" i="1"/>
  <c r="P11" i="1" s="1"/>
  <c r="M11" i="1"/>
  <c r="N11" i="1" s="1"/>
  <c r="K11" i="1"/>
  <c r="L11" i="1" s="1"/>
  <c r="G11" i="1"/>
  <c r="F11" i="1"/>
  <c r="D11" i="1"/>
  <c r="E11" i="1" s="1"/>
  <c r="C11" i="1"/>
  <c r="B11" i="1"/>
  <c r="O10" i="1"/>
  <c r="P10" i="1" s="1"/>
  <c r="M10" i="1"/>
  <c r="N10" i="1" s="1"/>
  <c r="K10" i="1"/>
  <c r="G10" i="1"/>
  <c r="F10" i="1"/>
  <c r="D10" i="1"/>
  <c r="E10" i="1" s="1"/>
  <c r="B10" i="1"/>
  <c r="O9" i="1"/>
  <c r="P9" i="1" s="1"/>
  <c r="N9" i="1"/>
  <c r="M9" i="1"/>
  <c r="K9" i="1"/>
  <c r="L9" i="1" s="1"/>
  <c r="G9" i="1"/>
  <c r="F9" i="1"/>
  <c r="D9" i="1"/>
  <c r="E9" i="1" s="1"/>
  <c r="B9" i="1"/>
  <c r="C9" i="1" s="1"/>
  <c r="O8" i="1"/>
  <c r="P8" i="1" s="1"/>
  <c r="M8" i="1"/>
  <c r="N8" i="1" s="1"/>
  <c r="K8" i="1"/>
  <c r="L8" i="1" s="1"/>
  <c r="G8" i="1"/>
  <c r="F8" i="1"/>
  <c r="D8" i="1"/>
  <c r="B8" i="1"/>
  <c r="C8" i="1" s="1"/>
  <c r="O7" i="1"/>
  <c r="P7" i="1" s="1"/>
  <c r="M7" i="1"/>
  <c r="N7" i="1" s="1"/>
  <c r="K7" i="1"/>
  <c r="L7" i="1" s="1"/>
  <c r="G7" i="1"/>
  <c r="F7" i="1"/>
  <c r="D7" i="1"/>
  <c r="C7" i="1"/>
  <c r="B7" i="1"/>
  <c r="Q6" i="1"/>
  <c r="O6" i="1"/>
  <c r="M6" i="1"/>
  <c r="K6" i="1"/>
  <c r="G6" i="1"/>
  <c r="F6" i="1"/>
  <c r="D6" i="1"/>
  <c r="C6" i="1" s="1"/>
  <c r="B6" i="1"/>
  <c r="P5" i="1"/>
  <c r="O5" i="1"/>
  <c r="O16" i="1" s="1"/>
  <c r="O29" i="1" s="1"/>
  <c r="O33" i="1" s="1"/>
  <c r="M5" i="1"/>
  <c r="M16" i="1" s="1"/>
  <c r="K5" i="1"/>
  <c r="L5" i="1" s="1"/>
  <c r="F5" i="1"/>
  <c r="G5" i="1" s="1"/>
  <c r="E5" i="1"/>
  <c r="D5" i="1"/>
  <c r="B5" i="1"/>
  <c r="B66" i="1" l="1"/>
  <c r="N6" i="1"/>
  <c r="E17" i="1"/>
  <c r="C22" i="1"/>
  <c r="K42" i="1"/>
  <c r="K43" i="1" s="1"/>
  <c r="B83" i="1"/>
  <c r="B84" i="1" s="1"/>
  <c r="B85" i="1" s="1"/>
  <c r="B16" i="1"/>
  <c r="E7" i="1"/>
  <c r="C23" i="1"/>
  <c r="B61" i="1" s="1"/>
  <c r="B62" i="1" s="1"/>
  <c r="B63" i="1" s="1"/>
  <c r="C26" i="1"/>
  <c r="B88" i="1"/>
  <c r="B89" i="1" s="1"/>
  <c r="B90" i="1" s="1"/>
  <c r="D16" i="1"/>
  <c r="D33" i="1" s="1"/>
  <c r="K16" i="1"/>
  <c r="E8" i="1"/>
  <c r="C10" i="1"/>
  <c r="L10" i="1"/>
  <c r="B72" i="1" s="1"/>
  <c r="B73" i="1" s="1"/>
  <c r="B74" i="1" s="1"/>
  <c r="E12" i="1"/>
  <c r="L14" i="1"/>
  <c r="C19" i="1"/>
  <c r="M28" i="1"/>
  <c r="E21" i="1"/>
  <c r="E23" i="1"/>
  <c r="L24" i="1"/>
  <c r="C27" i="1"/>
  <c r="K47" i="1"/>
  <c r="B96" i="1"/>
  <c r="B56" i="1"/>
  <c r="B57" i="1" s="1"/>
  <c r="B58" i="1" s="1"/>
  <c r="M29" i="1"/>
  <c r="M33" i="1" s="1"/>
  <c r="B51" i="1"/>
  <c r="B52" i="1" s="1"/>
  <c r="B53" i="1" s="1"/>
  <c r="B78" i="1"/>
  <c r="B79" i="1" s="1"/>
  <c r="B80" i="1" s="1"/>
  <c r="R5" i="1"/>
  <c r="L6" i="1"/>
  <c r="P6" i="1"/>
  <c r="G19" i="1"/>
  <c r="C5" i="1"/>
  <c r="N5" i="1"/>
  <c r="K28" i="1"/>
  <c r="B29" i="1"/>
  <c r="B33" i="1" s="1"/>
  <c r="N31" i="1"/>
  <c r="B67" i="1"/>
  <c r="B68" i="1" s="1"/>
  <c r="F27" i="1"/>
  <c r="F33" i="1" s="1"/>
  <c r="E6" i="1"/>
  <c r="G12" i="1"/>
  <c r="G17" i="1"/>
  <c r="N19" i="1"/>
  <c r="G20" i="1"/>
  <c r="G21" i="1"/>
  <c r="M35" i="1" l="1"/>
  <c r="K29" i="1"/>
  <c r="K33" i="1" s="1"/>
  <c r="K35" i="1" s="1"/>
</calcChain>
</file>

<file path=xl/sharedStrings.xml><?xml version="1.0" encoding="utf-8"?>
<sst xmlns="http://schemas.openxmlformats.org/spreadsheetml/2006/main" count="112" uniqueCount="88">
  <si>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</si>
  <si>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</si>
  <si>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</si>
  <si>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</si>
  <si>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</si>
  <si>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</si>
  <si>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</si>
  <si>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</si>
  <si>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</si>
  <si>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</si>
  <si>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</si>
  <si>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</si>
  <si>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</si>
  <si>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</si>
  <si>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</si>
  <si>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</si>
  <si>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</si>
  <si>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</si>
  <si>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</si>
  <si>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</si>
  <si>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</si>
  <si>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 xml:space="preserve"> Pasivos por arrendamientos</t>
  </si>
  <si>
    <t>Otros Activos Corrientes</t>
  </si>
  <si>
    <t>Beneficios Sociales</t>
  </si>
  <si>
    <t>Pasivos Contingentes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</si>
  <si>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</si>
  <si>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</si>
  <si>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</si>
  <si>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</si>
  <si>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</si>
  <si>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</si>
  <si>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</si>
  <si>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</si>
  <si>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</si>
  <si>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</si>
  <si>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</si>
  <si>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asociadas</t>
  </si>
  <si>
    <t>Otros activos</t>
  </si>
  <si>
    <t>Pasivos por arrendamientos L/P</t>
  </si>
  <si>
    <t>Activos por derechos de uso</t>
  </si>
  <si>
    <t>Pasivo contingente</t>
  </si>
  <si>
    <t>Impuesto diferido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</si>
  <si>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</si>
  <si>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</si>
  <si>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</si>
  <si>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</si>
  <si>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</si>
  <si>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</si>
  <si>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INVERSIONES EN ASOCIADAS</t>
  </si>
  <si>
    <t>VARIACION DE PATRIMONIO</t>
  </si>
  <si>
    <t>VPP</t>
  </si>
  <si>
    <t>Utilidad neta</t>
  </si>
  <si>
    <t>Adiciones netas</t>
  </si>
  <si>
    <t xml:space="preserve"> Acciones en tesoreria</t>
  </si>
  <si>
    <t>Variación</t>
  </si>
  <si>
    <t>Otras variaciones netas</t>
  </si>
  <si>
    <t>ACTIVOS FIJOS</t>
  </si>
  <si>
    <t>Gasto de depreciación</t>
  </si>
  <si>
    <t>Más Provision de impuesto a la renta</t>
  </si>
  <si>
    <t>Utilidad antes de IR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</si>
  <si>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</si>
  <si>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</si>
  <si>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</si>
  <si>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</si>
  <si>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</si>
  <si>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Pagos, neto</t>
  </si>
  <si>
    <t>ACTIVOS INTANGIBLES</t>
  </si>
  <si>
    <t>Amortizacion del periodo</t>
  </si>
  <si>
    <t>PROPIEDADES DE INVERSION</t>
  </si>
  <si>
    <t>Amortizacion</t>
  </si>
  <si>
    <t>Variacion</t>
  </si>
  <si>
    <t xml:space="preserve">IMPUESTOS POR PAGAR </t>
  </si>
  <si>
    <t>Provision de impuesto a la renta</t>
  </si>
  <si>
    <t>Pago de impuesto a la renta</t>
  </si>
  <si>
    <t>Otros movimientos netos</t>
  </si>
  <si>
    <t>BENEFICIOS SOCIALES POR PAGAR</t>
  </si>
  <si>
    <t>Provision 15% PT</t>
  </si>
  <si>
    <t>Pago de 15% PT</t>
  </si>
  <si>
    <t>CUENTAS POR COBRAR COMERCIALES</t>
  </si>
  <si>
    <t>Provision para incobrables</t>
  </si>
  <si>
    <t>Variacion en cuentas por cobrar comerciales</t>
  </si>
  <si>
    <t>IMPUESTO DIFERIDO</t>
  </si>
  <si>
    <t>Cargo (abono) a resultados</t>
  </si>
  <si>
    <t>PASIVOS POR ARRENDAMIENTO</t>
  </si>
  <si>
    <t>Registro contra derechos de uso</t>
  </si>
  <si>
    <t>Otros resultados integrales</t>
  </si>
  <si>
    <t>Bajas</t>
  </si>
  <si>
    <t>Pagos de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</si>
</sst>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\-??_);_(@_)"/>
    <numFmt numFmtId="165" formatCode="_(* #,##0_);_(* \(#,##0\);_(* \-??_);_(@_)"/>
    <numFmt numFmtId="166" formatCode="_ * #,##0_ ;_ * \-#,##0_ ;_ * \-??_ ;_ @_ "/>
    <numFmt numFmtId="167" formatCode="_ * #,##0.00_ ;_ * \-#,##0.00_ ;_ * \-??_ ;_ @_ "/>
    <numFmt numFmtId="168" formatCode="_ * #,##0_ ;\(* #,##0\);_ * \-??_ ;_ @_ "/>
    <numFmt numFmtId="169" formatCode="#,##0;[Red]#,##0"/>
    <numFmt numFmtId="170" formatCode="#,##0.00;[Red]#,##0.00"/>
    <numFmt numFmtId="171" formatCode="_ * #,##0_ ;\(* #,##0\);_ * \-_ ;_ @_ "/>
    <numFmt numFmtId="172" formatCode="#,##0_)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FF0000"/>
      <name val="Arial"/>
      <family val="2"/>
      <charset val="1"/>
    </font>
    <font>
      <b/>
      <sz val="9"/>
      <name val="Arial"/>
      <family val="2"/>
      <charset val="1"/>
    </font>
    <font>
      <b/>
      <u/>
      <sz val="9"/>
      <name val="Arial"/>
      <family val="2"/>
      <charset val="1"/>
    </font>
    <font>
      <sz val="10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4" fillId="0" borderId="0" applyBorder="0" applyProtection="0"/>
    <xf numFmtId="0" fontId="11" fillId="0" borderId="0"/>
    <xf numFmtId="167" fontId="4" fillId="0" borderId="0" applyBorder="0" applyProtection="0"/>
  </cellStyleXfs>
  <cellXfs count="105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5" fontId="5" fillId="2" borderId="0" xfId="1" applyNumberFormat="1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8" fillId="2" borderId="1" xfId="1" applyNumberFormat="1" applyFont="1" applyFill="1" applyBorder="1" applyAlignment="1" applyProtection="1">
      <alignment horizontal="center"/>
    </xf>
    <xf numFmtId="165" fontId="8" fillId="2" borderId="0" xfId="1" applyNumberFormat="1" applyFont="1" applyFill="1" applyBorder="1" applyAlignment="1" applyProtection="1">
      <alignment horizontal="center"/>
    </xf>
    <xf numFmtId="0" fontId="7" fillId="2" borderId="0" xfId="0" applyFont="1" applyFill="1" applyAlignment="1">
      <alignment horizontal="center"/>
    </xf>
    <xf numFmtId="164" fontId="9" fillId="2" borderId="0" xfId="2" applyFont="1" applyFill="1" applyBorder="1" applyProtection="1"/>
    <xf numFmtId="0" fontId="10" fillId="2" borderId="0" xfId="0" applyFont="1" applyFill="1" applyAlignment="1">
      <alignment horizontal="center"/>
    </xf>
    <xf numFmtId="0" fontId="3" fillId="2" borderId="2" xfId="0" applyFont="1" applyFill="1" applyBorder="1"/>
    <xf numFmtId="0" fontId="2" fillId="2" borderId="2" xfId="0" applyFont="1" applyFill="1" applyBorder="1"/>
    <xf numFmtId="165" fontId="5" fillId="2" borderId="2" xfId="1" applyNumberFormat="1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/>
    <xf numFmtId="166" fontId="2" fillId="2" borderId="2" xfId="0" applyNumberFormat="1" applyFont="1" applyFill="1" applyBorder="1"/>
    <xf numFmtId="0" fontId="2" fillId="2" borderId="3" xfId="0" applyFont="1" applyFill="1" applyBorder="1"/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3" applyFont="1" applyFill="1" applyAlignment="1">
      <alignment horizontal="left"/>
    </xf>
    <xf numFmtId="0" fontId="3" fillId="2" borderId="4" xfId="0" applyFont="1" applyFill="1" applyBorder="1"/>
    <xf numFmtId="166" fontId="2" fillId="2" borderId="2" xfId="3" applyNumberFormat="1" applyFont="1" applyFill="1" applyBorder="1" applyAlignment="1">
      <alignment horizontal="left"/>
    </xf>
    <xf numFmtId="0" fontId="2" fillId="2" borderId="4" xfId="3" applyFont="1" applyFill="1" applyBorder="1" applyAlignment="1">
      <alignment horizontal="left"/>
    </xf>
    <xf numFmtId="168" fontId="2" fillId="2" borderId="2" xfId="4" applyNumberFormat="1" applyFont="1" applyFill="1" applyBorder="1" applyProtection="1"/>
    <xf numFmtId="168" fontId="2" fillId="2" borderId="0" xfId="4" applyNumberFormat="1" applyFont="1" applyFill="1" applyBorder="1" applyProtection="1"/>
    <xf numFmtId="0" fontId="2" fillId="2" borderId="0" xfId="0" applyFont="1" applyFill="1" applyAlignment="1">
      <alignment horizontal="left" indent="1"/>
    </xf>
    <xf numFmtId="165" fontId="3" fillId="2" borderId="2" xfId="1" applyNumberFormat="1" applyFont="1" applyFill="1" applyBorder="1" applyAlignment="1" applyProtection="1"/>
    <xf numFmtId="165" fontId="5" fillId="2" borderId="2" xfId="1" applyNumberFormat="1" applyFont="1" applyFill="1" applyBorder="1" applyAlignment="1" applyProtection="1">
      <alignment horizontal="right"/>
    </xf>
    <xf numFmtId="169" fontId="2" fillId="2" borderId="2" xfId="2" applyNumberFormat="1" applyFont="1" applyFill="1" applyBorder="1" applyProtection="1"/>
    <xf numFmtId="165" fontId="5" fillId="2" borderId="0" xfId="1" applyNumberFormat="1" applyFont="1" applyFill="1" applyBorder="1" applyAlignment="1" applyProtection="1">
      <alignment horizontal="right"/>
    </xf>
    <xf numFmtId="169" fontId="2" fillId="2" borderId="0" xfId="0" applyNumberFormat="1" applyFont="1" applyFill="1"/>
    <xf numFmtId="165" fontId="3" fillId="2" borderId="4" xfId="1" applyNumberFormat="1" applyFont="1" applyFill="1" applyBorder="1" applyAlignment="1" applyProtection="1"/>
    <xf numFmtId="169" fontId="2" fillId="2" borderId="2" xfId="2" applyNumberFormat="1" applyFont="1" applyFill="1" applyBorder="1" applyAlignment="1" applyProtection="1">
      <alignment horizontal="right"/>
    </xf>
    <xf numFmtId="165" fontId="2" fillId="2" borderId="0" xfId="2" applyNumberFormat="1" applyFont="1" applyFill="1" applyBorder="1" applyProtection="1"/>
    <xf numFmtId="169" fontId="6" fillId="2" borderId="0" xfId="0" applyNumberFormat="1" applyFont="1" applyFill="1"/>
    <xf numFmtId="166" fontId="3" fillId="2" borderId="0" xfId="0" applyNumberFormat="1" applyFont="1" applyFill="1"/>
    <xf numFmtId="164" fontId="3" fillId="2" borderId="0" xfId="2" applyFont="1" applyFill="1" applyBorder="1" applyProtection="1"/>
    <xf numFmtId="169" fontId="2" fillId="2" borderId="2" xfId="4" applyNumberFormat="1" applyFont="1" applyFill="1" applyBorder="1" applyAlignment="1" applyProtection="1">
      <alignment horizontal="right"/>
    </xf>
    <xf numFmtId="165" fontId="3" fillId="2" borderId="0" xfId="0" applyNumberFormat="1" applyFont="1" applyFill="1"/>
    <xf numFmtId="169" fontId="2" fillId="2" borderId="5" xfId="0" applyNumberFormat="1" applyFont="1" applyFill="1" applyBorder="1"/>
    <xf numFmtId="0" fontId="3" fillId="2" borderId="0" xfId="0" applyFont="1" applyFill="1" applyAlignment="1">
      <alignment horizontal="left" indent="1"/>
    </xf>
    <xf numFmtId="165" fontId="5" fillId="2" borderId="2" xfId="1" applyNumberFormat="1" applyFont="1" applyFill="1" applyBorder="1" applyAlignment="1" applyProtection="1"/>
    <xf numFmtId="165" fontId="0" fillId="2" borderId="2" xfId="0" applyNumberFormat="1" applyFill="1" applyBorder="1"/>
    <xf numFmtId="165" fontId="3" fillId="2" borderId="2" xfId="0" applyNumberFormat="1" applyFont="1" applyFill="1" applyBorder="1"/>
    <xf numFmtId="170" fontId="2" fillId="2" borderId="2" xfId="2" applyNumberFormat="1" applyFont="1" applyFill="1" applyBorder="1" applyProtection="1"/>
    <xf numFmtId="170" fontId="2" fillId="2" borderId="0" xfId="0" applyNumberFormat="1" applyFont="1" applyFill="1"/>
    <xf numFmtId="165" fontId="5" fillId="2" borderId="0" xfId="1" applyNumberFormat="1" applyFont="1" applyFill="1" applyBorder="1" applyAlignment="1" applyProtection="1"/>
    <xf numFmtId="165" fontId="3" fillId="2" borderId="6" xfId="1" applyNumberFormat="1" applyFont="1" applyFill="1" applyBorder="1" applyAlignment="1" applyProtection="1"/>
    <xf numFmtId="165" fontId="3" fillId="2" borderId="7" xfId="1" applyNumberFormat="1" applyFont="1" applyFill="1" applyBorder="1" applyAlignment="1" applyProtection="1"/>
    <xf numFmtId="0" fontId="2" fillId="2" borderId="0" xfId="3" applyFont="1" applyFill="1"/>
    <xf numFmtId="169" fontId="2" fillId="2" borderId="1" xfId="4" applyNumberFormat="1" applyFont="1" applyFill="1" applyBorder="1" applyAlignment="1" applyProtection="1">
      <alignment horizontal="right"/>
    </xf>
    <xf numFmtId="170" fontId="2" fillId="2" borderId="2" xfId="0" applyNumberFormat="1" applyFont="1" applyFill="1" applyBorder="1"/>
    <xf numFmtId="0" fontId="2" fillId="2" borderId="2" xfId="3" applyFont="1" applyFill="1" applyBorder="1" applyAlignment="1">
      <alignment horizontal="left"/>
    </xf>
    <xf numFmtId="0" fontId="2" fillId="2" borderId="0" xfId="3" applyFont="1" applyFill="1" applyAlignment="1">
      <alignment horizontal="left" indent="1"/>
    </xf>
    <xf numFmtId="169" fontId="2" fillId="2" borderId="2" xfId="4" applyNumberFormat="1" applyFont="1" applyFill="1" applyBorder="1" applyProtection="1"/>
    <xf numFmtId="168" fontId="3" fillId="2" borderId="0" xfId="0" applyNumberFormat="1" applyFont="1" applyFill="1"/>
    <xf numFmtId="166" fontId="2" fillId="2" borderId="0" xfId="4" applyNumberFormat="1" applyFont="1" applyFill="1" applyBorder="1" applyProtection="1"/>
    <xf numFmtId="169" fontId="2" fillId="2" borderId="8" xfId="2" applyNumberFormat="1" applyFont="1" applyFill="1" applyBorder="1" applyProtection="1"/>
    <xf numFmtId="43" fontId="3" fillId="2" borderId="5" xfId="1" applyFont="1" applyFill="1" applyBorder="1" applyAlignment="1" applyProtection="1"/>
    <xf numFmtId="169" fontId="2" fillId="2" borderId="0" xfId="4" applyNumberFormat="1" applyFont="1" applyFill="1" applyBorder="1" applyProtection="1"/>
    <xf numFmtId="43" fontId="3" fillId="2" borderId="8" xfId="1" applyFont="1" applyFill="1" applyBorder="1" applyAlignment="1" applyProtection="1"/>
    <xf numFmtId="165" fontId="2" fillId="2" borderId="5" xfId="2" applyNumberFormat="1" applyFont="1" applyFill="1" applyBorder="1" applyProtection="1"/>
    <xf numFmtId="165" fontId="3" fillId="2" borderId="8" xfId="1" applyNumberFormat="1" applyFont="1" applyFill="1" applyBorder="1" applyAlignment="1" applyProtection="1"/>
    <xf numFmtId="165" fontId="3" fillId="2" borderId="1" xfId="1" applyNumberFormat="1" applyFont="1" applyFill="1" applyBorder="1" applyAlignment="1" applyProtection="1"/>
    <xf numFmtId="165" fontId="3" fillId="2" borderId="9" xfId="0" applyNumberFormat="1" applyFont="1" applyFill="1" applyBorder="1"/>
    <xf numFmtId="169" fontId="3" fillId="2" borderId="1" xfId="0" applyNumberFormat="1" applyFont="1" applyFill="1" applyBorder="1"/>
    <xf numFmtId="169" fontId="2" fillId="2" borderId="2" xfId="3" applyNumberFormat="1" applyFont="1" applyFill="1" applyBorder="1"/>
    <xf numFmtId="169" fontId="2" fillId="2" borderId="2" xfId="0" applyNumberFormat="1" applyFont="1" applyFill="1" applyBorder="1"/>
    <xf numFmtId="171" fontId="2" fillId="2" borderId="0" xfId="0" applyNumberFormat="1" applyFont="1" applyFill="1"/>
    <xf numFmtId="171" fontId="2" fillId="2" borderId="0" xfId="0" applyNumberFormat="1" applyFont="1" applyFill="1" applyAlignment="1">
      <alignment horizontal="center"/>
    </xf>
    <xf numFmtId="166" fontId="2" fillId="2" borderId="10" xfId="4" applyNumberFormat="1" applyFont="1" applyFill="1" applyBorder="1" applyProtection="1"/>
    <xf numFmtId="166" fontId="2" fillId="2" borderId="2" xfId="4" applyNumberFormat="1" applyFont="1" applyFill="1" applyBorder="1" applyProtection="1"/>
    <xf numFmtId="166" fontId="2" fillId="2" borderId="11" xfId="4" applyNumberFormat="1" applyFont="1" applyFill="1" applyBorder="1" applyProtection="1"/>
    <xf numFmtId="0" fontId="2" fillId="2" borderId="0" xfId="3" applyFont="1" applyFill="1" applyAlignment="1">
      <alignment wrapText="1"/>
    </xf>
    <xf numFmtId="0" fontId="3" fillId="2" borderId="8" xfId="0" applyFont="1" applyFill="1" applyBorder="1"/>
    <xf numFmtId="165" fontId="5" fillId="2" borderId="8" xfId="1" applyNumberFormat="1" applyFont="1" applyFill="1" applyBorder="1" applyAlignment="1" applyProtection="1"/>
    <xf numFmtId="165" fontId="2" fillId="2" borderId="8" xfId="0" applyNumberFormat="1" applyFont="1" applyFill="1" applyBorder="1"/>
    <xf numFmtId="171" fontId="2" fillId="2" borderId="8" xfId="0" applyNumberFormat="1" applyFont="1" applyFill="1" applyBorder="1"/>
    <xf numFmtId="165" fontId="2" fillId="2" borderId="0" xfId="0" applyNumberFormat="1" applyFont="1" applyFill="1"/>
    <xf numFmtId="0" fontId="3" fillId="2" borderId="12" xfId="0" applyFont="1" applyFill="1" applyBorder="1"/>
    <xf numFmtId="0" fontId="3" fillId="2" borderId="7" xfId="0" applyFont="1" applyFill="1" applyBorder="1"/>
    <xf numFmtId="0" fontId="12" fillId="2" borderId="0" xfId="0" applyFont="1" applyFill="1"/>
    <xf numFmtId="171" fontId="2" fillId="2" borderId="12" xfId="0" applyNumberFormat="1" applyFont="1" applyFill="1" applyBorder="1"/>
    <xf numFmtId="171" fontId="2" fillId="2" borderId="13" xfId="0" applyNumberFormat="1" applyFont="1" applyFill="1" applyBorder="1"/>
    <xf numFmtId="165" fontId="2" fillId="2" borderId="0" xfId="1" applyNumberFormat="1" applyFont="1" applyFill="1" applyBorder="1" applyAlignment="1" applyProtection="1"/>
    <xf numFmtId="0" fontId="3" fillId="2" borderId="13" xfId="0" applyFont="1" applyFill="1" applyBorder="1"/>
    <xf numFmtId="165" fontId="3" fillId="2" borderId="0" xfId="1" applyNumberFormat="1" applyFont="1" applyFill="1" applyBorder="1" applyAlignment="1" applyProtection="1"/>
    <xf numFmtId="172" fontId="2" fillId="2" borderId="13" xfId="0" applyNumberFormat="1" applyFont="1" applyFill="1" applyBorder="1"/>
    <xf numFmtId="172" fontId="2" fillId="2" borderId="0" xfId="0" applyNumberFormat="1" applyFont="1" applyFill="1"/>
    <xf numFmtId="0" fontId="3" fillId="2" borderId="14" xfId="0" applyFont="1" applyFill="1" applyBorder="1"/>
    <xf numFmtId="165" fontId="12" fillId="2" borderId="0" xfId="1" applyNumberFormat="1" applyFont="1" applyFill="1" applyBorder="1" applyAlignment="1" applyProtection="1"/>
    <xf numFmtId="171" fontId="2" fillId="2" borderId="15" xfId="0" applyNumberFormat="1" applyFont="1" applyFill="1" applyBorder="1"/>
    <xf numFmtId="165" fontId="13" fillId="2" borderId="0" xfId="1" applyNumberFormat="1" applyFont="1" applyFill="1" applyBorder="1" applyAlignment="1" applyProtection="1"/>
    <xf numFmtId="172" fontId="2" fillId="2" borderId="7" xfId="0" applyNumberFormat="1" applyFont="1" applyFill="1" applyBorder="1"/>
    <xf numFmtId="172" fontId="2" fillId="2" borderId="8" xfId="0" applyNumberFormat="1" applyFont="1" applyFill="1" applyBorder="1"/>
    <xf numFmtId="171" fontId="2" fillId="2" borderId="1" xfId="0" applyNumberFormat="1" applyFont="1" applyFill="1" applyBorder="1"/>
    <xf numFmtId="165" fontId="0" fillId="2" borderId="0" xfId="0" applyNumberFormat="1" applyFill="1"/>
    <xf numFmtId="165" fontId="3" fillId="2" borderId="8" xfId="0" applyNumberFormat="1" applyFont="1" applyFill="1" applyBorder="1"/>
    <xf numFmtId="0" fontId="0" fillId="2" borderId="0" xfId="0" applyFill="1"/>
    <xf numFmtId="165" fontId="3" fillId="0" borderId="2" xfId="1" applyNumberFormat="1" applyFont="1" applyBorder="1" applyAlignment="1" applyProtection="1"/>
    <xf numFmtId="165" fontId="3" fillId="2" borderId="1" xfId="0" applyNumberFormat="1" applyFont="1" applyFill="1" applyBorder="1"/>
  </cellXfs>
  <cellStyles count="5">
    <cellStyle name="Comma" xfId="1" builtinId="3"/>
    <cellStyle name="Comma 2" xfId="4" xr:uid="{31AC9761-AACF-4189-AFC2-F2A297F34961}"/>
    <cellStyle name="Millares 10" xfId="2" xr:uid="{33A08231-2F57-4086-9C48-6CF59B74E64B}"/>
    <cellStyle name="Normal" xfId="0" builtinId="0"/>
    <cellStyle name="Normal 2 10" xfId="3" xr:uid="{A3C49BF9-4873-4390-B8B2-6D74AE90FF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conet%20EFs%20combinado%202020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Users/Carlos%20Almeida/Documents/CPAlmeida/CLIENTES/Telconet%202019/Consolidado%20Telconet%20&amp;%20subsidiarias%202019/Consolidado%20Telconet%20&amp;%20Subsidiarias%202019-2018.xlsx?8F9CE4A9" TargetMode="External"/><Relationship Id="rId1" Type="http://schemas.openxmlformats.org/officeDocument/2006/relationships/externalLinkPath" Target="file:///\\8F9CE4A9\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 "/>
      <sheetName val="ER"/>
      <sheetName val="EFE"/>
      <sheetName val="Hoja de trabajo"/>
      <sheetName val="PAT"/>
      <sheetName val="AD"/>
      <sheetName val="Impuesto diferido"/>
      <sheetName val="Ratios"/>
      <sheetName val="PP&amp;E"/>
      <sheetName val="Impto diferido"/>
    </sheetNames>
    <sheetDataSet>
      <sheetData sheetId="0"/>
      <sheetData sheetId="1">
        <row r="8">
          <cell r="I8">
            <v>23111567</v>
          </cell>
          <cell r="O8">
            <v>7639576</v>
          </cell>
        </row>
        <row r="9">
          <cell r="I9">
            <v>3119911</v>
          </cell>
          <cell r="O9">
            <v>11919</v>
          </cell>
        </row>
        <row r="10">
          <cell r="I10">
            <v>0</v>
          </cell>
          <cell r="O10">
            <v>3358789</v>
          </cell>
        </row>
        <row r="12">
          <cell r="I12">
            <v>22892112</v>
          </cell>
          <cell r="O12">
            <v>12612946</v>
          </cell>
        </row>
        <row r="13">
          <cell r="I13">
            <v>13871709</v>
          </cell>
          <cell r="O13">
            <v>26620104</v>
          </cell>
        </row>
        <row r="14">
          <cell r="I14">
            <v>6686510</v>
          </cell>
          <cell r="O14">
            <v>18057048</v>
          </cell>
        </row>
        <row r="15">
          <cell r="I15">
            <v>7057883</v>
          </cell>
          <cell r="O15">
            <v>1973842</v>
          </cell>
        </row>
        <row r="16">
          <cell r="I16">
            <v>6241240</v>
          </cell>
          <cell r="O16">
            <v>747264</v>
          </cell>
        </row>
        <row r="17">
          <cell r="I17">
            <v>28373524</v>
          </cell>
          <cell r="O17">
            <v>28594642</v>
          </cell>
        </row>
        <row r="18">
          <cell r="I18">
            <v>413564</v>
          </cell>
        </row>
        <row r="24">
          <cell r="I24">
            <v>0</v>
          </cell>
          <cell r="O24">
            <v>2077739</v>
          </cell>
        </row>
        <row r="25">
          <cell r="I25">
            <v>4645673</v>
          </cell>
          <cell r="O25">
            <v>360864</v>
          </cell>
        </row>
        <row r="26">
          <cell r="I26">
            <v>62995647.061452001</v>
          </cell>
          <cell r="O26">
            <v>46392449</v>
          </cell>
        </row>
        <row r="27">
          <cell r="I27">
            <v>545591</v>
          </cell>
          <cell r="O27">
            <v>584801</v>
          </cell>
        </row>
        <row r="28">
          <cell r="I28">
            <v>11493173</v>
          </cell>
          <cell r="O28">
            <v>14687588</v>
          </cell>
        </row>
        <row r="29">
          <cell r="I29">
            <v>3949574</v>
          </cell>
          <cell r="O29">
            <v>4147107</v>
          </cell>
        </row>
        <row r="30">
          <cell r="I30">
            <v>1836716</v>
          </cell>
          <cell r="O30">
            <v>1673584</v>
          </cell>
        </row>
        <row r="31">
          <cell r="I31">
            <v>42626957</v>
          </cell>
          <cell r="O31">
            <v>39016871</v>
          </cell>
        </row>
        <row r="32">
          <cell r="I32">
            <v>5133423.1851480007</v>
          </cell>
          <cell r="O32">
            <v>3561499</v>
          </cell>
        </row>
        <row r="33">
          <cell r="I33">
            <v>1783584</v>
          </cell>
          <cell r="O33">
            <v>60527</v>
          </cell>
        </row>
        <row r="39">
          <cell r="I39">
            <v>1479636</v>
          </cell>
          <cell r="O39">
            <v>50776</v>
          </cell>
        </row>
        <row r="40">
          <cell r="I40">
            <v>2936628</v>
          </cell>
          <cell r="O40">
            <v>5108372</v>
          </cell>
        </row>
        <row r="41">
          <cell r="I41">
            <v>6939887</v>
          </cell>
          <cell r="O41">
            <v>2484731</v>
          </cell>
        </row>
        <row r="43">
          <cell r="I43">
            <v>29252162</v>
          </cell>
          <cell r="O43">
            <v>23072146</v>
          </cell>
        </row>
        <row r="44">
          <cell r="I44">
            <v>922234</v>
          </cell>
          <cell r="O44">
            <v>4919474</v>
          </cell>
        </row>
        <row r="46">
          <cell r="I46">
            <v>14847746</v>
          </cell>
          <cell r="O46">
            <v>8921246</v>
          </cell>
        </row>
        <row r="47">
          <cell r="I47">
            <v>7311678</v>
          </cell>
          <cell r="O47">
            <v>3874091</v>
          </cell>
        </row>
        <row r="48">
          <cell r="I48">
            <v>5255127</v>
          </cell>
          <cell r="O48">
            <v>1433844</v>
          </cell>
        </row>
        <row r="49">
          <cell r="I49">
            <v>13947126</v>
          </cell>
          <cell r="O49">
            <v>9753517</v>
          </cell>
        </row>
        <row r="50">
          <cell r="I50">
            <v>1574195</v>
          </cell>
          <cell r="O50">
            <v>2219217</v>
          </cell>
        </row>
        <row r="51">
          <cell r="I51">
            <v>0</v>
          </cell>
          <cell r="O51">
            <v>0</v>
          </cell>
        </row>
        <row r="55">
          <cell r="I55">
            <v>1645615</v>
          </cell>
          <cell r="O55">
            <v>2563290</v>
          </cell>
        </row>
        <row r="56">
          <cell r="I56">
            <v>6657895</v>
          </cell>
          <cell r="O56">
            <v>0</v>
          </cell>
        </row>
        <row r="58">
          <cell r="I58">
            <v>0</v>
          </cell>
          <cell r="O58">
            <v>0</v>
          </cell>
        </row>
        <row r="59">
          <cell r="I59">
            <v>18563320</v>
          </cell>
          <cell r="O59">
            <v>0</v>
          </cell>
        </row>
        <row r="60">
          <cell r="I60">
            <v>2286986</v>
          </cell>
          <cell r="O60">
            <v>13645838</v>
          </cell>
        </row>
        <row r="61">
          <cell r="I61">
            <v>2580000</v>
          </cell>
          <cell r="O61">
            <v>18563321</v>
          </cell>
        </row>
        <row r="62">
          <cell r="I62">
            <v>9332567</v>
          </cell>
          <cell r="O62">
            <v>9761491</v>
          </cell>
        </row>
        <row r="63">
          <cell r="I63">
            <v>0</v>
          </cell>
          <cell r="O63">
            <v>2580000</v>
          </cell>
        </row>
        <row r="64">
          <cell r="I64">
            <v>2542451</v>
          </cell>
          <cell r="O64">
            <v>3724199</v>
          </cell>
        </row>
        <row r="73">
          <cell r="I73">
            <v>118703105.2466</v>
          </cell>
          <cell r="O73">
            <v>99503606.450000003</v>
          </cell>
        </row>
      </sheetData>
      <sheetData sheetId="2">
        <row r="34">
          <cell r="H34">
            <v>-8253264</v>
          </cell>
        </row>
        <row r="35">
          <cell r="H35">
            <v>-11609963</v>
          </cell>
        </row>
        <row r="36">
          <cell r="H36">
            <v>38384505</v>
          </cell>
        </row>
      </sheetData>
      <sheetData sheetId="3">
        <row r="10">
          <cell r="I10">
            <v>697211</v>
          </cell>
        </row>
        <row r="12">
          <cell r="I12">
            <v>17561314</v>
          </cell>
        </row>
        <row r="13">
          <cell r="I13">
            <v>39210</v>
          </cell>
        </row>
        <row r="14">
          <cell r="I14">
            <v>2412033</v>
          </cell>
        </row>
        <row r="15">
          <cell r="I15">
            <v>1005412</v>
          </cell>
        </row>
        <row r="16">
          <cell r="I16">
            <v>2433193</v>
          </cell>
        </row>
        <row r="19">
          <cell r="I19">
            <v>1240038</v>
          </cell>
        </row>
        <row r="22">
          <cell r="I22">
            <v>1571924</v>
          </cell>
        </row>
        <row r="43">
          <cell r="I43">
            <v>-8327309</v>
          </cell>
        </row>
        <row r="44">
          <cell r="I44">
            <v>-3976474</v>
          </cell>
        </row>
      </sheetData>
      <sheetData sheetId="4"/>
      <sheetData sheetId="5">
        <row r="191">
          <cell r="J191">
            <v>2583675</v>
          </cell>
        </row>
        <row r="193">
          <cell r="J193">
            <v>-21629181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R5">
            <v>1742562</v>
          </cell>
        </row>
        <row r="6">
          <cell r="R6">
            <v>2644455</v>
          </cell>
        </row>
        <row r="7">
          <cell r="R7">
            <v>102620</v>
          </cell>
        </row>
        <row r="8">
          <cell r="R8">
            <v>15563404</v>
          </cell>
        </row>
        <row r="9">
          <cell r="R9">
            <v>25074997</v>
          </cell>
        </row>
        <row r="10">
          <cell r="R10">
            <v>5538448</v>
          </cell>
        </row>
        <row r="11">
          <cell r="R11">
            <v>1124779</v>
          </cell>
        </row>
        <row r="12">
          <cell r="R12">
            <v>642184</v>
          </cell>
        </row>
        <row r="13">
          <cell r="R13">
            <v>14885027</v>
          </cell>
        </row>
        <row r="14">
          <cell r="R14">
            <v>3150764</v>
          </cell>
        </row>
        <row r="15">
          <cell r="R15">
            <v>3212434</v>
          </cell>
        </row>
        <row r="16">
          <cell r="R16">
            <v>112886401</v>
          </cell>
        </row>
        <row r="17">
          <cell r="R17">
            <v>661755</v>
          </cell>
        </row>
        <row r="18">
          <cell r="R18">
            <v>11276112</v>
          </cell>
        </row>
        <row r="19">
          <cell r="R19">
            <v>1422229</v>
          </cell>
        </row>
        <row r="20">
          <cell r="R20">
            <v>3318028</v>
          </cell>
        </row>
        <row r="21">
          <cell r="R21">
            <v>883849</v>
          </cell>
        </row>
        <row r="22">
          <cell r="R22">
            <v>3442838</v>
          </cell>
        </row>
        <row r="24">
          <cell r="R24">
            <v>260402</v>
          </cell>
        </row>
        <row r="25">
          <cell r="R25">
            <v>13413675</v>
          </cell>
        </row>
        <row r="26">
          <cell r="R26">
            <v>11459310</v>
          </cell>
        </row>
        <row r="27">
          <cell r="R27">
            <v>20436045</v>
          </cell>
        </row>
        <row r="28">
          <cell r="R28">
            <v>1913629</v>
          </cell>
        </row>
        <row r="29">
          <cell r="R29">
            <v>4274907</v>
          </cell>
        </row>
        <row r="30">
          <cell r="R30">
            <v>3688368</v>
          </cell>
        </row>
        <row r="31">
          <cell r="R31">
            <v>1953502</v>
          </cell>
        </row>
        <row r="32">
          <cell r="R32">
            <v>4559467</v>
          </cell>
        </row>
        <row r="33">
          <cell r="R33">
            <v>4183053</v>
          </cell>
        </row>
        <row r="34">
          <cell r="R34">
            <v>9674932</v>
          </cell>
        </row>
        <row r="35">
          <cell r="R35">
            <v>6710516</v>
          </cell>
        </row>
        <row r="36">
          <cell r="R36">
            <v>2203673</v>
          </cell>
        </row>
        <row r="37">
          <cell r="R37">
            <v>10628880</v>
          </cell>
        </row>
        <row r="38">
          <cell r="R38">
            <v>2315979</v>
          </cell>
        </row>
        <row r="39">
          <cell r="R39">
            <v>5185547</v>
          </cell>
        </row>
        <row r="40">
          <cell r="R40">
            <v>20813206</v>
          </cell>
        </row>
        <row r="41">
          <cell r="R41">
            <v>3572443</v>
          </cell>
        </row>
        <row r="51">
          <cell r="R51">
            <v>80325352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2A5D-CFFA-48F4-83B1-6F065EEC3553}">
  <sheetPr>
    <pageSetUpPr fitToPage="1"/>
  </sheetPr>
  <dimension ref="A1:AMJ116"/>
  <sheetViews>
    <sheetView tabSelected="1" zoomScaleNormal="100" workbookViewId="0">
      <selection activeCell="A29" sqref="A29"/>
    </sheetView>
  </sheetViews>
  <sheetFormatPr defaultColWidth="11.42578125" defaultRowHeight="15" x14ac:dyDescent="0.25"/>
  <cols>
    <col min="1" max="1" width="38.85546875" style="2" customWidth="1"/>
    <col min="2" max="2" width="12" style="102" customWidth="1"/>
    <col min="3" max="3" width="11.5703125" style="2" customWidth="1"/>
    <col min="4" max="4" width="11.7109375" style="2" customWidth="1"/>
    <col min="5" max="5" width="11.5703125" style="50" hidden="1" customWidth="1"/>
    <col min="6" max="6" width="11.7109375" style="2" hidden="1" customWidth="1"/>
    <col min="7" max="7" width="11" style="50" hidden="1" customWidth="1"/>
    <col min="8" max="8" width="11.7109375" style="2" hidden="1" customWidth="1"/>
    <col min="9" max="9" width="1.7109375" style="2" customWidth="1"/>
    <col min="10" max="10" width="41.5703125" style="2" customWidth="1"/>
    <col min="11" max="11" width="13.42578125" style="102" bestFit="1" customWidth="1"/>
    <col min="12" max="13" width="11.7109375" style="2" customWidth="1"/>
    <col min="14" max="14" width="10.5703125" style="50" hidden="1" customWidth="1"/>
    <col min="15" max="15" width="11.7109375" style="2" hidden="1" customWidth="1"/>
    <col min="16" max="16" width="10.5703125" style="50" hidden="1" customWidth="1"/>
    <col min="17" max="17" width="12" style="2" hidden="1" customWidth="1"/>
    <col min="18" max="18" width="11.5703125" style="6" hidden="1" customWidth="1"/>
    <col min="19" max="19" width="11.42578125" style="2"/>
    <col min="20" max="20" width="13.28515625" style="2" customWidth="1"/>
    <col min="21" max="1024" width="11.42578125" style="2"/>
  </cols>
  <sheetData>
    <row r="1" spans="1:21" s="2" customFormat="1" ht="9" customHeight="1" x14ac:dyDescent="0.2">
      <c r="A1" s="1"/>
      <c r="C1" s="1"/>
      <c r="D1" s="1"/>
      <c r="E1" s="3"/>
      <c r="F1" s="4"/>
      <c r="G1" s="3"/>
      <c r="H1" s="1"/>
      <c r="I1" s="4"/>
      <c r="J1" s="1"/>
      <c r="L1" s="1"/>
      <c r="M1" s="1"/>
      <c r="N1" s="3"/>
      <c r="O1" s="4"/>
      <c r="P1" s="3"/>
      <c r="Q1" s="5"/>
      <c r="R1" s="6"/>
    </row>
    <row r="2" spans="1:21" ht="12" customHeight="1" x14ac:dyDescent="0.25">
      <c r="A2" s="4" t="s">
        <v>0</v>
      </c>
      <c r="B2" s="7">
        <v>2020</v>
      </c>
      <c r="C2" s="8"/>
      <c r="D2" s="8">
        <v>2019</v>
      </c>
      <c r="E2" s="9"/>
      <c r="F2" s="8">
        <v>2017</v>
      </c>
      <c r="G2" s="10"/>
      <c r="H2" s="4">
        <v>2016</v>
      </c>
      <c r="I2" s="11"/>
      <c r="J2" s="4" t="s">
        <v>1</v>
      </c>
      <c r="K2" s="7">
        <v>2020</v>
      </c>
      <c r="L2" s="8"/>
      <c r="M2" s="8">
        <v>2019</v>
      </c>
      <c r="N2" s="9"/>
      <c r="O2" s="8">
        <v>2017</v>
      </c>
      <c r="P2" s="10"/>
      <c r="Q2" s="11">
        <v>2016</v>
      </c>
      <c r="S2" s="12"/>
      <c r="T2" s="13"/>
      <c r="U2" s="13"/>
    </row>
    <row r="3" spans="1:21" ht="12" customHeight="1" x14ac:dyDescent="0.25">
      <c r="A3" s="1"/>
      <c r="B3" s="14"/>
      <c r="C3" s="15"/>
      <c r="D3" s="15"/>
      <c r="E3" s="16"/>
      <c r="F3" s="17"/>
      <c r="G3" s="3"/>
      <c r="H3" s="1"/>
      <c r="I3" s="4"/>
      <c r="J3" s="1"/>
      <c r="K3" s="18"/>
      <c r="L3" s="19"/>
      <c r="M3" s="20"/>
      <c r="N3" s="16"/>
      <c r="O3" s="15"/>
      <c r="P3" s="3"/>
      <c r="Q3" s="1"/>
    </row>
    <row r="4" spans="1:21" ht="12" customHeight="1" x14ac:dyDescent="0.25">
      <c r="A4" s="21" t="s">
        <v>2</v>
      </c>
      <c r="B4" s="14"/>
      <c r="C4" s="22"/>
      <c r="D4" s="22"/>
      <c r="E4" s="16"/>
      <c r="F4" s="17"/>
      <c r="G4" s="3"/>
      <c r="H4" s="21"/>
      <c r="I4" s="4"/>
      <c r="J4" s="23" t="s">
        <v>3</v>
      </c>
      <c r="K4" s="24"/>
      <c r="L4" s="25"/>
      <c r="M4" s="26"/>
      <c r="N4" s="16"/>
      <c r="O4" s="27"/>
      <c r="P4" s="3"/>
      <c r="Q4" s="28"/>
    </row>
    <row r="5" spans="1:21" ht="12" customHeight="1" x14ac:dyDescent="0.25">
      <c r="A5" s="29" t="s">
        <v>4</v>
      </c>
      <c r="B5" s="30">
        <f>+'[1]BG '!I8</f>
        <v>23111567</v>
      </c>
      <c r="C5" s="31">
        <f t="shared" ref="C5:C15" si="0">+D5-B5</f>
        <v>-15471991</v>
      </c>
      <c r="D5" s="30">
        <f>+'[1]BG '!O8</f>
        <v>7639576</v>
      </c>
      <c r="E5" s="31">
        <f t="shared" ref="E5:E13" si="1">+F5-D5</f>
        <v>-5897014</v>
      </c>
      <c r="F5" s="32">
        <f>'[2]Planilla Final 2017'!R5</f>
        <v>1742562</v>
      </c>
      <c r="G5" s="33">
        <f t="shared" ref="G5:G13" si="2">F5-H5</f>
        <v>-9053595</v>
      </c>
      <c r="H5" s="34">
        <v>10796157</v>
      </c>
      <c r="I5" s="4"/>
      <c r="J5" s="29" t="s">
        <v>5</v>
      </c>
      <c r="K5" s="35">
        <f>+'[1]BG '!I39</f>
        <v>1479636</v>
      </c>
      <c r="L5" s="31">
        <f t="shared" ref="L5:L14" si="3">+K5-M5</f>
        <v>1428860</v>
      </c>
      <c r="M5" s="35">
        <f>+'[1]BG '!O39</f>
        <v>50776</v>
      </c>
      <c r="N5" s="31">
        <f t="shared" ref="N5:N12" si="4">+M5-O5</f>
        <v>-209626</v>
      </c>
      <c r="O5" s="36">
        <f>'[2]Planilla Final 2017'!R24</f>
        <v>260402</v>
      </c>
      <c r="P5" s="33">
        <f t="shared" ref="P5:P12" si="5">+O5-Q5</f>
        <v>61512</v>
      </c>
      <c r="Q5" s="37">
        <v>198890</v>
      </c>
      <c r="R5" s="38">
        <f>+D5-M5</f>
        <v>7588800</v>
      </c>
      <c r="S5" s="39"/>
      <c r="T5" s="40"/>
      <c r="U5" s="40"/>
    </row>
    <row r="6" spans="1:21" ht="12" customHeight="1" x14ac:dyDescent="0.25">
      <c r="A6" s="29" t="s">
        <v>6</v>
      </c>
      <c r="B6" s="30">
        <f>+'[1]BG '!I9</f>
        <v>3119911</v>
      </c>
      <c r="C6" s="31">
        <f t="shared" si="0"/>
        <v>-3107992</v>
      </c>
      <c r="D6" s="30">
        <f>+'[1]BG '!O9</f>
        <v>11919</v>
      </c>
      <c r="E6" s="31">
        <f t="shared" si="1"/>
        <v>90701</v>
      </c>
      <c r="F6" s="32">
        <f>'[2]Planilla Final 2017'!R7</f>
        <v>102620</v>
      </c>
      <c r="G6" s="33">
        <f t="shared" si="2"/>
        <v>-5828169</v>
      </c>
      <c r="H6" s="34">
        <v>5930789</v>
      </c>
      <c r="I6" s="1"/>
      <c r="J6" s="29" t="s">
        <v>7</v>
      </c>
      <c r="K6" s="35">
        <f>+'[1]BG '!I40</f>
        <v>2936628</v>
      </c>
      <c r="L6" s="31">
        <f t="shared" si="3"/>
        <v>-2171744</v>
      </c>
      <c r="M6" s="35">
        <f>+'[1]BG '!O40</f>
        <v>5108372</v>
      </c>
      <c r="N6" s="31">
        <f t="shared" si="4"/>
        <v>-8305303</v>
      </c>
      <c r="O6" s="41">
        <f>'[2]Planilla Final 2017'!R25</f>
        <v>13413675</v>
      </c>
      <c r="P6" s="33">
        <f t="shared" si="5"/>
        <v>-4986126</v>
      </c>
      <c r="Q6" s="28">
        <f>31524342-198890-12925651</f>
        <v>18399801</v>
      </c>
      <c r="S6" s="42"/>
      <c r="T6" s="40"/>
      <c r="U6" s="40"/>
    </row>
    <row r="7" spans="1:21" ht="12" customHeight="1" x14ac:dyDescent="0.25">
      <c r="A7" s="29" t="s">
        <v>8</v>
      </c>
      <c r="B7" s="30">
        <f>+'[1]BG '!I10</f>
        <v>0</v>
      </c>
      <c r="C7" s="31">
        <f t="shared" si="0"/>
        <v>3358789</v>
      </c>
      <c r="D7" s="30">
        <f>+'[1]BG '!O10</f>
        <v>3358789</v>
      </c>
      <c r="E7" s="31">
        <f t="shared" si="1"/>
        <v>-714334</v>
      </c>
      <c r="F7" s="32">
        <f>'[2]Planilla Final 2017'!R6</f>
        <v>2644455</v>
      </c>
      <c r="G7" s="33">
        <f t="shared" si="2"/>
        <v>593863</v>
      </c>
      <c r="H7" s="34">
        <v>2050592</v>
      </c>
      <c r="I7" s="4"/>
      <c r="J7" s="29" t="s">
        <v>9</v>
      </c>
      <c r="K7" s="35">
        <f>+'[1]BG '!I41</f>
        <v>6939887</v>
      </c>
      <c r="L7" s="31">
        <f t="shared" si="3"/>
        <v>4455156</v>
      </c>
      <c r="M7" s="35">
        <f>+'[1]BG '!O41</f>
        <v>2484731</v>
      </c>
      <c r="N7" s="31">
        <f t="shared" si="4"/>
        <v>-8974579</v>
      </c>
      <c r="O7" s="41">
        <f>'[2]Planilla Final 2017'!R26</f>
        <v>11459310</v>
      </c>
      <c r="P7" s="33">
        <f t="shared" si="5"/>
        <v>-1466341</v>
      </c>
      <c r="Q7" s="28">
        <v>12925651</v>
      </c>
      <c r="S7" s="42"/>
      <c r="T7" s="40"/>
      <c r="U7" s="40"/>
    </row>
    <row r="8" spans="1:21" ht="12" customHeight="1" x14ac:dyDescent="0.25">
      <c r="A8" s="29" t="s">
        <v>10</v>
      </c>
      <c r="B8" s="30">
        <f>+'[1]BG '!I12</f>
        <v>22892112</v>
      </c>
      <c r="C8" s="31">
        <f t="shared" si="0"/>
        <v>-10279166</v>
      </c>
      <c r="D8" s="30">
        <f>+'[1]BG '!O12</f>
        <v>12612946</v>
      </c>
      <c r="E8" s="31">
        <f t="shared" si="1"/>
        <v>2950458</v>
      </c>
      <c r="F8" s="32">
        <f>'[2]Planilla Final 2017'!R8</f>
        <v>15563404</v>
      </c>
      <c r="G8" s="33">
        <f t="shared" si="2"/>
        <v>1100909</v>
      </c>
      <c r="H8" s="34">
        <v>14462495</v>
      </c>
      <c r="I8" s="4"/>
      <c r="J8" s="29" t="s">
        <v>11</v>
      </c>
      <c r="K8" s="35">
        <f>+'[1]BG '!I43</f>
        <v>29252162</v>
      </c>
      <c r="L8" s="31">
        <f t="shared" si="3"/>
        <v>6180016</v>
      </c>
      <c r="M8" s="35">
        <f>+'[1]BG '!O43</f>
        <v>23072146</v>
      </c>
      <c r="N8" s="31">
        <f t="shared" si="4"/>
        <v>2636101</v>
      </c>
      <c r="O8" s="41">
        <f>'[2]Planilla Final 2017'!R27</f>
        <v>20436045</v>
      </c>
      <c r="P8" s="33">
        <f t="shared" si="5"/>
        <v>1910661</v>
      </c>
      <c r="Q8" s="28">
        <v>18525384</v>
      </c>
      <c r="S8" s="42"/>
      <c r="T8" s="40"/>
      <c r="U8" s="40"/>
    </row>
    <row r="9" spans="1:21" ht="12" customHeight="1" x14ac:dyDescent="0.25">
      <c r="A9" s="29" t="s">
        <v>12</v>
      </c>
      <c r="B9" s="30">
        <f>+'[1]BG '!I13</f>
        <v>13871709</v>
      </c>
      <c r="C9" s="31">
        <f t="shared" si="0"/>
        <v>12748395</v>
      </c>
      <c r="D9" s="30">
        <f>+'[1]BG '!O13</f>
        <v>26620104</v>
      </c>
      <c r="E9" s="31">
        <f t="shared" si="1"/>
        <v>-1545107</v>
      </c>
      <c r="F9" s="32">
        <f>'[2]Planilla Final 2017'!R9</f>
        <v>25074997</v>
      </c>
      <c r="G9" s="33">
        <f t="shared" si="2"/>
        <v>11254398</v>
      </c>
      <c r="H9" s="34">
        <v>13820599</v>
      </c>
      <c r="I9" s="4"/>
      <c r="J9" s="29" t="s">
        <v>13</v>
      </c>
      <c r="K9" s="35">
        <f>+'[1]BG '!I44</f>
        <v>922234</v>
      </c>
      <c r="L9" s="31">
        <f t="shared" si="3"/>
        <v>-3997240</v>
      </c>
      <c r="M9" s="35">
        <f>+'[1]BG '!O44</f>
        <v>4919474</v>
      </c>
      <c r="N9" s="31">
        <f t="shared" si="4"/>
        <v>3005845</v>
      </c>
      <c r="O9" s="41">
        <f>'[2]Planilla Final 2017'!R28</f>
        <v>1913629</v>
      </c>
      <c r="P9" s="33">
        <f t="shared" si="5"/>
        <v>1651239</v>
      </c>
      <c r="Q9" s="28">
        <v>262390</v>
      </c>
      <c r="T9" s="40"/>
      <c r="U9" s="40"/>
    </row>
    <row r="10" spans="1:21" ht="12" customHeight="1" x14ac:dyDescent="0.25">
      <c r="A10" s="29" t="s">
        <v>14</v>
      </c>
      <c r="B10" s="30">
        <f>+'[1]BG '!I15</f>
        <v>7057883</v>
      </c>
      <c r="C10" s="31">
        <f t="shared" si="0"/>
        <v>-5084041</v>
      </c>
      <c r="D10" s="30">
        <f>+'[1]BG '!O15</f>
        <v>1973842</v>
      </c>
      <c r="E10" s="31">
        <f t="shared" si="1"/>
        <v>-849063</v>
      </c>
      <c r="F10" s="32">
        <f>'[2]Planilla Final 2017'!R11</f>
        <v>1124779</v>
      </c>
      <c r="G10" s="33">
        <f t="shared" si="2"/>
        <v>-685042</v>
      </c>
      <c r="H10" s="34">
        <v>1809821</v>
      </c>
      <c r="I10" s="4"/>
      <c r="J10" s="29" t="s">
        <v>15</v>
      </c>
      <c r="K10" s="35">
        <f>+'[1]BG '!I46</f>
        <v>14847746</v>
      </c>
      <c r="L10" s="31">
        <f t="shared" si="3"/>
        <v>5926500</v>
      </c>
      <c r="M10" s="35">
        <f>+'[1]BG '!O46</f>
        <v>8921246</v>
      </c>
      <c r="N10" s="31">
        <f t="shared" si="4"/>
        <v>4646339</v>
      </c>
      <c r="O10" s="41">
        <f>'[2]Planilla Final 2017'!R29</f>
        <v>4274907</v>
      </c>
      <c r="P10" s="33">
        <f t="shared" si="5"/>
        <v>130512</v>
      </c>
      <c r="Q10" s="28">
        <v>4144395</v>
      </c>
      <c r="T10" s="40"/>
      <c r="U10" s="40"/>
    </row>
    <row r="11" spans="1:21" ht="12" customHeight="1" x14ac:dyDescent="0.25">
      <c r="A11" s="29" t="s">
        <v>16</v>
      </c>
      <c r="B11" s="30">
        <f>+'[1]BG '!I14</f>
        <v>6686510</v>
      </c>
      <c r="C11" s="31">
        <f t="shared" si="0"/>
        <v>11370538</v>
      </c>
      <c r="D11" s="30">
        <f>+'[1]BG '!O14</f>
        <v>18057048</v>
      </c>
      <c r="E11" s="31">
        <f t="shared" si="1"/>
        <v>-12518600</v>
      </c>
      <c r="F11" s="32">
        <f>'[2]Planilla Final 2017'!R10</f>
        <v>5538448</v>
      </c>
      <c r="G11" s="33">
        <f t="shared" si="2"/>
        <v>2963608</v>
      </c>
      <c r="H11" s="34">
        <v>2574840</v>
      </c>
      <c r="I11" s="4"/>
      <c r="J11" s="29" t="s">
        <v>17</v>
      </c>
      <c r="K11" s="35">
        <f>+'[1]BG '!I47</f>
        <v>7311678</v>
      </c>
      <c r="L11" s="31">
        <f t="shared" si="3"/>
        <v>3437587</v>
      </c>
      <c r="M11" s="35">
        <f>+'[1]BG '!O47</f>
        <v>3874091</v>
      </c>
      <c r="N11" s="31">
        <f t="shared" si="4"/>
        <v>185723</v>
      </c>
      <c r="O11" s="41">
        <f>'[2]Planilla Final 2017'!R30</f>
        <v>3688368</v>
      </c>
      <c r="P11" s="33">
        <f t="shared" si="5"/>
        <v>-31613</v>
      </c>
      <c r="Q11" s="28">
        <f>783153+2936828</f>
        <v>3719981</v>
      </c>
      <c r="T11" s="40"/>
      <c r="U11" s="40"/>
    </row>
    <row r="12" spans="1:21" ht="12" customHeight="1" x14ac:dyDescent="0.25">
      <c r="A12" s="29" t="s">
        <v>18</v>
      </c>
      <c r="B12" s="30">
        <f>+'[1]BG '!I16</f>
        <v>6241240</v>
      </c>
      <c r="C12" s="31">
        <f t="shared" si="0"/>
        <v>-5493976</v>
      </c>
      <c r="D12" s="30">
        <f>+'[1]BG '!O16</f>
        <v>747264</v>
      </c>
      <c r="E12" s="31">
        <f t="shared" si="1"/>
        <v>-105080</v>
      </c>
      <c r="F12" s="32">
        <f>'[2]Planilla Final 2017'!R12</f>
        <v>642184</v>
      </c>
      <c r="G12" s="33">
        <f t="shared" si="2"/>
        <v>-1728719</v>
      </c>
      <c r="H12" s="34">
        <v>2370903</v>
      </c>
      <c r="I12" s="1"/>
      <c r="J12" s="29" t="s">
        <v>19</v>
      </c>
      <c r="K12" s="35">
        <f>+'[1]BG '!I48</f>
        <v>5255127</v>
      </c>
      <c r="L12" s="31">
        <f t="shared" si="3"/>
        <v>3821283</v>
      </c>
      <c r="M12" s="35">
        <f>+'[1]BG '!O48</f>
        <v>1433844</v>
      </c>
      <c r="N12" s="31">
        <f t="shared" si="4"/>
        <v>-4702711</v>
      </c>
      <c r="O12" s="41">
        <f>'[2]Planilla Final 2017'!R31+'[2]Planilla Final 2017'!R33</f>
        <v>6136555</v>
      </c>
      <c r="P12" s="33">
        <f t="shared" si="5"/>
        <v>-2446877</v>
      </c>
      <c r="Q12" s="28">
        <f>4358272+4225160</f>
        <v>8583432</v>
      </c>
      <c r="T12" s="40"/>
      <c r="U12" s="40"/>
    </row>
    <row r="13" spans="1:21" ht="12" customHeight="1" x14ac:dyDescent="0.25">
      <c r="A13" s="29" t="s">
        <v>20</v>
      </c>
      <c r="B13" s="30">
        <f>+'[1]BG '!I17</f>
        <v>28373524</v>
      </c>
      <c r="C13" s="31">
        <f t="shared" si="0"/>
        <v>221118</v>
      </c>
      <c r="D13" s="30">
        <f>+'[1]BG '!O17</f>
        <v>28594642</v>
      </c>
      <c r="E13" s="31">
        <f t="shared" si="1"/>
        <v>-13709615</v>
      </c>
      <c r="F13" s="32">
        <f>'[2]Planilla Final 2017'!R13</f>
        <v>14885027</v>
      </c>
      <c r="G13" s="33">
        <f t="shared" si="2"/>
        <v>-4055589</v>
      </c>
      <c r="H13" s="43">
        <v>18940616</v>
      </c>
      <c r="I13" s="4"/>
      <c r="J13" s="44" t="s">
        <v>21</v>
      </c>
      <c r="K13" s="35">
        <f>+'[1]BG '!I50</f>
        <v>1574195</v>
      </c>
      <c r="L13" s="31">
        <f t="shared" si="3"/>
        <v>-645022</v>
      </c>
      <c r="M13" s="35">
        <f>+'[1]BG '!O50</f>
        <v>2219217</v>
      </c>
      <c r="N13" s="45"/>
      <c r="O13" s="14">
        <v>0</v>
      </c>
      <c r="P13" s="33">
        <f>+O14-Q13</f>
        <v>184123</v>
      </c>
      <c r="Q13" s="28">
        <v>4375344</v>
      </c>
      <c r="T13" s="40"/>
      <c r="U13" s="40"/>
    </row>
    <row r="14" spans="1:21" ht="12" customHeight="1" x14ac:dyDescent="0.25">
      <c r="A14" s="44" t="s">
        <v>22</v>
      </c>
      <c r="B14" s="46">
        <f>'[1]BG '!I18</f>
        <v>413564</v>
      </c>
      <c r="C14" s="31">
        <f t="shared" si="0"/>
        <v>-413564</v>
      </c>
      <c r="D14" s="47">
        <f>'[1]BG '!O18</f>
        <v>0</v>
      </c>
      <c r="E14" s="31"/>
      <c r="F14" s="48"/>
      <c r="G14" s="33"/>
      <c r="H14" s="49"/>
      <c r="I14" s="1"/>
      <c r="J14" s="29" t="s">
        <v>23</v>
      </c>
      <c r="K14" s="35">
        <f>+'[1]BG '!I49</f>
        <v>13947126</v>
      </c>
      <c r="L14" s="31">
        <f t="shared" si="3"/>
        <v>4193609</v>
      </c>
      <c r="M14" s="35">
        <f>+'[1]BG '!O49</f>
        <v>9753517</v>
      </c>
      <c r="N14" s="31">
        <f>+M14-O14</f>
        <v>5194050</v>
      </c>
      <c r="O14" s="41">
        <f>'[2]Planilla Final 2017'!R32</f>
        <v>4559467</v>
      </c>
      <c r="T14" s="40"/>
      <c r="U14" s="40"/>
    </row>
    <row r="15" spans="1:21" ht="12" customHeight="1" x14ac:dyDescent="0.25">
      <c r="A15" s="44"/>
      <c r="B15" s="46">
        <v>0</v>
      </c>
      <c r="C15" s="31">
        <f t="shared" si="0"/>
        <v>0</v>
      </c>
      <c r="D15" s="47">
        <v>0</v>
      </c>
      <c r="E15" s="31"/>
      <c r="F15" s="48"/>
      <c r="G15" s="33"/>
      <c r="H15" s="49"/>
      <c r="I15" s="1"/>
      <c r="J15" s="29" t="s">
        <v>24</v>
      </c>
      <c r="K15" s="51">
        <f>'[1]BG '!I51</f>
        <v>0</v>
      </c>
      <c r="L15" s="31"/>
      <c r="M15" s="51">
        <f>'[1]BG '!O51</f>
        <v>0</v>
      </c>
      <c r="N15" s="31"/>
      <c r="O15" s="41"/>
      <c r="T15" s="40"/>
      <c r="U15" s="40"/>
    </row>
    <row r="16" spans="1:21" ht="12" customHeight="1" x14ac:dyDescent="0.25">
      <c r="A16" s="21" t="s">
        <v>25</v>
      </c>
      <c r="B16" s="52">
        <f>SUM(B5:B15)</f>
        <v>111768020</v>
      </c>
      <c r="C16" s="31"/>
      <c r="D16" s="52">
        <f>SUM(D5:D15)</f>
        <v>99616130</v>
      </c>
      <c r="E16" s="31"/>
      <c r="F16" s="48"/>
      <c r="G16" s="33"/>
      <c r="H16" s="49"/>
      <c r="I16" s="4"/>
      <c r="J16" s="53" t="s">
        <v>26</v>
      </c>
      <c r="K16" s="30">
        <f>SUM(K5:K15)</f>
        <v>84466419</v>
      </c>
      <c r="L16" s="31"/>
      <c r="M16" s="30">
        <f>SUM(M5:M15)</f>
        <v>61837414</v>
      </c>
      <c r="N16" s="31"/>
      <c r="O16" s="54">
        <f>SUM(O5:O14)</f>
        <v>66142358</v>
      </c>
      <c r="P16" s="33"/>
      <c r="T16" s="40"/>
      <c r="U16" s="40"/>
    </row>
    <row r="17" spans="1:25" ht="12" customHeight="1" x14ac:dyDescent="0.25">
      <c r="A17" s="29"/>
      <c r="B17" s="14"/>
      <c r="C17" s="31"/>
      <c r="D17" s="55"/>
      <c r="E17" s="31">
        <f t="shared" ref="E17:E24" si="6">+F17-D19</f>
        <v>2851570</v>
      </c>
      <c r="F17" s="32">
        <f>'[2]Planilla Final 2017'!R15</f>
        <v>3212434</v>
      </c>
      <c r="G17" s="33">
        <f t="shared" ref="G17:G24" si="7">F17-H17</f>
        <v>206140</v>
      </c>
      <c r="H17" s="34">
        <v>3006294</v>
      </c>
      <c r="I17" s="1"/>
      <c r="K17" s="30"/>
      <c r="L17" s="45"/>
      <c r="M17" s="14"/>
      <c r="N17" s="45"/>
      <c r="O17" s="14"/>
      <c r="P17" s="33">
        <f t="shared" ref="P17:P24" si="8">+O19-Q17</f>
        <v>251068</v>
      </c>
      <c r="Q17" s="28">
        <f>23039030-13615166</f>
        <v>9423864</v>
      </c>
      <c r="T17" s="40"/>
      <c r="U17" s="40"/>
    </row>
    <row r="18" spans="1:25" ht="12" customHeight="1" x14ac:dyDescent="0.25">
      <c r="A18" s="21" t="s">
        <v>27</v>
      </c>
      <c r="B18" s="14"/>
      <c r="C18" s="31"/>
      <c r="D18" s="55"/>
      <c r="E18" s="31">
        <f t="shared" si="6"/>
        <v>1073025</v>
      </c>
      <c r="F18" s="14">
        <f>+'[2]Planilla Final 2017'!R14</f>
        <v>3150764</v>
      </c>
      <c r="G18" s="33">
        <f t="shared" si="7"/>
        <v>3150764</v>
      </c>
      <c r="H18" s="34">
        <v>0</v>
      </c>
      <c r="I18" s="4"/>
      <c r="J18" s="23" t="s">
        <v>28</v>
      </c>
      <c r="K18" s="30"/>
      <c r="L18" s="31"/>
      <c r="M18" s="56"/>
      <c r="N18" s="31"/>
      <c r="O18" s="14"/>
      <c r="P18" s="33">
        <f t="shared" si="8"/>
        <v>-6904650</v>
      </c>
      <c r="Q18" s="28">
        <v>13615166</v>
      </c>
      <c r="T18" s="40"/>
      <c r="U18" s="40"/>
    </row>
    <row r="19" spans="1:25" ht="12" customHeight="1" x14ac:dyDescent="0.25">
      <c r="A19" s="29" t="s">
        <v>16</v>
      </c>
      <c r="B19" s="30">
        <f>+'[1]BG '!I25</f>
        <v>4645673</v>
      </c>
      <c r="C19" s="31">
        <f t="shared" ref="C19:C28" si="9">+D19-B19</f>
        <v>-4284809</v>
      </c>
      <c r="D19" s="30">
        <f>+'[1]BG '!O25</f>
        <v>360864</v>
      </c>
      <c r="E19" s="31">
        <f t="shared" si="6"/>
        <v>66493952</v>
      </c>
      <c r="F19" s="32">
        <f>'[2]Planilla Final 2017'!R16</f>
        <v>112886401</v>
      </c>
      <c r="G19" s="33">
        <f t="shared" si="7"/>
        <v>-2499431</v>
      </c>
      <c r="H19" s="34">
        <v>115385832</v>
      </c>
      <c r="I19" s="4"/>
      <c r="J19" s="57" t="s">
        <v>29</v>
      </c>
      <c r="K19" s="30">
        <f>+'[1]BG '!I55</f>
        <v>1645615</v>
      </c>
      <c r="L19" s="31">
        <f t="shared" ref="L19:L27" si="10">+K19-M19</f>
        <v>-917675</v>
      </c>
      <c r="M19" s="30">
        <f>+'[1]BG '!O55</f>
        <v>2563290</v>
      </c>
      <c r="N19" s="31">
        <f t="shared" ref="N19:N27" si="11">+M19-O19</f>
        <v>-7111642</v>
      </c>
      <c r="O19" s="58">
        <f>'[2]Planilla Final 2017'!R34</f>
        <v>9674932</v>
      </c>
      <c r="P19" s="33">
        <f t="shared" si="8"/>
        <v>-3509537</v>
      </c>
      <c r="Q19" s="28">
        <v>5713210</v>
      </c>
      <c r="T19" s="40"/>
      <c r="U19" s="40"/>
    </row>
    <row r="20" spans="1:25" ht="12" customHeight="1" x14ac:dyDescent="0.25">
      <c r="A20" s="29" t="s">
        <v>12</v>
      </c>
      <c r="B20" s="30">
        <f>+'[1]BG '!I24</f>
        <v>0</v>
      </c>
      <c r="C20" s="31">
        <f t="shared" si="9"/>
        <v>2077739</v>
      </c>
      <c r="D20" s="30">
        <f>+'[1]BG '!O24</f>
        <v>2077739</v>
      </c>
      <c r="E20" s="31">
        <f t="shared" si="6"/>
        <v>76954</v>
      </c>
      <c r="F20" s="32">
        <f>'[2]Planilla Final 2017'!R17</f>
        <v>661755</v>
      </c>
      <c r="G20" s="33">
        <f t="shared" si="7"/>
        <v>-39210</v>
      </c>
      <c r="H20" s="34">
        <v>700965</v>
      </c>
      <c r="I20" s="4"/>
      <c r="J20" s="57" t="s">
        <v>30</v>
      </c>
      <c r="K20" s="30">
        <f>+'[1]BG '!I56</f>
        <v>6657895</v>
      </c>
      <c r="L20" s="31">
        <f t="shared" si="10"/>
        <v>6657895</v>
      </c>
      <c r="M20" s="30">
        <f>+'[1]BG '!O56</f>
        <v>0</v>
      </c>
      <c r="N20" s="31">
        <f t="shared" si="11"/>
        <v>-6710516</v>
      </c>
      <c r="O20" s="58">
        <f>'[2]Planilla Final 2017'!R35</f>
        <v>6710516</v>
      </c>
      <c r="P20" s="33">
        <f t="shared" si="8"/>
        <v>2</v>
      </c>
      <c r="Q20" s="28">
        <v>10628878</v>
      </c>
      <c r="S20" s="59"/>
      <c r="T20" s="40"/>
      <c r="U20" s="40"/>
      <c r="W20" s="60"/>
      <c r="Y20" s="60"/>
    </row>
    <row r="21" spans="1:25" ht="12" customHeight="1" x14ac:dyDescent="0.25">
      <c r="A21" s="29" t="s">
        <v>31</v>
      </c>
      <c r="B21" s="30">
        <f>+'[1]BG '!I26</f>
        <v>62995647.061452001</v>
      </c>
      <c r="C21" s="31">
        <f t="shared" si="9"/>
        <v>-16603198.061452001</v>
      </c>
      <c r="D21" s="30">
        <f>+'[1]BG '!O26</f>
        <v>46392449</v>
      </c>
      <c r="E21" s="31">
        <f t="shared" si="6"/>
        <v>-3411476</v>
      </c>
      <c r="F21" s="32">
        <f>'[2]Planilla Final 2017'!R18</f>
        <v>11276112</v>
      </c>
      <c r="G21" s="33">
        <f t="shared" si="7"/>
        <v>-841341</v>
      </c>
      <c r="H21" s="34">
        <v>12117453</v>
      </c>
      <c r="I21" s="4"/>
      <c r="J21" s="29" t="s">
        <v>11</v>
      </c>
      <c r="K21" s="30">
        <f>+'[1]BG '!I58</f>
        <v>0</v>
      </c>
      <c r="L21" s="31">
        <f t="shared" si="10"/>
        <v>0</v>
      </c>
      <c r="M21" s="30">
        <f>+'[1]BG '!O58</f>
        <v>0</v>
      </c>
      <c r="N21" s="31">
        <f t="shared" si="11"/>
        <v>-2203673</v>
      </c>
      <c r="O21" s="58">
        <f>'[2]Planilla Final 2017'!R36</f>
        <v>2203673</v>
      </c>
      <c r="P21" s="33">
        <f t="shared" si="8"/>
        <v>-477887</v>
      </c>
      <c r="Q21" s="28">
        <f>2766149+27717</f>
        <v>2793866</v>
      </c>
      <c r="T21" s="40"/>
      <c r="U21" s="40"/>
      <c r="V21" s="4"/>
      <c r="W21" s="60"/>
      <c r="X21" s="4"/>
      <c r="Y21" s="60"/>
    </row>
    <row r="22" spans="1:25" ht="12" customHeight="1" x14ac:dyDescent="0.25">
      <c r="A22" s="29" t="s">
        <v>32</v>
      </c>
      <c r="B22" s="30">
        <f>+'[1]BG '!I27</f>
        <v>545591</v>
      </c>
      <c r="C22" s="31">
        <f t="shared" si="9"/>
        <v>39210</v>
      </c>
      <c r="D22" s="30">
        <f>+'[1]BG '!O27</f>
        <v>584801</v>
      </c>
      <c r="E22" s="31">
        <f t="shared" si="6"/>
        <v>-251355</v>
      </c>
      <c r="F22" s="32">
        <f>'[2]Planilla Final 2017'!R19</f>
        <v>1422229</v>
      </c>
      <c r="G22" s="33">
        <f t="shared" si="7"/>
        <v>0</v>
      </c>
      <c r="H22" s="34">
        <v>1422229</v>
      </c>
      <c r="I22" s="4"/>
      <c r="J22" s="29" t="s">
        <v>13</v>
      </c>
      <c r="K22" s="30">
        <f>+'[1]BG '!I59</f>
        <v>18563320</v>
      </c>
      <c r="L22" s="31">
        <f t="shared" si="10"/>
        <v>18563320</v>
      </c>
      <c r="M22" s="30">
        <f>+'[1]BG '!O59</f>
        <v>0</v>
      </c>
      <c r="N22" s="31">
        <f t="shared" si="11"/>
        <v>-10628880</v>
      </c>
      <c r="O22" s="58">
        <f>'[2]Planilla Final 2017'!R37</f>
        <v>10628880</v>
      </c>
      <c r="P22" s="33">
        <f t="shared" si="8"/>
        <v>-610580</v>
      </c>
      <c r="Q22" s="28">
        <v>5796127</v>
      </c>
      <c r="T22" s="40"/>
      <c r="U22" s="40"/>
    </row>
    <row r="23" spans="1:25" ht="12" customHeight="1" x14ac:dyDescent="0.25">
      <c r="A23" s="29" t="s">
        <v>33</v>
      </c>
      <c r="B23" s="30">
        <f>+'[1]BG '!I28</f>
        <v>11493173</v>
      </c>
      <c r="C23" s="31">
        <f t="shared" si="9"/>
        <v>3194415</v>
      </c>
      <c r="D23" s="30">
        <f>+'[1]BG '!O28</f>
        <v>14687588</v>
      </c>
      <c r="E23" s="31">
        <f t="shared" si="6"/>
        <v>-35698843</v>
      </c>
      <c r="F23" s="32">
        <f>'[2]Planilla Final 2017'!R20</f>
        <v>3318028</v>
      </c>
      <c r="G23" s="33">
        <f t="shared" si="7"/>
        <v>-3227531</v>
      </c>
      <c r="H23" s="34">
        <v>6545559</v>
      </c>
      <c r="I23" s="4"/>
      <c r="J23" s="29" t="s">
        <v>17</v>
      </c>
      <c r="K23" s="30">
        <f>+'[1]BG '!I60</f>
        <v>2286986</v>
      </c>
      <c r="L23" s="31">
        <f t="shared" si="10"/>
        <v>-11358852</v>
      </c>
      <c r="M23" s="30">
        <f>+'[1]BG '!O60</f>
        <v>13645838</v>
      </c>
      <c r="N23" s="31">
        <f t="shared" si="11"/>
        <v>11329859</v>
      </c>
      <c r="O23" s="58">
        <f>'[2]Planilla Final 2017'!R38</f>
        <v>2315979</v>
      </c>
      <c r="P23" s="33">
        <f t="shared" si="8"/>
        <v>3116879</v>
      </c>
      <c r="Q23" s="28">
        <v>17696327</v>
      </c>
      <c r="T23" s="40"/>
      <c r="U23" s="40"/>
    </row>
    <row r="24" spans="1:25" ht="12" customHeight="1" x14ac:dyDescent="0.25">
      <c r="A24" s="29" t="s">
        <v>34</v>
      </c>
      <c r="B24" s="30">
        <f>+'[1]BG '!I30</f>
        <v>1836716</v>
      </c>
      <c r="C24" s="31">
        <f t="shared" si="9"/>
        <v>-163132</v>
      </c>
      <c r="D24" s="30">
        <f>+'[1]BG '!O30</f>
        <v>1673584</v>
      </c>
      <c r="E24" s="31">
        <f t="shared" si="6"/>
        <v>4266160</v>
      </c>
      <c r="F24" s="32">
        <f>'[2]Planilla Final 2017'!R21+'[2]Planilla Final 2017'!R22</f>
        <v>4326687</v>
      </c>
      <c r="G24" s="33">
        <f t="shared" si="7"/>
        <v>1190535</v>
      </c>
      <c r="H24" s="34">
        <f>106009+3030143</f>
        <v>3136152</v>
      </c>
      <c r="I24" s="4"/>
      <c r="J24" s="29" t="s">
        <v>35</v>
      </c>
      <c r="K24" s="30">
        <f>+'[1]BG '!I62</f>
        <v>9332567</v>
      </c>
      <c r="L24" s="31">
        <f t="shared" si="10"/>
        <v>-428924</v>
      </c>
      <c r="M24" s="30">
        <f>+'[1]BG '!O62</f>
        <v>9761491</v>
      </c>
      <c r="N24" s="31">
        <f t="shared" si="11"/>
        <v>4575944</v>
      </c>
      <c r="O24" s="58">
        <f>'[2]Planilla Final 2017'!R39</f>
        <v>5185547</v>
      </c>
      <c r="P24" s="33">
        <f t="shared" si="8"/>
        <v>0</v>
      </c>
      <c r="Q24" s="28">
        <v>3572443</v>
      </c>
      <c r="T24" s="40"/>
      <c r="U24" s="40"/>
    </row>
    <row r="25" spans="1:25" ht="12" customHeight="1" x14ac:dyDescent="0.25">
      <c r="A25" s="29" t="s">
        <v>36</v>
      </c>
      <c r="B25" s="30">
        <f>+'[1]BG '!I31</f>
        <v>42626957</v>
      </c>
      <c r="C25" s="31">
        <f t="shared" si="9"/>
        <v>-3610086</v>
      </c>
      <c r="D25" s="30">
        <f>+'[1]BG '!O31</f>
        <v>39016871</v>
      </c>
      <c r="E25" s="31"/>
      <c r="F25" s="32">
        <v>0</v>
      </c>
      <c r="G25" s="33"/>
      <c r="H25" s="34"/>
      <c r="I25" s="4"/>
      <c r="J25" s="29" t="s">
        <v>19</v>
      </c>
      <c r="K25" s="30">
        <f>+'[1]BG '!I61</f>
        <v>2580000</v>
      </c>
      <c r="L25" s="31">
        <f t="shared" si="10"/>
        <v>-15983321</v>
      </c>
      <c r="M25" s="30">
        <f>+'[1]BG '!O61</f>
        <v>18563321</v>
      </c>
      <c r="N25" s="31">
        <f t="shared" si="11"/>
        <v>-2249885</v>
      </c>
      <c r="O25" s="58">
        <f>'[2]Planilla Final 2017'!R40</f>
        <v>20813206</v>
      </c>
      <c r="P25" s="33"/>
      <c r="Q25" s="28"/>
      <c r="T25" s="40"/>
      <c r="U25" s="40"/>
    </row>
    <row r="26" spans="1:25" ht="12" customHeight="1" x14ac:dyDescent="0.25">
      <c r="A26" s="29" t="s">
        <v>37</v>
      </c>
      <c r="B26" s="30">
        <f>+'[1]BG '!I33</f>
        <v>1783584</v>
      </c>
      <c r="C26" s="31">
        <f t="shared" si="9"/>
        <v>-1723057</v>
      </c>
      <c r="D26" s="30">
        <f>+'[1]BG '!O33</f>
        <v>60527</v>
      </c>
      <c r="E26" s="31">
        <f>+F26-D28</f>
        <v>-3561499</v>
      </c>
      <c r="F26" s="61">
        <v>0</v>
      </c>
      <c r="G26" s="33">
        <f>F26-H26</f>
        <v>0</v>
      </c>
      <c r="H26" s="43">
        <v>0</v>
      </c>
      <c r="J26" s="29" t="s">
        <v>38</v>
      </c>
      <c r="K26" s="30">
        <f>+'[1]BG '!I64</f>
        <v>2542451</v>
      </c>
      <c r="L26" s="31">
        <f t="shared" si="10"/>
        <v>-1181748</v>
      </c>
      <c r="M26" s="30">
        <f>+'[1]BG '!O64</f>
        <v>3724199</v>
      </c>
      <c r="N26" s="31">
        <f t="shared" si="11"/>
        <v>151756</v>
      </c>
      <c r="O26" s="58">
        <f>'[2]Planilla Final 2017'!R41</f>
        <v>3572443</v>
      </c>
      <c r="P26" s="33">
        <f>+O27-Q26</f>
        <v>0</v>
      </c>
      <c r="Q26" s="62">
        <v>0</v>
      </c>
      <c r="T26" s="40"/>
      <c r="U26" s="40"/>
    </row>
    <row r="27" spans="1:25" ht="12" customHeight="1" x14ac:dyDescent="0.25">
      <c r="A27" s="29" t="s">
        <v>39</v>
      </c>
      <c r="B27" s="30">
        <f>+'[1]BG '!I29</f>
        <v>3949574</v>
      </c>
      <c r="C27" s="31">
        <f t="shared" si="9"/>
        <v>197533</v>
      </c>
      <c r="D27" s="30">
        <f>+'[1]BG '!O29</f>
        <v>4147107</v>
      </c>
      <c r="E27" s="45"/>
      <c r="F27" s="58">
        <f>SUM(F17:F26)</f>
        <v>140254410</v>
      </c>
      <c r="H27" s="63">
        <f>SUM(H17:H26)</f>
        <v>142314484</v>
      </c>
      <c r="I27" s="4"/>
      <c r="J27" s="29" t="s">
        <v>40</v>
      </c>
      <c r="K27" s="30">
        <f>+'[1]BG '!I63</f>
        <v>0</v>
      </c>
      <c r="L27" s="31">
        <f t="shared" si="10"/>
        <v>-2580000</v>
      </c>
      <c r="M27" s="30">
        <f>+'[1]BG '!O63</f>
        <v>2580000</v>
      </c>
      <c r="N27" s="31">
        <f t="shared" si="11"/>
        <v>2580000</v>
      </c>
      <c r="O27" s="64">
        <v>0</v>
      </c>
      <c r="Q27" s="65">
        <f>SUM(Q17:Q26)</f>
        <v>69239881</v>
      </c>
      <c r="T27" s="40"/>
      <c r="U27" s="40"/>
    </row>
    <row r="28" spans="1:25" ht="12" customHeight="1" x14ac:dyDescent="0.25">
      <c r="A28" s="29" t="s">
        <v>41</v>
      </c>
      <c r="B28" s="66">
        <f>+'[1]BG '!I32</f>
        <v>5133423.1851480007</v>
      </c>
      <c r="C28" s="31">
        <f t="shared" si="9"/>
        <v>-1571924.1851480007</v>
      </c>
      <c r="D28" s="66">
        <f>+'[1]BG '!O32</f>
        <v>3561499</v>
      </c>
      <c r="E28" s="45"/>
      <c r="F28" s="14"/>
      <c r="J28" s="53" t="s">
        <v>42</v>
      </c>
      <c r="K28" s="67">
        <f>SUM(K19:K27)</f>
        <v>43608834</v>
      </c>
      <c r="L28" s="45"/>
      <c r="M28" s="61">
        <f>SUM(M19:M27)</f>
        <v>50838139</v>
      </c>
      <c r="N28" s="45"/>
      <c r="O28" s="61">
        <f>SUM(O19:O26)</f>
        <v>61105176</v>
      </c>
      <c r="Q28" s="68" t="e">
        <f>+#REF!+Q27</f>
        <v>#REF!</v>
      </c>
      <c r="T28" s="40"/>
      <c r="U28" s="40"/>
    </row>
    <row r="29" spans="1:25" ht="12" customHeight="1" x14ac:dyDescent="0.25">
      <c r="A29" s="21" t="s">
        <v>43</v>
      </c>
      <c r="B29" s="30">
        <f>SUM(B19:B28)</f>
        <v>135010338.2466</v>
      </c>
      <c r="C29" s="58"/>
      <c r="D29" s="58">
        <f>SUM(D19:D28)</f>
        <v>112563029</v>
      </c>
      <c r="E29" s="45"/>
      <c r="F29" s="14"/>
      <c r="J29" s="53" t="s">
        <v>44</v>
      </c>
      <c r="K29" s="67">
        <f>+K16+K28</f>
        <v>128075253</v>
      </c>
      <c r="L29" s="45"/>
      <c r="M29" s="69">
        <f>+M28+M16</f>
        <v>112675553</v>
      </c>
      <c r="N29" s="45"/>
      <c r="O29" s="69">
        <f>+O16+O28</f>
        <v>127247534</v>
      </c>
      <c r="Q29" s="42"/>
      <c r="T29" s="40"/>
      <c r="U29" s="40"/>
    </row>
    <row r="30" spans="1:25" ht="12" customHeight="1" x14ac:dyDescent="0.25">
      <c r="B30" s="30"/>
      <c r="C30" s="14"/>
      <c r="D30" s="14"/>
      <c r="E30" s="45"/>
      <c r="F30" s="14"/>
      <c r="I30" s="4"/>
      <c r="J30" s="53"/>
      <c r="K30" s="30"/>
      <c r="L30" s="45"/>
      <c r="M30" s="70"/>
      <c r="N30" s="45"/>
      <c r="O30" s="71"/>
      <c r="Q30" s="72"/>
      <c r="T30" s="40"/>
      <c r="U30" s="40"/>
    </row>
    <row r="31" spans="1:25" ht="12" customHeight="1" x14ac:dyDescent="0.25">
      <c r="B31" s="30"/>
      <c r="C31" s="14"/>
      <c r="D31" s="14"/>
      <c r="E31" s="45"/>
      <c r="F31" s="14"/>
      <c r="J31" s="53" t="s">
        <v>45</v>
      </c>
      <c r="K31" s="30">
        <f>+'[1]BG '!I73</f>
        <v>118703105.2466</v>
      </c>
      <c r="L31" s="45">
        <f>K31-M31</f>
        <v>19199498.796599999</v>
      </c>
      <c r="M31" s="30">
        <f>+'[1]BG '!O73</f>
        <v>99503606.450000003</v>
      </c>
      <c r="N31" s="45">
        <f>M31-O31</f>
        <v>19178254.450000003</v>
      </c>
      <c r="O31" s="32">
        <f>'[2]Planilla Final 2017'!R51</f>
        <v>80325352</v>
      </c>
      <c r="P31" s="50">
        <f>O31-Q31</f>
        <v>5629205</v>
      </c>
      <c r="Q31" s="37">
        <f>77632975-2936828</f>
        <v>74696147</v>
      </c>
      <c r="S31" s="42"/>
      <c r="T31" s="40"/>
      <c r="U31" s="40"/>
    </row>
    <row r="32" spans="1:25" ht="12" customHeight="1" x14ac:dyDescent="0.25">
      <c r="B32" s="30"/>
      <c r="C32" s="14"/>
      <c r="D32" s="14"/>
      <c r="E32" s="45"/>
      <c r="F32" s="14"/>
      <c r="I32" s="73"/>
      <c r="K32" s="14"/>
      <c r="L32" s="14"/>
      <c r="M32" s="14"/>
      <c r="N32" s="45"/>
      <c r="O32" s="14"/>
      <c r="T32" s="40"/>
      <c r="U32" s="40"/>
    </row>
    <row r="33" spans="1:21" ht="12" customHeight="1" thickBot="1" x14ac:dyDescent="0.3">
      <c r="A33" s="1" t="s">
        <v>46</v>
      </c>
      <c r="B33" s="74">
        <f>+B29+B16</f>
        <v>246778358.2466</v>
      </c>
      <c r="C33" s="75"/>
      <c r="D33" s="74">
        <f>+D29+D16</f>
        <v>212179159</v>
      </c>
      <c r="E33" s="16"/>
      <c r="F33" s="74" t="e">
        <f>+F27+#REF!</f>
        <v>#REF!</v>
      </c>
      <c r="G33" s="3"/>
      <c r="H33" s="76" t="e">
        <f>+H27+#REF!</f>
        <v>#REF!</v>
      </c>
      <c r="I33" s="4"/>
      <c r="J33" s="77" t="s">
        <v>47</v>
      </c>
      <c r="K33" s="74">
        <f>+K31+K29</f>
        <v>246778358.2466</v>
      </c>
      <c r="L33" s="75"/>
      <c r="M33" s="74">
        <f>+M31+M29</f>
        <v>212179159.44999999</v>
      </c>
      <c r="N33" s="16"/>
      <c r="O33" s="74">
        <f>+O29+O31</f>
        <v>207572886</v>
      </c>
      <c r="P33" s="3"/>
      <c r="Q33" s="76" t="e">
        <f>+Q28+Q31</f>
        <v>#REF!</v>
      </c>
      <c r="T33" s="40"/>
      <c r="U33" s="40"/>
    </row>
    <row r="34" spans="1:21" ht="5.0999999999999996" customHeight="1" thickTop="1" x14ac:dyDescent="0.25">
      <c r="B34" s="78"/>
      <c r="C34" s="78"/>
      <c r="D34" s="78"/>
      <c r="E34" s="79"/>
      <c r="F34" s="80"/>
      <c r="I34" s="4"/>
      <c r="J34" s="72"/>
      <c r="K34" s="78"/>
      <c r="L34" s="81"/>
      <c r="M34" s="81"/>
      <c r="N34" s="79"/>
      <c r="O34" s="78"/>
      <c r="T34" s="72"/>
    </row>
    <row r="35" spans="1:21" ht="9" customHeight="1" x14ac:dyDescent="0.25">
      <c r="B35" s="2"/>
      <c r="F35" s="82"/>
      <c r="I35" s="4"/>
      <c r="J35" s="72"/>
      <c r="K35" s="39">
        <f>+K33-B33</f>
        <v>0</v>
      </c>
      <c r="L35" s="39">
        <f>+L33-C33</f>
        <v>0</v>
      </c>
      <c r="M35" s="39">
        <f>+M33-D33</f>
        <v>0.44999998807907104</v>
      </c>
      <c r="T35" s="72"/>
    </row>
    <row r="36" spans="1:21" ht="12" customHeight="1" x14ac:dyDescent="0.25">
      <c r="B36" s="2"/>
      <c r="F36" s="72"/>
      <c r="I36" s="4"/>
      <c r="J36" s="72"/>
      <c r="K36" s="2"/>
      <c r="L36" s="72"/>
      <c r="M36" s="72"/>
      <c r="O36" s="72"/>
      <c r="Q36" s="72"/>
      <c r="T36" s="72"/>
    </row>
    <row r="37" spans="1:21" ht="12" customHeight="1" x14ac:dyDescent="0.25">
      <c r="A37" s="83" t="s">
        <v>48</v>
      </c>
      <c r="B37" s="84"/>
      <c r="D37" s="85"/>
      <c r="E37" s="3"/>
      <c r="F37" s="72"/>
      <c r="G37" s="3"/>
      <c r="I37" s="4"/>
      <c r="J37" s="86" t="s">
        <v>49</v>
      </c>
      <c r="K37" s="84"/>
      <c r="L37" s="72"/>
      <c r="M37" s="72"/>
      <c r="N37" s="3"/>
      <c r="P37" s="3"/>
      <c r="T37" s="72"/>
    </row>
    <row r="38" spans="1:21" ht="12" customHeight="1" x14ac:dyDescent="0.25">
      <c r="A38" s="87" t="s">
        <v>50</v>
      </c>
      <c r="B38" s="30">
        <v>0</v>
      </c>
      <c r="C38" s="88"/>
      <c r="D38" s="88"/>
      <c r="E38" s="3"/>
      <c r="F38" s="72"/>
      <c r="G38" s="3"/>
      <c r="H38" s="72"/>
      <c r="I38" s="4"/>
      <c r="J38" s="87" t="s">
        <v>51</v>
      </c>
      <c r="K38" s="30">
        <f>+K45</f>
        <v>38384505</v>
      </c>
      <c r="L38" s="72"/>
      <c r="M38" s="72"/>
      <c r="N38" s="3"/>
      <c r="P38" s="3"/>
      <c r="T38" s="72"/>
    </row>
    <row r="39" spans="1:21" ht="12" customHeight="1" x14ac:dyDescent="0.25">
      <c r="A39" s="89" t="s">
        <v>52</v>
      </c>
      <c r="B39" s="66">
        <v>-3610086</v>
      </c>
      <c r="C39" s="90"/>
      <c r="D39" s="90"/>
      <c r="E39" s="3"/>
      <c r="F39" s="72"/>
      <c r="G39" s="3"/>
      <c r="J39" s="91" t="s">
        <v>53</v>
      </c>
      <c r="K39" s="30">
        <f>+[1]PAT!J193</f>
        <v>-21629181</v>
      </c>
      <c r="L39" s="92"/>
      <c r="M39" s="92"/>
      <c r="N39" s="3"/>
      <c r="P39" s="3"/>
      <c r="T39" s="72"/>
    </row>
    <row r="40" spans="1:21" ht="12" customHeight="1" x14ac:dyDescent="0.25">
      <c r="A40" s="93" t="s">
        <v>54</v>
      </c>
      <c r="B40" s="66">
        <f>+B38+B39</f>
        <v>-3610086</v>
      </c>
      <c r="C40" s="90"/>
      <c r="D40" s="90"/>
      <c r="E40" s="3"/>
      <c r="F40" s="72"/>
      <c r="G40" s="3"/>
      <c r="I40" s="4"/>
      <c r="J40" s="87" t="s">
        <v>55</v>
      </c>
      <c r="K40" s="103">
        <f>+[1]PAT!J191-139500</f>
        <v>2444175</v>
      </c>
      <c r="L40" s="92"/>
      <c r="M40" s="92"/>
      <c r="N40" s="3"/>
      <c r="P40" s="3"/>
      <c r="T40" s="72"/>
    </row>
    <row r="41" spans="1:21" ht="12" customHeight="1" x14ac:dyDescent="0.25">
      <c r="B41" s="94">
        <f>+B40-C25</f>
        <v>0</v>
      </c>
      <c r="F41" s="72"/>
      <c r="I41" s="4"/>
      <c r="J41" s="87" t="s">
        <v>85</v>
      </c>
      <c r="K41" s="30">
        <v>0</v>
      </c>
      <c r="L41" s="72"/>
      <c r="M41" s="72"/>
      <c r="O41" s="72"/>
      <c r="Q41" s="72"/>
      <c r="T41" s="72"/>
    </row>
    <row r="42" spans="1:21" ht="12" customHeight="1" x14ac:dyDescent="0.25">
      <c r="A42" s="83" t="s">
        <v>56</v>
      </c>
      <c r="B42" s="84"/>
      <c r="E42" s="3"/>
      <c r="F42" s="72"/>
      <c r="G42" s="3"/>
      <c r="I42" s="4"/>
      <c r="J42" s="95" t="s">
        <v>54</v>
      </c>
      <c r="K42" s="67">
        <f>SUM(K38:K41)</f>
        <v>19199499</v>
      </c>
      <c r="L42" s="72"/>
      <c r="M42" s="72"/>
      <c r="N42" s="3"/>
      <c r="P42" s="3"/>
      <c r="T42" s="72"/>
    </row>
    <row r="43" spans="1:21" ht="12" customHeight="1" x14ac:dyDescent="0.25">
      <c r="A43" s="87" t="s">
        <v>57</v>
      </c>
      <c r="B43" s="30">
        <f>+[1]EFE!I12</f>
        <v>17561314</v>
      </c>
      <c r="C43" s="88"/>
      <c r="D43" s="88"/>
      <c r="E43" s="3"/>
      <c r="F43" s="72"/>
      <c r="G43" s="3"/>
      <c r="H43" s="72"/>
      <c r="I43" s="4"/>
      <c r="J43" s="92"/>
      <c r="K43" s="96">
        <f>+K42-L31</f>
        <v>0.20340000092983246</v>
      </c>
      <c r="L43" s="72"/>
      <c r="M43" s="72"/>
      <c r="N43" s="3"/>
      <c r="P43" s="3"/>
      <c r="T43" s="72"/>
    </row>
    <row r="44" spans="1:21" ht="12" customHeight="1" x14ac:dyDescent="0.25">
      <c r="A44" s="87" t="s">
        <v>86</v>
      </c>
      <c r="B44" s="30">
        <f>+[1]EFE!I15</f>
        <v>1005412</v>
      </c>
      <c r="C44" s="88"/>
      <c r="D44" s="88"/>
      <c r="E44" s="3"/>
      <c r="F44" s="72"/>
      <c r="G44" s="3"/>
      <c r="H44" s="72"/>
      <c r="I44" s="4"/>
      <c r="J44" s="92"/>
      <c r="K44" s="96"/>
      <c r="L44" s="72"/>
      <c r="M44" s="72"/>
      <c r="N44" s="3"/>
      <c r="P44" s="3"/>
      <c r="T44" s="72"/>
    </row>
    <row r="45" spans="1:21" ht="12" customHeight="1" x14ac:dyDescent="0.25">
      <c r="A45" s="89" t="s">
        <v>52</v>
      </c>
      <c r="B45" s="66">
        <f>-B43+C21</f>
        <v>-34164512.061452001</v>
      </c>
      <c r="C45" s="90"/>
      <c r="D45" s="90"/>
      <c r="E45" s="3"/>
      <c r="F45" s="72"/>
      <c r="G45" s="3"/>
      <c r="J45" s="97" t="s">
        <v>51</v>
      </c>
      <c r="K45" s="52">
        <f>+[1]ER!H36</f>
        <v>38384505</v>
      </c>
      <c r="L45" s="92"/>
      <c r="M45" s="92"/>
      <c r="N45" s="3"/>
      <c r="P45" s="3"/>
      <c r="T45" s="72"/>
    </row>
    <row r="46" spans="1:21" ht="12" customHeight="1" x14ac:dyDescent="0.25">
      <c r="A46" s="93" t="s">
        <v>54</v>
      </c>
      <c r="B46" s="66">
        <f>+B43+B45</f>
        <v>-16603198.061452001</v>
      </c>
      <c r="C46" s="90"/>
      <c r="D46" s="90"/>
      <c r="E46" s="3"/>
      <c r="F46" s="72"/>
      <c r="G46" s="3"/>
      <c r="I46" s="4"/>
      <c r="J46" s="98" t="s">
        <v>58</v>
      </c>
      <c r="K46" s="66">
        <f>-[1]ER!H35</f>
        <v>11609963</v>
      </c>
      <c r="L46" s="92"/>
      <c r="M46" s="92"/>
      <c r="N46" s="3"/>
      <c r="P46" s="3"/>
      <c r="T46" s="72"/>
    </row>
    <row r="47" spans="1:21" ht="12" customHeight="1" x14ac:dyDescent="0.25">
      <c r="B47" s="90">
        <f>+B46-C21</f>
        <v>0</v>
      </c>
      <c r="C47" s="90"/>
      <c r="D47" s="90"/>
      <c r="F47" s="82"/>
      <c r="J47" s="99" t="s">
        <v>59</v>
      </c>
      <c r="K47" s="104">
        <f>+K45+K46</f>
        <v>49994468</v>
      </c>
      <c r="L47" s="92"/>
      <c r="M47" s="92"/>
      <c r="T47" s="72"/>
    </row>
    <row r="48" spans="1:21" ht="12" customHeight="1" x14ac:dyDescent="0.25">
      <c r="A48" s="83" t="s">
        <v>60</v>
      </c>
      <c r="B48" s="84"/>
      <c r="E48" s="3"/>
      <c r="F48" s="72"/>
      <c r="G48" s="3"/>
      <c r="I48" s="4"/>
      <c r="K48" s="100"/>
      <c r="L48" s="72"/>
      <c r="M48" s="72"/>
      <c r="N48" s="3"/>
      <c r="P48" s="3"/>
      <c r="T48" s="72"/>
    </row>
    <row r="49" spans="1:20" ht="12" customHeight="1" x14ac:dyDescent="0.25">
      <c r="A49" s="87" t="s">
        <v>57</v>
      </c>
      <c r="B49" s="30">
        <f>+[1]EFE!I14</f>
        <v>2412033</v>
      </c>
      <c r="C49" s="88"/>
      <c r="D49" s="88"/>
      <c r="E49" s="3"/>
      <c r="F49" s="72"/>
      <c r="G49" s="3"/>
      <c r="H49" s="72"/>
      <c r="I49" s="4"/>
      <c r="K49" s="100"/>
      <c r="L49" s="72"/>
      <c r="M49" s="72"/>
      <c r="N49" s="3"/>
      <c r="P49" s="3"/>
      <c r="T49" s="72"/>
    </row>
    <row r="50" spans="1:20" ht="12" customHeight="1" x14ac:dyDescent="0.25">
      <c r="A50" s="89" t="s">
        <v>61</v>
      </c>
      <c r="B50" s="30">
        <v>0</v>
      </c>
      <c r="C50" s="90"/>
      <c r="D50" s="90"/>
      <c r="E50" s="3"/>
      <c r="F50" s="72"/>
      <c r="G50" s="3"/>
      <c r="J50" s="92"/>
      <c r="K50" s="2"/>
      <c r="L50" s="92"/>
      <c r="M50" s="92"/>
      <c r="N50" s="3"/>
      <c r="P50" s="3"/>
      <c r="T50" s="72"/>
    </row>
    <row r="51" spans="1:20" ht="12" customHeight="1" x14ac:dyDescent="0.25">
      <c r="A51" s="89" t="s">
        <v>62</v>
      </c>
      <c r="B51" s="66">
        <f>+C27-B49-B50</f>
        <v>-2214500</v>
      </c>
      <c r="C51" s="90"/>
      <c r="D51" s="90"/>
      <c r="E51" s="3"/>
      <c r="F51" s="72"/>
      <c r="G51" s="3"/>
      <c r="J51" s="92"/>
      <c r="K51" s="2"/>
      <c r="L51" s="92"/>
      <c r="M51" s="92"/>
      <c r="N51" s="3"/>
      <c r="P51" s="3"/>
      <c r="T51" s="72"/>
    </row>
    <row r="52" spans="1:20" ht="12" customHeight="1" x14ac:dyDescent="0.25">
      <c r="A52" s="93" t="s">
        <v>54</v>
      </c>
      <c r="B52" s="66">
        <f>SUM(B49:B51)</f>
        <v>197533</v>
      </c>
      <c r="C52" s="90"/>
      <c r="D52" s="90"/>
      <c r="E52" s="3"/>
      <c r="F52" s="72"/>
      <c r="G52" s="3"/>
      <c r="I52" s="4"/>
      <c r="J52" s="92"/>
      <c r="K52" s="2"/>
      <c r="L52" s="92"/>
      <c r="M52" s="92"/>
      <c r="N52" s="3"/>
      <c r="P52" s="3"/>
      <c r="T52" s="72"/>
    </row>
    <row r="53" spans="1:20" ht="12" customHeight="1" x14ac:dyDescent="0.25">
      <c r="B53" s="90">
        <f>+C27-B52</f>
        <v>0</v>
      </c>
      <c r="C53" s="90"/>
      <c r="D53" s="90"/>
      <c r="E53" s="3"/>
      <c r="F53" s="72"/>
      <c r="G53" s="3"/>
      <c r="I53" s="4"/>
      <c r="J53" s="92"/>
      <c r="K53" s="2"/>
      <c r="L53" s="92"/>
      <c r="M53" s="92"/>
      <c r="N53" s="3"/>
      <c r="P53" s="3"/>
      <c r="T53" s="72"/>
    </row>
    <row r="54" spans="1:20" ht="12" customHeight="1" x14ac:dyDescent="0.25">
      <c r="A54" s="83" t="s">
        <v>63</v>
      </c>
      <c r="B54" s="84"/>
      <c r="C54" s="90"/>
      <c r="D54" s="90"/>
      <c r="E54" s="3"/>
      <c r="F54" s="72"/>
      <c r="G54" s="3"/>
      <c r="I54" s="4"/>
      <c r="J54" s="92"/>
      <c r="K54" s="2"/>
      <c r="L54" s="92"/>
      <c r="M54" s="92"/>
      <c r="N54" s="3"/>
      <c r="P54" s="3"/>
      <c r="T54" s="72"/>
    </row>
    <row r="55" spans="1:20" ht="12" customHeight="1" x14ac:dyDescent="0.25">
      <c r="A55" s="87" t="s">
        <v>64</v>
      </c>
      <c r="B55" s="30">
        <f>+[1]EFE!I19</f>
        <v>1240038</v>
      </c>
      <c r="C55" s="90"/>
      <c r="D55" s="90"/>
      <c r="I55" s="4"/>
      <c r="J55" s="92"/>
      <c r="K55" s="2"/>
      <c r="L55" s="92"/>
      <c r="M55" s="92"/>
      <c r="T55" s="72"/>
    </row>
    <row r="56" spans="1:20" ht="12" customHeight="1" x14ac:dyDescent="0.25">
      <c r="A56" s="89" t="s">
        <v>65</v>
      </c>
      <c r="B56" s="66">
        <f>-B55+L24</f>
        <v>-1668962</v>
      </c>
      <c r="C56" s="90"/>
      <c r="D56" s="90"/>
      <c r="E56" s="3"/>
      <c r="F56" s="72"/>
      <c r="G56" s="3"/>
      <c r="I56" s="4"/>
      <c r="J56" s="92"/>
      <c r="K56" s="2"/>
      <c r="L56" s="92"/>
      <c r="M56" s="92"/>
      <c r="N56" s="3"/>
      <c r="P56" s="3"/>
      <c r="T56" s="72"/>
    </row>
    <row r="57" spans="1:20" ht="12" customHeight="1" x14ac:dyDescent="0.25">
      <c r="A57" s="93" t="s">
        <v>54</v>
      </c>
      <c r="B57" s="66">
        <f>+B55+B56</f>
        <v>-428924</v>
      </c>
      <c r="C57" s="90"/>
      <c r="D57" s="90"/>
      <c r="E57" s="3"/>
      <c r="F57" s="72"/>
      <c r="G57" s="3"/>
      <c r="I57" s="4"/>
      <c r="J57" s="92"/>
      <c r="K57" s="2"/>
      <c r="L57" s="92"/>
      <c r="M57" s="92"/>
      <c r="N57" s="3"/>
      <c r="P57" s="3"/>
      <c r="T57" s="72"/>
    </row>
    <row r="58" spans="1:20" ht="12" customHeight="1" x14ac:dyDescent="0.25">
      <c r="B58" s="90">
        <f>+B57-L24</f>
        <v>0</v>
      </c>
      <c r="C58" s="90"/>
      <c r="D58" s="90"/>
      <c r="E58" s="3"/>
      <c r="F58" s="72"/>
      <c r="G58" s="3"/>
      <c r="I58" s="4"/>
      <c r="J58" s="92"/>
      <c r="K58" s="2"/>
      <c r="L58" s="92"/>
      <c r="M58" s="92"/>
      <c r="N58" s="3"/>
      <c r="P58" s="3"/>
      <c r="T58" s="72"/>
    </row>
    <row r="59" spans="1:20" ht="12" customHeight="1" x14ac:dyDescent="0.25">
      <c r="A59" s="83" t="s">
        <v>66</v>
      </c>
      <c r="B59" s="84"/>
      <c r="C59" s="90"/>
      <c r="D59" s="90"/>
      <c r="E59" s="3"/>
      <c r="F59" s="72"/>
      <c r="G59" s="3"/>
      <c r="I59" s="4"/>
      <c r="J59" s="92"/>
      <c r="K59" s="2"/>
      <c r="L59" s="92"/>
      <c r="M59" s="92"/>
      <c r="N59" s="3"/>
      <c r="P59" s="3"/>
      <c r="T59" s="72"/>
    </row>
    <row r="60" spans="1:20" ht="12" customHeight="1" x14ac:dyDescent="0.25">
      <c r="A60" s="87" t="s">
        <v>67</v>
      </c>
      <c r="B60" s="30">
        <f>+[1]EFE!I16</f>
        <v>2433193</v>
      </c>
      <c r="C60" s="90"/>
      <c r="D60" s="90"/>
      <c r="E60" s="3"/>
      <c r="F60" s="72"/>
      <c r="G60" s="3"/>
      <c r="J60" s="92"/>
      <c r="K60" s="2"/>
      <c r="L60" s="92"/>
      <c r="M60" s="92"/>
      <c r="N60" s="3"/>
      <c r="P60" s="3"/>
      <c r="T60" s="72"/>
    </row>
    <row r="61" spans="1:20" ht="12" customHeight="1" x14ac:dyDescent="0.25">
      <c r="A61" s="89" t="s">
        <v>52</v>
      </c>
      <c r="B61" s="66">
        <f>-B60+C23</f>
        <v>761222</v>
      </c>
      <c r="C61" s="90"/>
      <c r="D61" s="90"/>
      <c r="E61" s="3"/>
      <c r="F61" s="72"/>
      <c r="G61" s="3"/>
      <c r="J61" s="92"/>
      <c r="K61" s="2"/>
      <c r="L61" s="92"/>
      <c r="M61" s="92"/>
      <c r="N61" s="3"/>
      <c r="P61" s="3"/>
      <c r="T61" s="72"/>
    </row>
    <row r="62" spans="1:20" ht="12" customHeight="1" x14ac:dyDescent="0.25">
      <c r="A62" s="93" t="s">
        <v>54</v>
      </c>
      <c r="B62" s="66">
        <f>+B60+B61</f>
        <v>3194415</v>
      </c>
      <c r="C62" s="90"/>
      <c r="D62" s="90"/>
      <c r="F62" s="92"/>
      <c r="J62" s="92"/>
      <c r="K62" s="2"/>
      <c r="L62" s="92"/>
      <c r="M62" s="92"/>
      <c r="T62" s="72"/>
    </row>
    <row r="63" spans="1:20" ht="12" customHeight="1" x14ac:dyDescent="0.25">
      <c r="B63" s="90">
        <f>+B62-C23</f>
        <v>0</v>
      </c>
      <c r="C63" s="90"/>
      <c r="D63" s="90"/>
      <c r="F63" s="92"/>
      <c r="J63" s="92"/>
      <c r="K63" s="2"/>
      <c r="L63" s="92"/>
      <c r="M63" s="92"/>
      <c r="T63" s="72"/>
    </row>
    <row r="64" spans="1:20" ht="12" customHeight="1" x14ac:dyDescent="0.25">
      <c r="A64" s="83" t="s">
        <v>68</v>
      </c>
      <c r="B64" s="84"/>
      <c r="C64" s="90"/>
      <c r="D64" s="90"/>
      <c r="J64" s="92"/>
      <c r="K64" s="2"/>
      <c r="L64" s="92"/>
      <c r="M64" s="92"/>
      <c r="T64" s="72"/>
    </row>
    <row r="65" spans="1:20" ht="12" customHeight="1" x14ac:dyDescent="0.25">
      <c r="A65" s="87" t="s">
        <v>69</v>
      </c>
      <c r="B65" s="30">
        <f>+[1]EFE!I13</f>
        <v>39210</v>
      </c>
      <c r="C65" s="90"/>
      <c r="D65" s="90"/>
      <c r="J65" s="92"/>
      <c r="K65" s="2"/>
      <c r="L65" s="92"/>
      <c r="M65" s="92"/>
      <c r="T65" s="72"/>
    </row>
    <row r="66" spans="1:20" ht="12" customHeight="1" x14ac:dyDescent="0.25">
      <c r="A66" s="89" t="s">
        <v>52</v>
      </c>
      <c r="B66" s="66">
        <f>-B65+C22</f>
        <v>0</v>
      </c>
      <c r="C66" s="90"/>
      <c r="D66" s="90"/>
      <c r="K66" s="2"/>
      <c r="T66" s="72"/>
    </row>
    <row r="67" spans="1:20" ht="12" customHeight="1" x14ac:dyDescent="0.25">
      <c r="A67" s="93" t="s">
        <v>70</v>
      </c>
      <c r="B67" s="66">
        <f>+B65+B66</f>
        <v>39210</v>
      </c>
      <c r="C67" s="90"/>
      <c r="D67" s="90"/>
      <c r="K67" s="2"/>
      <c r="T67" s="72"/>
    </row>
    <row r="68" spans="1:20" ht="12" customHeight="1" x14ac:dyDescent="0.25">
      <c r="B68" s="90">
        <f>+B67-C22</f>
        <v>0</v>
      </c>
      <c r="C68" s="90"/>
      <c r="D68" s="90"/>
      <c r="K68" s="2"/>
      <c r="T68" s="72"/>
    </row>
    <row r="69" spans="1:20" ht="12" customHeight="1" x14ac:dyDescent="0.25">
      <c r="A69" s="83" t="s">
        <v>71</v>
      </c>
      <c r="B69" s="52"/>
      <c r="C69" s="90"/>
      <c r="D69" s="90"/>
      <c r="K69" s="2"/>
      <c r="T69" s="72"/>
    </row>
    <row r="70" spans="1:20" ht="12" customHeight="1" x14ac:dyDescent="0.25">
      <c r="A70" s="89" t="s">
        <v>72</v>
      </c>
      <c r="B70" s="30">
        <f>-[1]ER!H35</f>
        <v>11609963</v>
      </c>
      <c r="K70" s="2"/>
      <c r="T70" s="72"/>
    </row>
    <row r="71" spans="1:20" ht="12" customHeight="1" x14ac:dyDescent="0.25">
      <c r="A71" s="89" t="s">
        <v>73</v>
      </c>
      <c r="B71" s="30">
        <f>+[1]EFE!I43</f>
        <v>-8327309</v>
      </c>
      <c r="K71" s="2"/>
      <c r="T71" s="72"/>
    </row>
    <row r="72" spans="1:20" ht="12" customHeight="1" x14ac:dyDescent="0.25">
      <c r="A72" s="89" t="s">
        <v>74</v>
      </c>
      <c r="B72" s="101">
        <f>-B70-B71+L10</f>
        <v>2643846</v>
      </c>
      <c r="K72" s="2"/>
      <c r="T72" s="72"/>
    </row>
    <row r="73" spans="1:20" ht="12" customHeight="1" x14ac:dyDescent="0.25">
      <c r="A73" s="93" t="s">
        <v>70</v>
      </c>
      <c r="B73" s="101">
        <f>SUM(B70:B72)</f>
        <v>5926500</v>
      </c>
      <c r="K73" s="2"/>
      <c r="T73" s="72"/>
    </row>
    <row r="74" spans="1:20" ht="12" customHeight="1" x14ac:dyDescent="0.25">
      <c r="B74" s="42">
        <f>+B73-L10</f>
        <v>0</v>
      </c>
      <c r="K74" s="2"/>
      <c r="T74" s="72"/>
    </row>
    <row r="75" spans="1:20" ht="12" customHeight="1" x14ac:dyDescent="0.25">
      <c r="A75" s="83" t="s">
        <v>75</v>
      </c>
      <c r="B75" s="52"/>
      <c r="K75" s="2"/>
      <c r="T75" s="72"/>
    </row>
    <row r="76" spans="1:20" ht="12" customHeight="1" x14ac:dyDescent="0.25">
      <c r="A76" s="89" t="s">
        <v>76</v>
      </c>
      <c r="B76" s="30">
        <f>-[1]ER!H34</f>
        <v>8253264</v>
      </c>
      <c r="K76" s="2"/>
      <c r="T76" s="72"/>
    </row>
    <row r="77" spans="1:20" ht="12" customHeight="1" x14ac:dyDescent="0.25">
      <c r="A77" s="89" t="s">
        <v>77</v>
      </c>
      <c r="B77" s="47">
        <f>+[1]EFE!I44</f>
        <v>-3976474</v>
      </c>
      <c r="K77" s="2"/>
      <c r="T77" s="72"/>
    </row>
    <row r="78" spans="1:20" ht="12" customHeight="1" x14ac:dyDescent="0.25">
      <c r="A78" s="89" t="s">
        <v>74</v>
      </c>
      <c r="B78" s="101">
        <f>-B76-B77+L14</f>
        <v>-83181</v>
      </c>
      <c r="K78" s="2"/>
      <c r="T78" s="72"/>
    </row>
    <row r="79" spans="1:20" ht="12" customHeight="1" x14ac:dyDescent="0.25">
      <c r="A79" s="93" t="s">
        <v>70</v>
      </c>
      <c r="B79" s="101">
        <f>SUM(B76:B78)</f>
        <v>4193609</v>
      </c>
      <c r="K79" s="2"/>
      <c r="T79" s="72"/>
    </row>
    <row r="80" spans="1:20" ht="12" customHeight="1" x14ac:dyDescent="0.25">
      <c r="B80" s="42">
        <f>+B79-L14</f>
        <v>0</v>
      </c>
      <c r="K80" s="2"/>
      <c r="T80" s="72"/>
    </row>
    <row r="81" spans="1:20" ht="12" customHeight="1" x14ac:dyDescent="0.25">
      <c r="A81" s="83" t="s">
        <v>78</v>
      </c>
      <c r="B81" s="84"/>
      <c r="K81" s="2"/>
      <c r="T81" s="72"/>
    </row>
    <row r="82" spans="1:20" ht="12" customHeight="1" x14ac:dyDescent="0.25">
      <c r="A82" s="87" t="s">
        <v>79</v>
      </c>
      <c r="B82" s="30">
        <f>+[1]EFE!I10</f>
        <v>697211</v>
      </c>
      <c r="K82" s="2"/>
      <c r="T82" s="72"/>
    </row>
    <row r="83" spans="1:20" ht="12" customHeight="1" x14ac:dyDescent="0.25">
      <c r="A83" s="89" t="s">
        <v>80</v>
      </c>
      <c r="B83" s="66">
        <f>-B82+C8</f>
        <v>-10976377</v>
      </c>
      <c r="K83" s="2"/>
      <c r="T83" s="72"/>
    </row>
    <row r="84" spans="1:20" ht="12" customHeight="1" x14ac:dyDescent="0.25">
      <c r="A84" s="93" t="s">
        <v>70</v>
      </c>
      <c r="B84" s="66">
        <f>+B82+B83</f>
        <v>-10279166</v>
      </c>
      <c r="K84" s="2"/>
      <c r="T84" s="72"/>
    </row>
    <row r="85" spans="1:20" ht="12" customHeight="1" x14ac:dyDescent="0.25">
      <c r="B85" s="90">
        <f>+B84-C8</f>
        <v>0</v>
      </c>
      <c r="K85" s="2"/>
      <c r="T85" s="72"/>
    </row>
    <row r="86" spans="1:20" ht="12" customHeight="1" x14ac:dyDescent="0.25">
      <c r="A86" s="83" t="s">
        <v>81</v>
      </c>
      <c r="B86" s="84"/>
      <c r="K86" s="2"/>
      <c r="T86" s="72"/>
    </row>
    <row r="87" spans="1:20" ht="12" customHeight="1" x14ac:dyDescent="0.25">
      <c r="A87" s="87" t="s">
        <v>82</v>
      </c>
      <c r="B87" s="30">
        <f>+[1]EFE!I22</f>
        <v>1571924</v>
      </c>
      <c r="K87" s="2"/>
      <c r="T87" s="72"/>
    </row>
    <row r="88" spans="1:20" ht="12" customHeight="1" x14ac:dyDescent="0.25">
      <c r="A88" s="89" t="s">
        <v>74</v>
      </c>
      <c r="B88" s="66">
        <f>-B87+C28</f>
        <v>-3143848.1851480007</v>
      </c>
    </row>
    <row r="89" spans="1:20" ht="12" customHeight="1" x14ac:dyDescent="0.25">
      <c r="A89" s="93" t="s">
        <v>70</v>
      </c>
      <c r="B89" s="66">
        <f>+B87+B88</f>
        <v>-1571924.1851480007</v>
      </c>
    </row>
    <row r="90" spans="1:20" ht="12" customHeight="1" x14ac:dyDescent="0.25">
      <c r="B90" s="100">
        <f>+B89-C28</f>
        <v>0</v>
      </c>
    </row>
    <row r="91" spans="1:20" ht="12" customHeight="1" x14ac:dyDescent="0.25">
      <c r="A91" s="83" t="s">
        <v>83</v>
      </c>
      <c r="B91" s="84"/>
    </row>
    <row r="92" spans="1:20" ht="12" customHeight="1" x14ac:dyDescent="0.25">
      <c r="A92" s="87" t="s">
        <v>87</v>
      </c>
      <c r="B92" s="30">
        <v>-1307540</v>
      </c>
    </row>
    <row r="93" spans="1:20" ht="12" customHeight="1" x14ac:dyDescent="0.25">
      <c r="A93" s="87" t="s">
        <v>84</v>
      </c>
      <c r="B93" s="30">
        <v>0</v>
      </c>
    </row>
    <row r="94" spans="1:20" ht="12" customHeight="1" x14ac:dyDescent="0.25">
      <c r="A94" s="89" t="s">
        <v>74</v>
      </c>
      <c r="B94" s="66">
        <v>-519230</v>
      </c>
    </row>
    <row r="95" spans="1:20" ht="12" customHeight="1" x14ac:dyDescent="0.25">
      <c r="A95" s="93" t="s">
        <v>70</v>
      </c>
      <c r="B95" s="66">
        <f>SUM(B92:B94)</f>
        <v>-1826770</v>
      </c>
    </row>
    <row r="96" spans="1:20" ht="12" customHeight="1" x14ac:dyDescent="0.25">
      <c r="B96" s="100">
        <f>+B95-L13-L26</f>
        <v>0</v>
      </c>
    </row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</sheetData>
  <pageMargins left="0.70866141732283472" right="0.70866141732283472" top="0.74803149606299213" bottom="0.74803149606299213" header="0.31496062992125984" footer="0.31496062992125984"/>
  <pageSetup scale="79" fitToHeight="0" orientation="landscape" r:id="rId1"/>
  <rowBreaks count="1" manualBreakCount="1">
    <brk id="3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cp:lastPrinted>2021-05-21T15:35:35Z</cp:lastPrinted>
  <dcterms:created xsi:type="dcterms:W3CDTF">2021-05-20T17:53:22Z</dcterms:created>
  <dcterms:modified xsi:type="dcterms:W3CDTF">2021-05-21T18:12:01Z</dcterms:modified>
</cp:coreProperties>
</file>