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2114C049-BD42-4DED-8D96-30B68C1A8414}" xr6:coauthVersionLast="46" xr6:coauthVersionMax="46" xr10:uidLastSave="{00000000-0000-0000-0000-000000000000}"/>
  <bookViews>
    <workbookView xWindow="-120" yWindow="-120" windowWidth="20730" windowHeight="11160" tabRatio="1000" firstSheet="12" activeTab="21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'EFE20'!$A$1:$J$79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23" l="1"/>
  <c r="C49" i="23" l="1"/>
  <c r="C50" i="23"/>
  <c r="J51" i="23"/>
  <c r="P78" i="21"/>
  <c r="P41" i="16"/>
  <c r="P15" i="16"/>
  <c r="P8" i="16"/>
  <c r="E310" i="17"/>
  <c r="D304" i="17"/>
  <c r="E312" i="17"/>
  <c r="K56" i="16" l="1"/>
  <c r="K33" i="16"/>
  <c r="K31" i="16"/>
  <c r="C56" i="19"/>
  <c r="C37" i="23"/>
  <c r="C39" i="23"/>
  <c r="C74" i="23"/>
  <c r="C20" i="23"/>
  <c r="C18" i="23"/>
  <c r="C104" i="19" s="1"/>
  <c r="C105" i="19" s="1"/>
  <c r="C70" i="23" l="1"/>
  <c r="C69" i="23"/>
  <c r="D75" i="23"/>
  <c r="D71" i="23"/>
  <c r="D62" i="23"/>
  <c r="C56" i="23"/>
  <c r="C55" i="23"/>
  <c r="C54" i="23"/>
  <c r="C28" i="23"/>
  <c r="C27" i="23"/>
  <c r="C26" i="23"/>
  <c r="Q39" i="19"/>
  <c r="D14" i="19"/>
  <c r="R26" i="19"/>
  <c r="R25" i="19"/>
  <c r="R24" i="19"/>
  <c r="R23" i="19"/>
  <c r="R22" i="19"/>
  <c r="R20" i="19"/>
  <c r="R19" i="19"/>
  <c r="R18" i="19"/>
  <c r="R6" i="19"/>
  <c r="R7" i="19"/>
  <c r="R12" i="19"/>
  <c r="R13" i="19"/>
  <c r="R14" i="19"/>
  <c r="R5" i="19"/>
  <c r="J17" i="23"/>
  <c r="E308" i="17"/>
  <c r="P9" i="16" s="1"/>
  <c r="E309" i="17"/>
  <c r="P80" i="21"/>
  <c r="B92" i="22" l="1"/>
  <c r="C91" i="22"/>
  <c r="N89" i="22"/>
  <c r="B89" i="22"/>
  <c r="O58" i="16"/>
  <c r="E255" i="17"/>
  <c r="C88" i="19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1" i="23"/>
  <c r="D40" i="23" s="1"/>
  <c r="D44" i="23" s="1"/>
  <c r="W6" i="23"/>
  <c r="X6" i="23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0" i="21"/>
  <c r="T78" i="21"/>
  <c r="T76" i="21"/>
  <c r="T74" i="21"/>
  <c r="T71" i="21"/>
  <c r="Q43" i="19" l="1"/>
  <c r="J19" i="23" s="1"/>
  <c r="D298" i="17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T69" i="21"/>
  <c r="N84" i="21"/>
  <c r="L84" i="21"/>
  <c r="J84" i="21"/>
  <c r="R53" i="16" s="1"/>
  <c r="H84" i="21"/>
  <c r="R51" i="16" s="1"/>
  <c r="F84" i="21"/>
  <c r="D84" i="21"/>
  <c r="B84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C87" i="15" l="1"/>
  <c r="Q62" i="22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70" i="23"/>
  <c r="H70" i="23"/>
  <c r="G70" i="23"/>
  <c r="I69" i="23"/>
  <c r="H69" i="23"/>
  <c r="G69" i="23"/>
  <c r="V65" i="23"/>
  <c r="Y65" i="23" s="1"/>
  <c r="H61" i="23"/>
  <c r="H62" i="23" s="1"/>
  <c r="I59" i="23"/>
  <c r="I62" i="23" s="1"/>
  <c r="G55" i="23"/>
  <c r="G54" i="23"/>
  <c r="V43" i="23"/>
  <c r="Y43" i="23" s="1"/>
  <c r="C43" i="23" s="1"/>
  <c r="V42" i="23"/>
  <c r="Y42" i="23" s="1"/>
  <c r="C42" i="23" s="1"/>
  <c r="V41" i="23"/>
  <c r="Y41" i="23" s="1"/>
  <c r="C41" i="23" s="1"/>
  <c r="H41" i="23"/>
  <c r="G41" i="23"/>
  <c r="H39" i="23"/>
  <c r="G39" i="23"/>
  <c r="H38" i="23"/>
  <c r="G38" i="23"/>
  <c r="H34" i="23"/>
  <c r="G34" i="23"/>
  <c r="I33" i="23"/>
  <c r="H33" i="23"/>
  <c r="G33" i="23"/>
  <c r="H32" i="23"/>
  <c r="G32" i="23"/>
  <c r="H31" i="23"/>
  <c r="G31" i="23"/>
  <c r="H30" i="23"/>
  <c r="G30" i="23"/>
  <c r="G28" i="23"/>
  <c r="G27" i="23"/>
  <c r="G26" i="23"/>
  <c r="G24" i="23"/>
  <c r="G23" i="23"/>
  <c r="V20" i="23"/>
  <c r="Y20" i="23" s="1"/>
  <c r="V19" i="23"/>
  <c r="Y19" i="23" s="1"/>
  <c r="C19" i="23" s="1"/>
  <c r="G19" i="23"/>
  <c r="V17" i="23"/>
  <c r="Y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1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8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M60" i="16" s="1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Q24" i="19" s="1"/>
  <c r="Q36" i="16"/>
  <c r="D35" i="16"/>
  <c r="N35" i="16" s="1"/>
  <c r="Q34" i="16"/>
  <c r="Q33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4" i="19" s="1"/>
  <c r="C95" i="19" s="1"/>
  <c r="C96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25" i="23" s="1"/>
  <c r="C9" i="19"/>
  <c r="C8" i="19"/>
  <c r="D8" i="19" s="1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D9" i="19" l="1"/>
  <c r="C46" i="23"/>
  <c r="I40" i="23"/>
  <c r="I44" i="23" s="1"/>
  <c r="H71" i="23"/>
  <c r="C54" i="19"/>
  <c r="C17" i="23"/>
  <c r="C24" i="23"/>
  <c r="C83" i="19"/>
  <c r="C84" i="19" s="1"/>
  <c r="C23" i="23" s="1"/>
  <c r="C78" i="19"/>
  <c r="C61" i="19"/>
  <c r="C48" i="19"/>
  <c r="C50" i="19" s="1"/>
  <c r="C66" i="19"/>
  <c r="C67" i="19" s="1"/>
  <c r="C72" i="19"/>
  <c r="C48" i="23" s="1"/>
  <c r="I71" i="23"/>
  <c r="G71" i="23"/>
  <c r="C65" i="23"/>
  <c r="G21" i="23"/>
  <c r="G40" i="23" s="1"/>
  <c r="G44" i="23" s="1"/>
  <c r="Q6" i="19"/>
  <c r="Q10" i="19"/>
  <c r="R10" i="19" s="1"/>
  <c r="Q25" i="19"/>
  <c r="Q7" i="19"/>
  <c r="Q11" i="19"/>
  <c r="R11" i="19" s="1"/>
  <c r="C34" i="23" s="1"/>
  <c r="Q13" i="19"/>
  <c r="Q8" i="19"/>
  <c r="R8" i="19" s="1"/>
  <c r="C31" i="23" s="1"/>
  <c r="Q12" i="19"/>
  <c r="Q18" i="19"/>
  <c r="Q22" i="19"/>
  <c r="Q26" i="19"/>
  <c r="Q20" i="19"/>
  <c r="Q5" i="19"/>
  <c r="Q9" i="19"/>
  <c r="R9" i="19" s="1"/>
  <c r="Q19" i="19"/>
  <c r="Q23" i="19"/>
  <c r="O57" i="16"/>
  <c r="O63" i="22"/>
  <c r="O92" i="22" s="1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G62" i="23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I73" i="23" l="1"/>
  <c r="I75" i="23" s="1"/>
  <c r="H74" i="23" s="1"/>
  <c r="H73" i="23"/>
  <c r="H75" i="23" s="1"/>
  <c r="G74" i="23" s="1"/>
  <c r="C51" i="23"/>
  <c r="C73" i="19"/>
  <c r="C33" i="23" s="1"/>
  <c r="C85" i="19"/>
  <c r="C86" i="19" s="1"/>
  <c r="Q18" i="22"/>
  <c r="C16" i="23"/>
  <c r="C77" i="19"/>
  <c r="C79" i="19" s="1"/>
  <c r="C68" i="19"/>
  <c r="C69" i="19" s="1"/>
  <c r="C58" i="23"/>
  <c r="C51" i="19"/>
  <c r="C52" i="19" s="1"/>
  <c r="C60" i="23"/>
  <c r="C43" i="19"/>
  <c r="C71" i="23"/>
  <c r="C98" i="19"/>
  <c r="G73" i="23"/>
  <c r="D78" i="16"/>
  <c r="D60" i="16"/>
  <c r="Q14" i="19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15" i="19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74" i="19" l="1"/>
  <c r="C75" i="19" s="1"/>
  <c r="C38" i="23"/>
  <c r="C80" i="19"/>
  <c r="C81" i="19" s="1"/>
  <c r="Q27" i="19"/>
  <c r="Q28" i="19" s="1"/>
  <c r="R21" i="19"/>
  <c r="G75" i="23"/>
  <c r="C38" i="19"/>
  <c r="C100" i="19"/>
  <c r="C36" i="23" s="1"/>
  <c r="C101" i="19"/>
  <c r="C102" i="19" s="1"/>
  <c r="C63" i="19"/>
  <c r="C64" i="19" s="1"/>
  <c r="C61" i="23"/>
  <c r="C25" i="19"/>
  <c r="D25" i="19" s="1"/>
  <c r="C30" i="23" s="1"/>
  <c r="D5" i="19"/>
  <c r="C15" i="19"/>
  <c r="C24" i="19"/>
  <c r="D24" i="19" s="1"/>
  <c r="C39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N92" i="22" s="1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40" i="19" l="1"/>
  <c r="C41" i="19" s="1"/>
  <c r="C57" i="23"/>
  <c r="C32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D32" i="19" l="1"/>
  <c r="C45" i="19"/>
  <c r="C46" i="19" s="1"/>
  <c r="C59" i="23"/>
  <c r="C62" i="23" s="1"/>
  <c r="C73" i="23" s="1"/>
  <c r="B65" i="22"/>
  <c r="N56" i="16"/>
  <c r="N59" i="16" s="1"/>
  <c r="N61" i="16" s="1"/>
  <c r="B94" i="22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Q82" i="16" l="1"/>
  <c r="P82" i="21"/>
  <c r="P84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2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4" i="21"/>
  <c r="T82" i="21"/>
  <c r="Q47" i="19" s="1"/>
  <c r="Q38" i="19" s="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T84" i="21" l="1"/>
  <c r="T85" i="21" s="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O60" i="16" l="1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s="1"/>
  <c r="S93" i="22" s="1"/>
  <c r="Q94" i="22" l="1"/>
  <c r="Q49" i="19"/>
  <c r="J21" i="23"/>
  <c r="V18" i="23"/>
  <c r="Y18" i="23" s="1"/>
  <c r="Q45" i="19" l="1"/>
  <c r="Q46" i="19" s="1"/>
  <c r="C6" i="23"/>
  <c r="C21" i="23" s="1"/>
  <c r="C40" i="23" s="1"/>
  <c r="C44" i="23" s="1"/>
  <c r="Y21" i="23"/>
  <c r="V21" i="23"/>
  <c r="C35" i="23"/>
  <c r="C106" i="19"/>
  <c r="C107" i="19" s="1"/>
  <c r="C57" i="19"/>
  <c r="C58" i="19" s="1"/>
  <c r="C59" i="19" s="1"/>
  <c r="C75" i="23" l="1"/>
  <c r="C77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<sst xmlns="http://schemas.openxmlformats.org/spreadsheetml/2006/main" count="2667" uniqueCount="902">
  <si>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</si>
  <si>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</si>
  <si>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</si>
  <si>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</si>
  <si>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</si>
  <si>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</si>
  <si>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</si>
  <si>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</si>
  <si>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</si>
  <si>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</si>
  <si>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</si>
  <si>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</si>
  <si>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</si>
  <si>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</si>
  <si>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</si>
  <si>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</si>
  <si>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</si>
  <si>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</si>
  <si>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</si>
  <si>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</si>
  <si>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</si>
  <si>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</si>
  <si>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</si>
  <si>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</si>
  <si>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</si>
  <si>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</si>
  <si>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</si>
  <si>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</si>
  <si>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</si>
  <si>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</si>
  <si>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</si>
  <si>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</si>
  <si>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</si>
  <si>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</si>
  <si>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</si>
  <si>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</si>
  <si>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</si>
  <si>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</si>
  <si>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</si>
  <si>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</si>
  <si>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</si>
  <si>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</si>
  <si>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</si>
  <si>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</si>
  <si>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</si>
  <si>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</si>
  <si>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</si>
  <si>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</si>
  <si>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</si>
  <si>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</si>
  <si>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</si>
  <si>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</si>
  <si>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</si>
  <si>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</si>
  <si>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</si>
  <si>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</si>
  <si>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</si>
  <si>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</si>
  <si>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</si>
  <si>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</si>
  <si>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</si>
  <si>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</si>
  <si>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</si>
  <si>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</si>
  <si>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</si>
  <si>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</si>
  <si>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</si>
  <si>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</si>
  <si>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</si>
  <si>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</si>
  <si>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</si>
  <si>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</si>
  <si>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</si>
  <si>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</si>
  <si>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</si>
  <si>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</si>
  <si>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</si>
  <si>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</si>
  <si>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</si>
  <si>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</si>
  <si>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</si>
  <si>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</si>
  <si>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</si>
  <si>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</si>
  <si>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</si>
  <si>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</si>
  <si>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</si>
  <si>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</si>
  <si>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</si>
  <si>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</si>
  <si>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</si>
  <si>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</si>
  <si>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</si>
  <si>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</si>
  <si>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</si>
  <si>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</si>
  <si>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</si>
  <si>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</si>
  <si>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</si>
  <si>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</si>
  <si>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</si>
  <si>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</si>
  <si>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</si>
  <si>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</si>
  <si>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</si>
  <si>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</si>
  <si>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</si>
  <si>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</si>
  <si>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</si>
  <si>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</si>
  <si>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</si>
  <si>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</si>
  <si>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</si>
  <si>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</si>
  <si>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</si>
  <si>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</si>
  <si>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</si>
  <si>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</si>
  <si>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</si>
  <si>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</si>
  <si>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</si>
  <si>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</si>
  <si>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</si>
  <si>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</si>
  <si>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</si>
  <si>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</si>
  <si>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</si>
  <si>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</si>
  <si>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</si>
  <si>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</si>
  <si>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</si>
  <si>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</si>
  <si>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</si>
  <si>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</si>
  <si>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</si>
  <si>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</si>
  <si>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</si>
  <si>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</si>
  <si>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</si>
  <si>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</si>
  <si>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</si>
  <si>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</si>
  <si>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</si>
  <si>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</si>
  <si>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</si>
  <si>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</si>
  <si>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</si>
  <si>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</si>
  <si>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</si>
  <si>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</si>
  <si>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</si>
  <si>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</si>
  <si>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</si>
  <si>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</si>
  <si>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</si>
  <si>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</si>
  <si>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</si>
  <si>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</si>
  <si>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</si>
  <si>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</si>
  <si>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</si>
  <si>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</si>
  <si>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</si>
  <si>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</si>
  <si>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</si>
  <si>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</si>
  <si>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</si>
  <si>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</si>
  <si>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</si>
  <si>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</si>
  <si>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</si>
  <si>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</si>
  <si>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</si>
  <si>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</si>
  <si>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</si>
  <si>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</si>
  <si>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</si>
  <si>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</si>
  <si>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</si>
  <si>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</si>
  <si>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</si>
  <si>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</si>
  <si>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</si>
  <si>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</si>
  <si>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</si>
  <si>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</si>
  <si>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</si>
  <si>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</si>
  <si>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</si>
  <si>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</si>
  <si>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</si>
  <si>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</si>
  <si>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</si>
  <si>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</si>
  <si>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</si>
  <si>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</si>
  <si>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</si>
  <si>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</si>
  <si>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</si>
  <si>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</si>
  <si>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</si>
  <si>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</si>
  <si>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</si>
  <si>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</si>
  <si>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</si>
  <si>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</si>
  <si>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</si>
  <si>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</si>
  <si>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</si>
  <si>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</si>
  <si>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</si>
  <si>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</si>
  <si>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</si>
  <si>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</si>
  <si>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</si>
  <si>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</si>
  <si>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</si>
  <si>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</si>
  <si>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</si>
  <si>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</si>
  <si>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</si>
  <si>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</si>
  <si>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</si>
  <si>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</si>
  <si>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</si>
  <si>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</si>
  <si>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</si>
  <si>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</si>
  <si>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</si>
  <si>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</si>
  <si>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</si>
  <si>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</si>
  <si>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</si>
  <si>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</si>
  <si>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</si>
  <si>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</si>
  <si>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</si>
  <si>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</si>
  <si>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</si>
  <si>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</si>
  <si>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</si>
  <si>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</si>
  <si>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</si>
  <si>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</si>
  <si>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</si>
  <si>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</si>
  <si>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</si>
  <si>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</si>
  <si>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</si>
  <si>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</si>
  <si>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</si>
  <si>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</si>
  <si>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</si>
  <si>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</si>
  <si>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</si>
  <si>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</si>
  <si>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</si>
  <si>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</si>
  <si>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</si>
  <si>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</si>
  <si>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</si>
  <si>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</si>
  <si>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</si>
  <si>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</si>
  <si>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</si>
  <si>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</si>
  <si>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</si>
  <si>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</si>
  <si>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</si>
  <si>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</si>
  <si>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</si>
  <si>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</si>
  <si>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</si>
  <si>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</si>
  <si>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</si>
  <si>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</si>
  <si>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</si>
  <si>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</si>
  <si>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</si>
  <si>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</si>
  <si>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</si>
  <si>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</si>
  <si>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</si>
  <si>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</si>
  <si>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</si>
  <si>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</si>
  <si>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</si>
  <si>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</si>
  <si>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</si>
  <si>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</si>
  <si>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</si>
  <si>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</si>
  <si>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</si>
  <si>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</si>
  <si>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</si>
  <si>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</si>
  <si>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</si>
  <si>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</si>
  <si>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</si>
  <si>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</si>
  <si>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</si>
  <si>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</si>
  <si>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</si>
  <si>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</si>
  <si>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</si>
  <si>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</si>
  <si>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</si>
  <si>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</si>
  <si>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</si>
  <si>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</si>
  <si>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</si>
  <si>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</si>
  <si>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</si>
  <si>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</si>
  <si>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</si>
  <si>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</si>
  <si>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</si>
  <si>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</si>
  <si>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</si>
  <si>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</si>
  <si>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</si>
  <si>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</si>
  <si>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</si>
  <si>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</si>
  <si>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</si>
  <si>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</si>
  <si>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</si>
  <si>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</si>
  <si>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</si>
  <si>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</si>
  <si>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</si>
  <si>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</si>
  <si>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</si>
  <si>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</si>
  <si>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</si>
  <si>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</si>
  <si>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</si>
  <si>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</si>
  <si>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</si>
  <si>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</si>
  <si>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</si>
  <si>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</si>
  <si>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</si>
  <si>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</si>
  <si>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</si>
  <si>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</si>
  <si>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</si>
  <si>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</si>
  <si>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</si>
  <si>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</si>
  <si>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</si>
  <si>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</si>
  <si>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</si>
  <si>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</si>
  <si>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</si>
  <si>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</si>
  <si>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</si>
  <si>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</si>
  <si>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</si>
  <si>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</si>
  <si>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</si>
  <si>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</si>
  <si>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</si>
  <si>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</si>
  <si>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</si>
  <si>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</si>
  <si>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</si>
  <si>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</si>
  <si>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</si>
  <si>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</si>
  <si>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</si>
  <si>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</si>
  <si>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</si>
  <si>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</si>
  <si>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</si>
  <si>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</si>
  <si>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</si>
  <si>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</si>
  <si>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</si>
  <si>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</si>
  <si>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</si>
  <si>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</si>
  <si>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</si>
  <si>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</si>
  <si>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</si>
  <si>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</si>
  <si>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</si>
  <si>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</si>
  <si>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</si>
  <si>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</si>
  <si>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</si>
  <si>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</si>
  <si>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</si>
  <si>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</si>
  <si>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</si>
  <si>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</si>
  <si>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</si>
  <si>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</si>
  <si>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</si>
  <si>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</si>
  <si>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</si>
  <si>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</si>
  <si>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</si>
  <si>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</si>
  <si>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</si>
  <si>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</si>
  <si>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</si>
  <si>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</si>
  <si>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</si>
  <si>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</si>
  <si>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</si>
  <si>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</si>
  <si>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</si>
  <si>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</si>
  <si>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</si>
  <si>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</si>
  <si>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</si>
  <si>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</si>
  <si>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</si>
  <si>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</si>
  <si>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</si>
  <si>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</si>
  <si>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</si>
  <si>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</si>
  <si>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</si>
  <si>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</si>
  <si>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</si>
  <si>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</si>
  <si>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</si>
  <si>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</si>
  <si>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</si>
  <si>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</si>
  <si>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</si>
  <si>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</si>
  <si>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</si>
  <si>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</si>
  <si>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</si>
  <si>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</si>
  <si>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</si>
  <si>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</si>
  <si>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</si>
  <si>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</si>
  <si>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</si>
  <si>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</si>
  <si>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</si>
  <si>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</si>
  <si>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</si>
  <si>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</si>
  <si>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</si>
  <si>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</si>
  <si>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</si>
  <si>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</si>
  <si>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</si>
  <si>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</si>
  <si>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</si>
  <si>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</si>
  <si>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</si>
  <si>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</si>
  <si>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</si>
  <si>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</si>
  <si>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</si>
  <si>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</si>
  <si>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</si>
  <si>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</si>
  <si>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</si>
  <si>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</si>
  <si>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</si>
  <si>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</si>
  <si>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</si>
  <si>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</si>
  <si>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</si>
  <si>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</si>
  <si>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</si>
  <si>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</si>
  <si>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</si>
  <si>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</si>
  <si>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</si>
  <si>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</si>
  <si>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</si>
  <si>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</si>
  <si>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</si>
  <si>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</si>
  <si>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</si>
  <si>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</si>
  <si>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</si>
  <si>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</si>
  <si>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</si>
  <si>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</si>
  <si>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</si>
  <si>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</si>
  <si>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</si>
  <si>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</si>
  <si>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</si>
  <si>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</si>
  <si>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</si>
  <si>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</si>
  <si>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</si>
  <si>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</si>
  <si>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</si>
  <si>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</si>
  <si>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</si>
  <si>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</si>
  <si>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</si>
  <si>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</si>
  <si>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</si>
  <si>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</si>
  <si>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</si>
  <si>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</si>
  <si>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</si>
  <si>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</si>
  <si>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</si>
  <si>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</si>
  <si>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</si>
  <si>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</si>
  <si>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</si>
  <si>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</si>
  <si>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</si>
  <si>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</si>
  <si>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</si>
  <si>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</si>
  <si>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</si>
  <si>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</si>
  <si>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</si>
  <si>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</si>
  <si>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</si>
  <si>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</si>
  <si>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</si>
  <si>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</si>
  <si>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</si>
  <si>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</si>
  <si>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</si>
  <si>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</si>
  <si>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</si>
  <si>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</si>
  <si>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</si>
  <si>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</si>
  <si>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</si>
  <si>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</si>
  <si>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</si>
  <si>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</si>
  <si>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</si>
  <si>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</si>
  <si>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</si>
  <si>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</si>
  <si>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</si>
  <si>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</si>
  <si>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</si>
  <si>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</si>
  <si>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</si>
  <si>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</si>
  <si>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</si>
  <si>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</si>
  <si>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</si>
  <si>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</si>
  <si>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</si>
  <si>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</si>
  <si>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</si>
  <si>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</si>
  <si>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</si>
  <si>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</si>
  <si>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</si>
  <si>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</si>
  <si>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</si>
  <si>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</si>
  <si>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</si>
  <si>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</si>
  <si>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</si>
  <si>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</si>
  <si>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</si>
  <si>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</si>
  <si>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</si>
  <si>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</si>
  <si>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</si>
  <si>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</si>
  <si>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</si>
  <si>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</si>
  <si>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</si>
  <si>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</si>
  <si>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</si>
  <si>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</si>
  <si>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</si>
  <si>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</si>
  <si>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</si>
  <si>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</si>
  <si>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</si>
  <si>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</si>
  <si>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</si>
  <si>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</si>
  <si>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</si>
  <si>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</si>
  <si>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</si>
  <si>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</si>
  <si>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</si>
  <si>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</si>
  <si>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</si>
  <si>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</si>
  <si>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</si>
  <si>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</si>
  <si>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</si>
  <si>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</si>
  <si>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</si>
  <si>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</si>
  <si>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</si>
  <si>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</si>
  <si>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</si>
  <si>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</si>
  <si>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</si>
  <si>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</si>
  <si>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</si>
  <si>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</si>
  <si>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</si>
  <si>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</si>
  <si>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</si>
  <si>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</si>
  <si>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</si>
  <si>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</si>
  <si>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</si>
  <si>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</si>
  <si>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</si>
  <si>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</si>
  <si>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</si>
  <si>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</si>
  <si>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</si>
  <si>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</si>
  <si>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</si>
  <si>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</si>
  <si>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</si>
  <si>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</si>
  <si>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</si>
  <si>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</si>
  <si>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</si>
  <si>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</si>
  <si>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</si>
  <si>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</si>
  <si>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</si>
  <si>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</si>
  <si>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</si>
  <si>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</si>
  <si>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</si>
  <si>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</si>
  <si>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</si>
  <si>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</si>
  <si>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</si>
  <si>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</si>
  <si>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</si>
  <si>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</si>
  <si>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</si>
  <si>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</si>
  <si>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</si>
  <si>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</si>
  <si>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</si>
  <si>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</si>
  <si>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</si>
  <si>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</si>
  <si>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</si>
  <si>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</si>
  <si>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</si>
  <si>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</si>
  <si>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</si>
  <si>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</si>
  <si>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</si>
  <si>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</si>
  <si>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</si>
  <si>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</si>
  <si>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</si>
  <si>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</si>
  <si>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</si>
  <si>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</si>
  <si>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</si>
  <si>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</si>
  <si>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</si>
  <si>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</si>
  <si>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</si>
  <si>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</si>
  <si>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</si>
  <si>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</si>
  <si>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</si>
  <si>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</si>
  <si>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</si>
  <si>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</si>
  <si>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</si>
  <si>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</si>
  <si>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</si>
  <si>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</si>
  <si>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</si>
  <si>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</si>
  <si>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</si>
  <si>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</si>
  <si>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</si>
  <si>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</si>
  <si>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</si>
  <si>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</si>
  <si>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</si>
  <si>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</si>
  <si>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</si>
  <si>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</si>
  <si>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</si>
  <si>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</si>
  <si>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</si>
  <si>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</si>
  <si>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</si>
  <si>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</si>
  <si>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</si>
  <si>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</si>
  <si>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</si>
  <si>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</si>
  <si>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</si>
  <si>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</si>
  <si>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</si>
  <si>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</si>
  <si>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</si>
  <si>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</si>
  <si>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</si>
  <si>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</si>
  <si>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</si>
  <si>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</si>
  <si>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</si>
  <si>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</si>
  <si>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</si>
  <si>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</si>
  <si>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</si>
  <si>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</si>
  <si>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</si>
  <si>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</si>
  <si>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</si>
  <si>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</si>
  <si>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</si>
  <si>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</si>
  <si>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</si>
  <si>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</si>
  <si>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</si>
  <si>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</si>
  <si>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</si>
  <si>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</si>
  <si>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</si>
  <si>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</si>
  <si>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</si>
  <si>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</si>
  <si>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</si>
  <si>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</si>
  <si>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</si>
  <si>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</si>
  <si>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</si>
  <si>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</si>
  <si>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</si>
  <si>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</si>
  <si>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</si>
  <si>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</si>
  <si>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</si>
  <si>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</si>
  <si>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</si>
  <si>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</si>
  <si>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</si>
  <si>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</si>
  <si>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</si>
  <si>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</si>
  <si>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</si>
  <si>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</si>
  <si>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</si>
  <si>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</si>
  <si>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</si>
  <si>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</si>
  <si>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</si>
  <si>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</si>
  <si>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</si>
  <si>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</si>
  <si>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</si>
  <si>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</si>
  <si>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</si>
  <si>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</si>
  <si>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</si>
  <si>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</si>
  <si>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</si>
  <si>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</si>
  <si>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</si>
  <si>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</si>
  <si>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</si>
  <si>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</si>
  <si>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</si>
  <si>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</si>
  <si>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</si>
  <si>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</si>
  <si>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</si>
  <si>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</si>
  <si>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</si>
  <si>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</si>
  <si>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</si>
  <si>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</si>
  <si>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</si>
  <si>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</si>
  <si>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</si>
  <si>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</si>
  <si>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</si>
  <si>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</si>
  <si>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</si>
  <si>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</si>
  <si>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</si>
  <si>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</si>
  <si>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</si>
  <si>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</si>
  <si>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</si>
  <si>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</si>
  <si>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</si>
  <si>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</si>
  <si>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</si>
  <si>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</si>
  <si>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</si>
  <si>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</si>
  <si>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</si>
  <si>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</si>
  <si>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</si>
  <si>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</si>
  <si>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</si>
  <si>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</si>
  <si>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</si>
  <si>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</si>
  <si>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</si>
  <si>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</si>
  <si>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</si>
  <si>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</si>
  <si>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</si>
  <si>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</si>
  <si>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</si>
  <si>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</si>
  <si>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</si>
  <si>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</si>
  <si>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</si>
  <si>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</si>
  <si>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</si>
  <si>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</si>
  <si>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</si>
  <si>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</si>
  <si>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</si>
  <si>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</si>
  <si>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DIFERENCIAS TOTALES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</si>
  <si>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</si>
  <si>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</si>
  <si>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</si>
  <si>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</si>
  <si>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</si>
  <si>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</si>
  <si>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</si>
  <si>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</si>
  <si>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</si>
  <si>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</si>
  <si>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</si>
  <si>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</si>
  <si>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</si>
  <si>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</si>
  <si>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</si>
  <si>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</si>
  <si>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</si>
  <si>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</si>
  <si>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</si>
  <si>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</si>
  <si>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</si>
  <si>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</si>
  <si>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</si>
  <si>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</si>
  <si>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</si>
  <si>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</si>
  <si>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</si>
  <si>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</si>
  <si>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</si>
  <si>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</si>
  <si>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</si>
  <si>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</si>
  <si>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</si>
  <si>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</si>
  <si>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</si>
  <si>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</si>
  <si>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</si>
  <si>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</si>
  <si>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</si>
  <si>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</si>
  <si>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</si>
  <si>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</si>
  <si>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</si>
  <si>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</si>
  <si>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</si>
  <si>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</si>
  <si>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INGRESOS DIFERIDOS</t>
  </si>
  <si>
    <t>Otros ajustes netos</t>
  </si>
  <si>
    <t>Pagos</t>
  </si>
  <si>
    <t xml:space="preserve">   Ingreso (egreso) por retiro y venta de aportes</t>
  </si>
  <si>
    <t>IDENTIFICAR LOS ACTIVOS ENTREGADOS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</si>
  <si>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</si>
  <si>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</si>
  <si>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</si>
  <si>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</si>
  <si>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</si>
  <si>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</si>
  <si>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</si>
  <si>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</si>
  <si>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</si>
  <si>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</si>
  <si>
    <t>Flujos de efectivo de actividades de operación:</t>
  </si>
  <si>
    <t>Recibido de clientes, relacionadas y terceros</t>
  </si>
  <si>
    <t>Pagado a proveedores, relacionadas, trabajadores y otros</t>
  </si>
  <si>
    <t>Intereses y comisiones bancarias pagadas</t>
  </si>
  <si>
    <t>Efectivo neto proveniente de actividades de operación</t>
  </si>
  <si>
    <t xml:space="preserve">                   Las notas explicativas anexas son parte integrante de los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</si>
</sst>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80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95" fontId="80" fillId="0" borderId="8" xfId="1" applyNumberFormat="1" applyBorder="1" applyProtection="1"/>
    <xf numFmtId="195" fontId="80" fillId="0" borderId="0" xfId="1" applyNumberFormat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53" fillId="10" borderId="0" xfId="94" applyNumberFormat="1" applyFont="1" applyFill="1" applyBorder="1" applyAlignment="1" applyProtection="1"/>
    <xf numFmtId="195" fontId="0" fillId="13" borderId="40" xfId="0" applyNumberFormat="1" applyFill="1" applyBorder="1"/>
    <xf numFmtId="195" fontId="12" fillId="11" borderId="0" xfId="1" applyNumberFormat="1" applyFont="1" applyFill="1" applyBorder="1" applyAlignment="1" applyProtection="1"/>
    <xf numFmtId="3" fontId="61" fillId="6" borderId="0" xfId="0" applyNumberFormat="1" applyFont="1" applyFill="1" applyAlignment="1">
      <alignment horizontal="center" vertical="center"/>
    </xf>
    <xf numFmtId="0" fontId="84" fillId="12" borderId="0" xfId="0" applyNumberFormat="1" applyFont="1" applyFill="1"/>
    <xf numFmtId="212" fontId="84" fillId="11" borderId="10" xfId="1" applyNumberFormat="1" applyFont="1" applyFill="1" applyBorder="1"/>
    <xf numFmtId="3" fontId="12" fillId="6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12" fillId="6" borderId="0" xfId="467" applyFont="1" applyFill="1" applyBorder="1" applyAlignment="1">
      <alignment horizontal="right" vertical="center" wrapText="1"/>
    </xf>
    <xf numFmtId="195" fontId="12" fillId="10" borderId="0" xfId="467" applyNumberFormat="1" applyFont="1" applyFill="1" applyBorder="1" applyAlignment="1">
      <alignment horizontal="center"/>
    </xf>
    <xf numFmtId="0" fontId="67" fillId="6" borderId="0" xfId="0" applyFont="1" applyFill="1" applyBorder="1"/>
    <xf numFmtId="0" fontId="51" fillId="6" borderId="0" xfId="467" applyFont="1" applyFill="1" applyBorder="1"/>
    <xf numFmtId="208" fontId="12" fillId="6" borderId="2" xfId="0" applyNumberFormat="1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212" fontId="84" fillId="17" borderId="10" xfId="0" applyNumberFormat="1" applyFont="1" applyFill="1" applyBorder="1"/>
    <xf numFmtId="0" fontId="84" fillId="17" borderId="14" xfId="0" applyFont="1" applyFill="1" applyBorder="1"/>
    <xf numFmtId="212" fontId="84" fillId="17" borderId="6" xfId="1" applyNumberFormat="1" applyFont="1" applyFill="1" applyBorder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12" fillId="10" borderId="0" xfId="467" applyFont="1" applyFill="1" applyBorder="1" applyAlignment="1" applyProtection="1">
      <alignment horizontal="left" vertical="center" wrapText="1" indent="1"/>
    </xf>
    <xf numFmtId="0" fontId="12" fillId="10" borderId="0" xfId="467" applyFont="1" applyFill="1" applyBorder="1" applyAlignment="1">
      <alignment horizontal="center" vertical="center" wrapText="1"/>
    </xf>
    <xf numFmtId="195" fontId="49" fillId="10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12" fillId="10" borderId="0" xfId="1" applyNumberFormat="1" applyFont="1" applyFill="1" applyBorder="1" applyAlignment="1" applyProtection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12" fillId="10" borderId="0" xfId="0" applyNumberFormat="1" applyFont="1" applyFill="1" applyBorder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>
            <v>1812247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66" t="s">
        <v>2</v>
      </c>
      <c r="Q3" s="1066"/>
      <c r="V3" s="4"/>
      <c r="AG3" s="1066" t="s">
        <v>2</v>
      </c>
      <c r="AH3" s="1066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67">
        <f>P78-Q78</f>
        <v>224942.27000001073</v>
      </c>
      <c r="Q79" s="1067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73" t="s">
        <v>340</v>
      </c>
      <c r="D1" s="1073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73" t="s">
        <v>349</v>
      </c>
      <c r="D14" s="1073"/>
      <c r="E14" s="1073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74">
        <v>2017</v>
      </c>
      <c r="L3" s="1074"/>
      <c r="M3" s="1074">
        <v>2016</v>
      </c>
      <c r="N3" s="1074"/>
      <c r="O3" s="1074" t="s">
        <v>5</v>
      </c>
      <c r="P3" s="1074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74">
        <v>2017</v>
      </c>
      <c r="L8" s="1074"/>
      <c r="M8" s="1074">
        <v>2016</v>
      </c>
      <c r="N8" s="1074"/>
      <c r="O8" s="1074" t="s">
        <v>5</v>
      </c>
      <c r="P8" s="1074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74">
        <v>2017</v>
      </c>
      <c r="L20" s="1074"/>
      <c r="M20" s="1074">
        <v>2016</v>
      </c>
      <c r="N20" s="1074"/>
      <c r="O20" s="1074" t="s">
        <v>5</v>
      </c>
      <c r="P20" s="1074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74">
        <v>2017</v>
      </c>
      <c r="L39" s="1074"/>
      <c r="M39" s="1074">
        <v>2016</v>
      </c>
      <c r="N39" s="1074"/>
      <c r="O39" s="1074" t="s">
        <v>5</v>
      </c>
      <c r="P39" s="1074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74">
        <v>2017</v>
      </c>
      <c r="L55" s="1074"/>
      <c r="M55" s="1074">
        <v>2016</v>
      </c>
      <c r="N55" s="1074"/>
      <c r="O55" s="1074" t="s">
        <v>5</v>
      </c>
      <c r="P55" s="1074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74">
        <v>2017</v>
      </c>
      <c r="L73" s="1074"/>
      <c r="M73" s="1074">
        <v>2016</v>
      </c>
      <c r="N73" s="1074"/>
      <c r="O73" s="1074" t="s">
        <v>5</v>
      </c>
      <c r="P73" s="1074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74">
        <v>2017</v>
      </c>
      <c r="L92" s="1074"/>
      <c r="M92" s="1074">
        <v>2016</v>
      </c>
      <c r="N92" s="1074"/>
      <c r="O92" s="1074" t="s">
        <v>5</v>
      </c>
      <c r="P92" s="1074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74">
        <v>2017</v>
      </c>
      <c r="L109" s="1074"/>
      <c r="M109" s="1074">
        <v>2016</v>
      </c>
      <c r="N109" s="1074"/>
      <c r="O109" s="1074" t="s">
        <v>5</v>
      </c>
      <c r="P109" s="1074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74">
        <v>2017</v>
      </c>
      <c r="L126" s="1074"/>
      <c r="M126" s="1074">
        <v>2016</v>
      </c>
      <c r="N126" s="1074"/>
      <c r="O126" s="1074" t="s">
        <v>5</v>
      </c>
      <c r="P126" s="1074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74">
        <v>2017</v>
      </c>
      <c r="L142" s="1074"/>
      <c r="M142" s="1074">
        <v>2016</v>
      </c>
      <c r="N142" s="1074"/>
      <c r="O142" s="1074" t="s">
        <v>5</v>
      </c>
      <c r="P142" s="1074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74">
        <v>2017</v>
      </c>
      <c r="L159" s="1074"/>
      <c r="M159" s="1074">
        <v>2016</v>
      </c>
      <c r="N159" s="1074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74">
        <v>2017</v>
      </c>
      <c r="L184" s="1074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74">
        <v>2018</v>
      </c>
      <c r="P22" s="1074"/>
      <c r="Q22" s="1074">
        <v>2017</v>
      </c>
      <c r="R22" s="1074"/>
      <c r="S22" s="1074">
        <v>2016</v>
      </c>
      <c r="T22" s="1074"/>
      <c r="U22" s="1074" t="s">
        <v>5</v>
      </c>
      <c r="V22" s="1074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74">
        <v>2017</v>
      </c>
      <c r="R27" s="1074"/>
      <c r="S27" s="1074">
        <v>2016</v>
      </c>
      <c r="T27" s="1074"/>
      <c r="U27" s="1074" t="s">
        <v>5</v>
      </c>
      <c r="V27" s="1074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74">
        <v>2017</v>
      </c>
      <c r="R39" s="1074"/>
      <c r="S39" s="1074">
        <v>2016</v>
      </c>
      <c r="T39" s="1074"/>
      <c r="U39" s="1074" t="s">
        <v>5</v>
      </c>
      <c r="V39" s="1074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74">
        <v>2017</v>
      </c>
      <c r="R60" s="1074"/>
      <c r="S60" s="1074">
        <v>2016</v>
      </c>
      <c r="T60" s="1074"/>
      <c r="U60" s="1074" t="s">
        <v>5</v>
      </c>
      <c r="V60" s="1074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74">
        <v>2017</v>
      </c>
      <c r="R77" s="1074"/>
      <c r="S77" s="1074">
        <v>2016</v>
      </c>
      <c r="T77" s="1074"/>
      <c r="U77" s="1074" t="s">
        <v>5</v>
      </c>
      <c r="V77" s="1074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74">
        <v>2017</v>
      </c>
      <c r="R97" s="1074"/>
      <c r="S97" s="1074">
        <v>2016</v>
      </c>
      <c r="T97" s="1074"/>
      <c r="U97" s="1074" t="s">
        <v>5</v>
      </c>
      <c r="V97" s="1074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74">
        <v>2017</v>
      </c>
      <c r="R117" s="1074"/>
      <c r="S117" s="1074">
        <v>2016</v>
      </c>
      <c r="T117" s="1074"/>
      <c r="U117" s="1074" t="s">
        <v>5</v>
      </c>
      <c r="V117" s="1074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74">
        <v>2017</v>
      </c>
      <c r="R134" s="1074"/>
      <c r="S134" s="1074">
        <v>2016</v>
      </c>
      <c r="T134" s="1074"/>
      <c r="U134" s="1074" t="s">
        <v>5</v>
      </c>
      <c r="V134" s="1074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74">
        <v>2017</v>
      </c>
      <c r="R151" s="1074"/>
      <c r="S151" s="1074">
        <v>2016</v>
      </c>
      <c r="T151" s="1074"/>
      <c r="U151" s="1074" t="s">
        <v>5</v>
      </c>
      <c r="V151" s="1074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74">
        <v>2017</v>
      </c>
      <c r="R168" s="1074"/>
      <c r="S168" s="1074">
        <v>2016</v>
      </c>
      <c r="T168" s="1074"/>
      <c r="U168" s="1074" t="s">
        <v>5</v>
      </c>
      <c r="V168" s="1074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74">
        <v>2017</v>
      </c>
      <c r="R185" s="1074"/>
      <c r="S185" s="1074">
        <v>2016</v>
      </c>
      <c r="T185" s="1074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74">
        <v>2017</v>
      </c>
      <c r="R206" s="1074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-965577</v>
      </c>
      <c r="D212" s="265">
        <f>'ESF - ERI'!AD55</f>
        <v>-144335</v>
      </c>
      <c r="E212" s="265">
        <f t="shared" si="42"/>
        <v>-821242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-1058874</v>
      </c>
      <c r="Z11" s="360"/>
      <c r="AA11" s="360">
        <f t="shared" si="0"/>
        <v>32244315.639999993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36380872.639999993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-1048874</v>
      </c>
      <c r="Z13" s="360"/>
      <c r="AA13" s="365">
        <f>+SUM(AA3:AA11)</f>
        <v>109653189.96000001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61732066.309999987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-1058874</v>
      </c>
      <c r="Z27" s="360"/>
      <c r="AA27" s="378">
        <f t="shared" si="5"/>
        <v>34533510.698675036</v>
      </c>
      <c r="AC27" s="379">
        <f t="shared" si="6"/>
        <v>3484702</v>
      </c>
      <c r="AE27" s="380">
        <f>+AE11</f>
        <v>7621259</v>
      </c>
      <c r="AG27" s="381">
        <f t="shared" si="8"/>
        <v>38670067.698675036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-1048874</v>
      </c>
      <c r="AA28" s="368">
        <f>+SUM(AA19:AA27)</f>
        <v>96225177.493675038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48304053.493675038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-1048874</v>
      </c>
      <c r="AA42" s="368">
        <f>+AA40+AA28</f>
        <v>108347121.31</v>
      </c>
      <c r="AC42" s="368">
        <f>+AC40+AC28</f>
        <v>55542383</v>
      </c>
      <c r="AE42" s="368">
        <f>+AE40+AE28</f>
        <v>7621259</v>
      </c>
      <c r="AG42" s="368">
        <f>+AG40+AG28</f>
        <v>60425997.310000002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863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16866022.050000001</v>
      </c>
      <c r="F61" s="389"/>
      <c r="G61" s="399">
        <f>SUM(G49:G60)</f>
        <v>17566645.2780159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" zoomScaleNormal="100" workbookViewId="0">
      <selection activeCell="B43" sqref="B43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8"/>
      <c r="B6" s="848"/>
      <c r="C6" s="495"/>
      <c r="D6" s="495"/>
      <c r="I6" s="408"/>
    </row>
    <row r="7" spans="1:10" s="407" customFormat="1" ht="12">
      <c r="A7" s="411"/>
      <c r="B7" s="895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6">
        <f>+SUM(C8:C11)</f>
        <v>1150814</v>
      </c>
      <c r="D12" s="856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6" t="s">
        <v>208</v>
      </c>
      <c r="B20" s="897" t="s">
        <v>472</v>
      </c>
      <c r="C20" s="898"/>
      <c r="D20" s="898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52" t="s">
        <v>208</v>
      </c>
      <c r="B25" s="853" t="s">
        <v>464</v>
      </c>
      <c r="C25" s="854"/>
      <c r="D25" s="854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5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1058" t="s">
        <v>208</v>
      </c>
      <c r="B33" s="1059" t="s">
        <v>823</v>
      </c>
      <c r="C33" s="1060"/>
      <c r="D33" s="1060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6">
        <f>+SUM(C30:C35)</f>
        <v>1282511</v>
      </c>
      <c r="D36" s="856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5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824</v>
      </c>
      <c r="C41" s="413">
        <v>27178</v>
      </c>
      <c r="D41" s="413"/>
    </row>
    <row r="42" spans="1:6" s="407" customFormat="1" ht="12">
      <c r="A42" s="858" t="s">
        <v>212</v>
      </c>
      <c r="B42" s="859" t="s">
        <v>893</v>
      </c>
      <c r="C42" s="860">
        <v>831651</v>
      </c>
      <c r="D42" s="860"/>
    </row>
    <row r="43" spans="1:6" s="407" customFormat="1" ht="12">
      <c r="A43" s="858" t="s">
        <v>208</v>
      </c>
      <c r="B43" s="859" t="s">
        <v>894</v>
      </c>
      <c r="C43" s="860"/>
      <c r="D43" s="860">
        <v>529779</v>
      </c>
    </row>
    <row r="44" spans="1:6" s="407" customFormat="1" ht="12">
      <c r="A44" s="415" t="s">
        <v>247</v>
      </c>
      <c r="B44" s="411" t="s">
        <v>825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892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826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95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73257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>
      <c r="A53" s="415" t="s">
        <v>32</v>
      </c>
      <c r="B53" s="411" t="s">
        <v>463</v>
      </c>
      <c r="C53" s="413">
        <v>746170</v>
      </c>
      <c r="D53" s="413"/>
    </row>
    <row r="54" spans="1:6" s="425" customFormat="1" ht="12">
      <c r="A54" s="855" t="s">
        <v>208</v>
      </c>
      <c r="B54" s="853" t="s">
        <v>483</v>
      </c>
      <c r="C54" s="854">
        <v>908834</v>
      </c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828</v>
      </c>
      <c r="C56" s="417"/>
      <c r="D56" s="417">
        <v>545136</v>
      </c>
      <c r="F56" s="420">
        <f>+C51+C54+C52-D56</f>
        <v>436955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96" t="s">
        <v>243</v>
      </c>
      <c r="B61" s="897" t="s">
        <v>835</v>
      </c>
      <c r="C61" s="898"/>
      <c r="D61" s="898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57" t="s">
        <v>827</v>
      </c>
      <c r="C64" s="413"/>
      <c r="D64" s="413"/>
    </row>
    <row r="65" spans="1:9" s="407" customFormat="1" ht="12">
      <c r="A65" s="858" t="s">
        <v>212</v>
      </c>
      <c r="B65" s="859" t="s">
        <v>462</v>
      </c>
      <c r="C65" s="860">
        <v>6000</v>
      </c>
      <c r="D65" s="860"/>
    </row>
    <row r="66" spans="1:9" s="407" customFormat="1" ht="12">
      <c r="A66" s="855" t="s">
        <v>208</v>
      </c>
      <c r="B66" s="853" t="s">
        <v>483</v>
      </c>
      <c r="C66" s="863">
        <v>9000</v>
      </c>
      <c r="D66" s="860"/>
    </row>
    <row r="67" spans="1:9" s="407" customFormat="1" ht="12">
      <c r="A67" s="858" t="s">
        <v>433</v>
      </c>
      <c r="B67" s="861" t="s">
        <v>828</v>
      </c>
      <c r="C67" s="862"/>
      <c r="D67" s="862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2808930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99" t="s">
        <v>834</v>
      </c>
      <c r="C87" s="900">
        <f>+C42+C54+C66-D25-D33</f>
        <v>1725978</v>
      </c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K41" activePane="bottomRight" state="frozen"/>
      <selection pane="topRight" activeCell="M1" sqref="M1"/>
      <selection pane="bottomLeft" activeCell="A45" sqref="A45"/>
      <selection pane="bottomRight" activeCell="O63" sqref="O63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39" bestFit="1" customWidth="1"/>
    <col min="17" max="17" width="12.85546875" style="407" bestFit="1" customWidth="1"/>
    <col min="18" max="18" width="7" style="406" bestFit="1" customWidth="1"/>
    <col min="19" max="19" width="4" style="407" hidden="1" customWidth="1"/>
    <col min="20" max="20" width="9.5703125" style="407" hidden="1" customWidth="1"/>
    <col min="21" max="21" width="9.85546875" style="889" hidden="1" customWidth="1"/>
    <col min="22" max="22" width="9.85546875" style="407" hidden="1" customWidth="1"/>
    <col min="23" max="23" width="41" style="407" hidden="1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75" t="s">
        <v>2</v>
      </c>
      <c r="P3" s="1075"/>
    </row>
    <row r="4" spans="1:21 1026:1026" s="460" customFormat="1" ht="36">
      <c r="A4" s="458" t="s">
        <v>500</v>
      </c>
      <c r="B4" s="918" t="s">
        <v>501</v>
      </c>
      <c r="C4" s="919" t="s">
        <v>502</v>
      </c>
      <c r="D4" s="918" t="s">
        <v>503</v>
      </c>
      <c r="E4" s="918" t="s">
        <v>504</v>
      </c>
      <c r="F4" s="918" t="s">
        <v>505</v>
      </c>
      <c r="G4" s="918" t="s">
        <v>506</v>
      </c>
      <c r="H4" s="919" t="s">
        <v>507</v>
      </c>
      <c r="I4" s="918" t="s">
        <v>508</v>
      </c>
      <c r="J4" s="918" t="s">
        <v>509</v>
      </c>
      <c r="K4" s="918" t="s">
        <v>510</v>
      </c>
      <c r="L4" s="918" t="s">
        <v>511</v>
      </c>
      <c r="M4" s="919" t="s">
        <v>512</v>
      </c>
      <c r="N4" s="459" t="s">
        <v>259</v>
      </c>
      <c r="O4" s="909" t="s">
        <v>18</v>
      </c>
      <c r="P4" s="909" t="s">
        <v>19</v>
      </c>
      <c r="Q4" s="459" t="s">
        <v>513</v>
      </c>
      <c r="R4" s="1020"/>
      <c r="S4" s="769"/>
      <c r="T4" s="769"/>
      <c r="U4" s="890"/>
      <c r="AML4"/>
    </row>
    <row r="5" spans="1:21 1026:1026" s="408" customFormat="1">
      <c r="A5" s="461" t="s">
        <v>35</v>
      </c>
      <c r="B5" s="903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03"/>
      <c r="P5" s="903"/>
      <c r="Q5" s="462">
        <f t="shared" ref="Q5:Q25" si="1">N5+O5-P5</f>
        <v>19929759.489999998</v>
      </c>
      <c r="R5" s="451"/>
      <c r="S5" s="920"/>
      <c r="T5" s="920"/>
      <c r="U5" s="891"/>
      <c r="AML5"/>
    </row>
    <row r="6" spans="1:21 1026:1026" s="408" customFormat="1">
      <c r="A6" s="461" t="s">
        <v>36</v>
      </c>
      <c r="B6" s="903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3"/>
      <c r="P6" s="903"/>
      <c r="Q6" s="462">
        <f t="shared" si="1"/>
        <v>8650</v>
      </c>
      <c r="R6" s="451"/>
      <c r="S6" s="920"/>
      <c r="T6" s="920"/>
      <c r="U6" s="891"/>
      <c r="AML6"/>
    </row>
    <row r="7" spans="1:21 1026:1026" s="408" customFormat="1">
      <c r="A7" s="461" t="s">
        <v>37</v>
      </c>
      <c r="B7" s="903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3"/>
      <c r="P7" s="903"/>
      <c r="Q7" s="462">
        <f t="shared" si="1"/>
        <v>3119911</v>
      </c>
      <c r="R7" s="451"/>
      <c r="S7" s="920"/>
      <c r="T7" s="920"/>
      <c r="U7" s="891"/>
      <c r="AML7"/>
    </row>
    <row r="8" spans="1:21 1026:1026" s="408" customFormat="1">
      <c r="A8" s="461" t="s">
        <v>514</v>
      </c>
      <c r="B8" s="903"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03"/>
      <c r="P8" s="903">
        <f>+'AD ESF'!E310</f>
        <v>6686</v>
      </c>
      <c r="Q8" s="462">
        <f t="shared" si="1"/>
        <v>15810074.74</v>
      </c>
      <c r="R8" s="451"/>
      <c r="S8" s="920"/>
      <c r="T8" s="920"/>
      <c r="U8" s="891"/>
      <c r="AML8"/>
    </row>
    <row r="9" spans="1:21 1026:1026" s="408" customFormat="1">
      <c r="A9" s="461" t="s">
        <v>40</v>
      </c>
      <c r="B9" s="903">
        <v>43757949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46369288.149999999</v>
      </c>
      <c r="O9" s="903"/>
      <c r="P9" s="903">
        <f>+'AD ESF'!E308</f>
        <v>9145174</v>
      </c>
      <c r="Q9" s="462">
        <f t="shared" si="1"/>
        <v>37224114.149999999</v>
      </c>
      <c r="R9" s="451"/>
      <c r="S9" s="920"/>
      <c r="T9" s="920"/>
      <c r="U9" s="891"/>
      <c r="AML9"/>
    </row>
    <row r="10" spans="1:21 1026:1026" s="408" customFormat="1">
      <c r="A10" s="461" t="s">
        <v>42</v>
      </c>
      <c r="B10" s="903">
        <v>6462502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6482831</v>
      </c>
      <c r="O10" s="903"/>
      <c r="P10" s="903"/>
      <c r="Q10" s="462">
        <f t="shared" si="1"/>
        <v>6482831</v>
      </c>
      <c r="R10" s="451"/>
      <c r="S10" s="920"/>
      <c r="T10" s="920"/>
      <c r="U10" s="891"/>
      <c r="AML10"/>
    </row>
    <row r="11" spans="1:21 1026:1026" s="408" customFormat="1">
      <c r="A11" s="461" t="s">
        <v>890</v>
      </c>
      <c r="B11" s="903">
        <v>5359704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5830961.7599999998</v>
      </c>
      <c r="O11" s="903"/>
      <c r="P11" s="903"/>
      <c r="Q11" s="462">
        <f t="shared" si="1"/>
        <v>5830961.7599999998</v>
      </c>
      <c r="R11" s="451"/>
      <c r="S11" s="920"/>
      <c r="T11" s="920"/>
      <c r="U11" s="891"/>
      <c r="AML11"/>
    </row>
    <row r="12" spans="1:21 1026:1026" s="408" customFormat="1">
      <c r="A12" s="461" t="s">
        <v>45</v>
      </c>
      <c r="B12" s="903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03"/>
      <c r="P12" s="903"/>
      <c r="Q12" s="462">
        <f t="shared" si="1"/>
        <v>1761314</v>
      </c>
      <c r="R12" s="451"/>
      <c r="S12" s="920"/>
      <c r="T12" s="920"/>
      <c r="U12" s="891"/>
      <c r="AML12"/>
    </row>
    <row r="13" spans="1:21 1026:1026" s="408" customFormat="1">
      <c r="A13" s="461" t="s">
        <v>46</v>
      </c>
      <c r="B13" s="903">
        <v>28373524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28453869.379999999</v>
      </c>
      <c r="O13" s="903"/>
      <c r="P13" s="903"/>
      <c r="Q13" s="462">
        <f t="shared" si="1"/>
        <v>28453869.379999999</v>
      </c>
      <c r="R13" s="451"/>
      <c r="S13" s="920"/>
      <c r="T13" s="920"/>
      <c r="U13" s="891"/>
      <c r="AML13"/>
    </row>
    <row r="14" spans="1:21 1026:1026" s="408" customFormat="1">
      <c r="A14" s="461" t="s">
        <v>837</v>
      </c>
      <c r="B14" s="903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3"/>
      <c r="P14" s="903"/>
      <c r="Q14" s="462">
        <f t="shared" si="1"/>
        <v>413564</v>
      </c>
      <c r="R14" s="451"/>
      <c r="S14" s="920"/>
      <c r="T14" s="920"/>
      <c r="U14" s="891"/>
      <c r="AML14"/>
    </row>
    <row r="15" spans="1:21 1026:1026" s="408" customFormat="1">
      <c r="A15" s="461" t="s">
        <v>48</v>
      </c>
      <c r="B15" s="903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03"/>
      <c r="P15" s="903">
        <f>+'AD ESF'!E309</f>
        <v>852144</v>
      </c>
      <c r="Q15" s="903">
        <f t="shared" si="1"/>
        <v>0</v>
      </c>
      <c r="R15" s="451"/>
      <c r="S15" s="920"/>
      <c r="T15" s="920"/>
      <c r="U15" s="891"/>
      <c r="AML15"/>
    </row>
    <row r="16" spans="1:21 1026:1026" s="408" customFormat="1">
      <c r="A16" s="461" t="s">
        <v>49</v>
      </c>
      <c r="B16" s="903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03"/>
      <c r="P16" s="903"/>
      <c r="Q16" s="462">
        <f t="shared" si="1"/>
        <v>4645673</v>
      </c>
      <c r="R16" s="451"/>
      <c r="S16" s="920"/>
      <c r="T16" s="920"/>
      <c r="U16" s="891"/>
      <c r="AML16"/>
    </row>
    <row r="17" spans="1:21 1026:1026" s="408" customFormat="1">
      <c r="A17" s="461" t="s">
        <v>50</v>
      </c>
      <c r="B17" s="903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3">
        <f>+'AD ESF'!D251</f>
        <v>47450</v>
      </c>
      <c r="P17" s="903">
        <f>+'AD ESF'!E284</f>
        <v>2087445</v>
      </c>
      <c r="Q17" s="462">
        <f t="shared" si="1"/>
        <v>225156003.91</v>
      </c>
      <c r="R17" s="451"/>
      <c r="S17" s="920"/>
      <c r="T17" s="920"/>
      <c r="U17" s="891"/>
      <c r="AML17"/>
    </row>
    <row r="18" spans="1:21 1026:1026" s="408" customFormat="1">
      <c r="A18" s="461" t="s">
        <v>515</v>
      </c>
      <c r="B18" s="903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03">
        <f>+'AD ESF'!D283</f>
        <v>2008798</v>
      </c>
      <c r="P18" s="903"/>
      <c r="Q18" s="462">
        <f t="shared" si="1"/>
        <v>-146190907.47</v>
      </c>
      <c r="R18" s="451"/>
      <c r="S18" s="920"/>
      <c r="T18" s="920"/>
      <c r="U18" s="891"/>
      <c r="AML18"/>
    </row>
    <row r="19" spans="1:21 1026:1026" s="408" customFormat="1">
      <c r="A19" s="461" t="s">
        <v>53</v>
      </c>
      <c r="B19" s="903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3"/>
      <c r="P19" s="903"/>
      <c r="Q19" s="462">
        <f t="shared" si="1"/>
        <v>984912.65</v>
      </c>
      <c r="R19" s="451"/>
      <c r="S19" s="920"/>
      <c r="T19" s="920"/>
      <c r="U19" s="891"/>
      <c r="AML19"/>
    </row>
    <row r="20" spans="1:21 1026:1026" s="408" customFormat="1">
      <c r="A20" s="461" t="s">
        <v>54</v>
      </c>
      <c r="B20" s="903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03">
        <f>+'AD ESF'!D252+'AD ESF'!D290</f>
        <v>522983</v>
      </c>
      <c r="P20" s="903"/>
      <c r="Q20" s="462">
        <f t="shared" si="1"/>
        <v>11598541</v>
      </c>
      <c r="R20" s="451"/>
      <c r="S20" s="920"/>
      <c r="T20" s="920"/>
      <c r="U20" s="891"/>
      <c r="AML20"/>
    </row>
    <row r="21" spans="1:21 1026:1026" s="408" customFormat="1">
      <c r="A21" s="461" t="s">
        <v>56</v>
      </c>
      <c r="B21" s="903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03"/>
      <c r="P21" s="903"/>
      <c r="Q21" s="462">
        <f t="shared" si="1"/>
        <v>0</v>
      </c>
      <c r="R21" s="451"/>
      <c r="S21" s="920"/>
      <c r="T21" s="920"/>
      <c r="U21" s="891"/>
      <c r="AML21"/>
    </row>
    <row r="22" spans="1:21 1026:1026" s="408" customFormat="1">
      <c r="A22" s="461" t="s">
        <v>516</v>
      </c>
      <c r="B22" s="903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03">
        <f>+'AD ESF'!D317</f>
        <v>468128</v>
      </c>
      <c r="P22" s="903">
        <f>+'AD ESF'!E255+'AD ESF'!E297+'AD ESF'!E311</f>
        <v>39039055</v>
      </c>
      <c r="Q22" s="462">
        <f t="shared" si="1"/>
        <v>4056030</v>
      </c>
      <c r="R22" s="451"/>
      <c r="S22" s="920"/>
      <c r="T22" s="920"/>
      <c r="U22" s="891"/>
      <c r="AML22"/>
    </row>
    <row r="23" spans="1:21 1026:1026" s="408" customFormat="1">
      <c r="A23" s="461" t="s">
        <v>517</v>
      </c>
      <c r="B23" s="903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3"/>
      <c r="P23" s="903"/>
      <c r="Q23" s="462">
        <f t="shared" si="1"/>
        <v>263613</v>
      </c>
      <c r="R23" s="451"/>
      <c r="S23" s="920"/>
      <c r="T23" s="920"/>
      <c r="U23" s="891"/>
      <c r="AML23"/>
    </row>
    <row r="24" spans="1:21 1026:1026" s="408" customFormat="1">
      <c r="A24" s="465" t="s">
        <v>518</v>
      </c>
      <c r="B24" s="904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4"/>
      <c r="P24" s="904"/>
      <c r="Q24" s="462">
        <f t="shared" si="1"/>
        <v>3949574</v>
      </c>
      <c r="R24" s="451"/>
      <c r="S24" s="920"/>
      <c r="T24" s="920"/>
      <c r="U24" s="891"/>
      <c r="AML24"/>
    </row>
    <row r="25" spans="1:21 1026:1026" s="408" customFormat="1">
      <c r="A25" s="465" t="s">
        <v>61</v>
      </c>
      <c r="B25" s="904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04"/>
      <c r="P25" s="904">
        <f>+'AD ESF'!E276</f>
        <v>2534340</v>
      </c>
      <c r="Q25" s="462">
        <f t="shared" si="1"/>
        <v>1737355.1799999997</v>
      </c>
      <c r="R25" s="451"/>
      <c r="S25" s="920"/>
      <c r="T25" s="920"/>
      <c r="U25" s="891"/>
      <c r="AML25"/>
    </row>
    <row r="26" spans="1:21 1026:1026" s="471" customFormat="1">
      <c r="A26" s="468" t="s">
        <v>63</v>
      </c>
      <c r="B26" s="469">
        <f t="shared" ref="B26:N26" si="2">SUM(B5:B25)</f>
        <v>226220008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275853329.79000002</v>
      </c>
      <c r="O26" s="905">
        <f>+SUM(O5:O25)</f>
        <v>3047359</v>
      </c>
      <c r="P26" s="905">
        <f>+SUM(P5:P25)</f>
        <v>53664844</v>
      </c>
      <c r="Q26" s="470">
        <f>SUM(Q5:Q25)</f>
        <v>225235844.79000002</v>
      </c>
      <c r="R26" s="1021"/>
      <c r="S26" s="921"/>
      <c r="T26" s="921"/>
      <c r="U26" s="892"/>
      <c r="AML26"/>
    </row>
    <row r="27" spans="1:21 1026:1026" s="408" customFormat="1">
      <c r="A27" s="472" t="s">
        <v>64</v>
      </c>
      <c r="B27" s="906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6"/>
      <c r="P27" s="906"/>
      <c r="Q27" s="473">
        <f t="shared" ref="Q27:Q46" si="3">N27-O27+P27</f>
        <v>0</v>
      </c>
      <c r="R27" s="451"/>
      <c r="S27" s="920"/>
      <c r="T27" s="920"/>
      <c r="U27" s="893"/>
      <c r="AML27"/>
    </row>
    <row r="28" spans="1:21 1026:1026" s="408" customFormat="1">
      <c r="A28" s="461" t="s">
        <v>65</v>
      </c>
      <c r="B28" s="903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03"/>
      <c r="P28" s="903"/>
      <c r="Q28" s="462">
        <f t="shared" si="3"/>
        <v>2936628</v>
      </c>
      <c r="R28" s="451"/>
      <c r="S28" s="920"/>
      <c r="T28" s="920"/>
      <c r="U28" s="893"/>
      <c r="AML28"/>
    </row>
    <row r="29" spans="1:21 1026:1026" s="408" customFormat="1">
      <c r="A29" s="461" t="s">
        <v>66</v>
      </c>
      <c r="B29" s="903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03"/>
      <c r="P29" s="903"/>
      <c r="Q29" s="462">
        <f t="shared" si="3"/>
        <v>7029610.0199999996</v>
      </c>
      <c r="R29" s="451"/>
      <c r="S29" s="920"/>
      <c r="T29" s="920"/>
      <c r="U29" s="893"/>
      <c r="AML29"/>
    </row>
    <row r="30" spans="1:21 1026:1026" s="408" customFormat="1">
      <c r="A30" s="461" t="s">
        <v>67</v>
      </c>
      <c r="B30" s="903"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468560</v>
      </c>
      <c r="N30" s="474">
        <f t="shared" si="0"/>
        <v>27113823</v>
      </c>
      <c r="O30" s="903">
        <f>+'AD ESF'!D304</f>
        <v>858829</v>
      </c>
      <c r="P30" s="903"/>
      <c r="Q30" s="462">
        <f t="shared" si="3"/>
        <v>26254994</v>
      </c>
      <c r="R30" s="451"/>
      <c r="S30" s="920"/>
      <c r="T30" s="920"/>
      <c r="U30" s="893"/>
      <c r="AML30"/>
    </row>
    <row r="31" spans="1:21 1026:1026" s="408" customFormat="1">
      <c r="A31" s="461" t="s">
        <v>68</v>
      </c>
      <c r="B31" s="903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4144</v>
      </c>
      <c r="N31" s="474">
        <f t="shared" si="0"/>
        <v>1293820.0899999999</v>
      </c>
      <c r="O31" s="903">
        <f>+'AD ESF'!D302</f>
        <v>651898</v>
      </c>
      <c r="P31" s="903"/>
      <c r="Q31" s="462">
        <f t="shared" si="3"/>
        <v>641922.08999999985</v>
      </c>
      <c r="R31" s="451"/>
      <c r="S31" s="920"/>
      <c r="T31" s="920"/>
      <c r="U31" s="893"/>
      <c r="AML31"/>
    </row>
    <row r="32" spans="1:21 1026:1026" s="408" customFormat="1">
      <c r="A32" s="461" t="s">
        <v>891</v>
      </c>
      <c r="B32" s="903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12494757</v>
      </c>
      <c r="O32" s="903"/>
      <c r="P32" s="903"/>
      <c r="Q32" s="462">
        <f t="shared" si="3"/>
        <v>12494757</v>
      </c>
      <c r="R32" s="451"/>
      <c r="S32" s="920"/>
      <c r="T32" s="920"/>
      <c r="U32" s="893"/>
      <c r="AML32"/>
    </row>
    <row r="33" spans="1:22 1026:1026" s="408" customFormat="1">
      <c r="A33" s="461" t="s">
        <v>72</v>
      </c>
      <c r="B33" s="903"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73218</v>
      </c>
      <c r="N33" s="474">
        <f t="shared" si="0"/>
        <v>6484831.5300000003</v>
      </c>
      <c r="O33" s="903">
        <f>+'AD ESF'!D306</f>
        <v>894327</v>
      </c>
      <c r="P33" s="903"/>
      <c r="Q33" s="462">
        <f t="shared" si="3"/>
        <v>5590504.5300000003</v>
      </c>
      <c r="R33" s="451"/>
      <c r="S33" s="920"/>
      <c r="T33" s="920"/>
      <c r="U33" s="893"/>
      <c r="AML33"/>
    </row>
    <row r="34" spans="1:22 1026:1026" s="408" customFormat="1">
      <c r="A34" s="461" t="s">
        <v>839</v>
      </c>
      <c r="B34" s="903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03"/>
      <c r="P34" s="903"/>
      <c r="Q34" s="462">
        <f t="shared" si="3"/>
        <v>4578384</v>
      </c>
      <c r="R34" s="451"/>
      <c r="S34" s="920"/>
      <c r="T34" s="920"/>
      <c r="U34" s="893"/>
      <c r="AML34"/>
    </row>
    <row r="35" spans="1:22 1026:1026" s="408" customFormat="1">
      <c r="A35" s="461" t="s">
        <v>838</v>
      </c>
      <c r="B35" s="903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2510</v>
      </c>
      <c r="N35" s="474">
        <f t="shared" si="0"/>
        <v>9968238.0800000001</v>
      </c>
      <c r="O35" s="903"/>
      <c r="P35" s="903"/>
      <c r="Q35" s="462">
        <f t="shared" si="3"/>
        <v>9968238.0800000001</v>
      </c>
      <c r="R35" s="451"/>
      <c r="S35" s="920"/>
      <c r="T35" s="920"/>
      <c r="U35" s="893"/>
      <c r="AML35"/>
    </row>
    <row r="36" spans="1:22 1026:1026" s="408" customFormat="1">
      <c r="A36" s="461" t="s">
        <v>520</v>
      </c>
      <c r="B36" s="903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3"/>
      <c r="P36" s="903"/>
      <c r="Q36" s="462">
        <f t="shared" si="3"/>
        <v>1574195</v>
      </c>
      <c r="R36" s="451"/>
      <c r="S36" s="920"/>
      <c r="T36" s="920"/>
      <c r="U36" s="893"/>
      <c r="AML36"/>
    </row>
    <row r="37" spans="1:22 1026:1026" s="408" customFormat="1">
      <c r="A37" s="461" t="s">
        <v>76</v>
      </c>
      <c r="B37" s="903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03"/>
      <c r="P37" s="903"/>
      <c r="Q37" s="462">
        <f t="shared" si="3"/>
        <v>45106525</v>
      </c>
      <c r="R37" s="451"/>
      <c r="S37" s="920"/>
      <c r="T37" s="920"/>
      <c r="U37" s="889"/>
      <c r="AML37"/>
    </row>
    <row r="38" spans="1:22 1026:1026" s="408" customFormat="1">
      <c r="A38" s="461" t="s">
        <v>521</v>
      </c>
      <c r="B38" s="903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03"/>
      <c r="P38" s="903"/>
      <c r="Q38" s="462">
        <f t="shared" si="3"/>
        <v>1645615</v>
      </c>
      <c r="R38" s="451"/>
      <c r="S38" s="920"/>
      <c r="T38" s="920"/>
      <c r="U38" s="893"/>
      <c r="AML38"/>
    </row>
    <row r="39" spans="1:22 1026:1026" s="408" customFormat="1">
      <c r="A39" s="461" t="s">
        <v>840</v>
      </c>
      <c r="B39" s="903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3"/>
      <c r="P39" s="903"/>
      <c r="Q39" s="462">
        <f t="shared" si="3"/>
        <v>6657895</v>
      </c>
      <c r="R39" s="451"/>
      <c r="S39" s="920"/>
      <c r="T39" s="920"/>
      <c r="U39" s="893"/>
      <c r="AML39"/>
    </row>
    <row r="40" spans="1:22 1026:1026" s="408" customFormat="1" hidden="1">
      <c r="A40" s="461" t="s">
        <v>79</v>
      </c>
      <c r="B40" s="903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03"/>
      <c r="P40" s="903"/>
      <c r="Q40" s="903">
        <f t="shared" si="3"/>
        <v>0</v>
      </c>
      <c r="R40" s="451"/>
      <c r="S40" s="920"/>
      <c r="T40" s="920"/>
      <c r="U40" s="893"/>
      <c r="AML40"/>
    </row>
    <row r="41" spans="1:22 1026:1026" s="408" customFormat="1">
      <c r="A41" s="461" t="s">
        <v>80</v>
      </c>
      <c r="B41" s="903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746170</v>
      </c>
      <c r="N41" s="474">
        <f t="shared" si="0"/>
        <v>9055300.2300000004</v>
      </c>
      <c r="O41" s="903">
        <f>+'AD ESF'!D256+'AD ESF'!D303</f>
        <v>8891273</v>
      </c>
      <c r="P41" s="903">
        <f>+'AD ESF'!E312</f>
        <v>529779</v>
      </c>
      <c r="Q41" s="462">
        <f t="shared" si="3"/>
        <v>693806.23000000045</v>
      </c>
      <c r="R41" s="451"/>
      <c r="S41" s="920"/>
      <c r="T41" s="920"/>
      <c r="U41" s="893"/>
      <c r="AML41"/>
    </row>
    <row r="42" spans="1:22 1026:1026" s="408" customFormat="1">
      <c r="A42" s="461" t="s">
        <v>81</v>
      </c>
      <c r="B42" s="903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03"/>
      <c r="P42" s="903"/>
      <c r="Q42" s="462">
        <f t="shared" si="3"/>
        <v>1141591</v>
      </c>
      <c r="R42" s="451"/>
      <c r="S42" s="920"/>
      <c r="T42" s="920"/>
      <c r="U42" s="893"/>
      <c r="AML42"/>
    </row>
    <row r="43" spans="1:22 1026:1026" s="408" customFormat="1">
      <c r="A43" s="461" t="s">
        <v>522</v>
      </c>
      <c r="B43" s="903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03"/>
      <c r="P43" s="903"/>
      <c r="Q43" s="462">
        <f t="shared" si="3"/>
        <v>7332501</v>
      </c>
      <c r="R43" s="451"/>
      <c r="S43" s="920"/>
      <c r="T43" s="920"/>
      <c r="U43" s="893"/>
      <c r="AML43"/>
    </row>
    <row r="44" spans="1:22 1026:1026" s="408" customFormat="1">
      <c r="A44" s="461" t="s">
        <v>523</v>
      </c>
      <c r="B44" s="903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3"/>
      <c r="P44" s="903"/>
      <c r="Q44" s="462">
        <f t="shared" si="3"/>
        <v>2542451</v>
      </c>
      <c r="R44" s="451"/>
      <c r="S44" s="920"/>
      <c r="T44" s="920"/>
      <c r="U44" s="893"/>
      <c r="AML44"/>
    </row>
    <row r="45" spans="1:22 1026:1026" s="408" customFormat="1" hidden="1">
      <c r="A45" s="461" t="s">
        <v>519</v>
      </c>
      <c r="B45" s="90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03"/>
      <c r="P45" s="903"/>
      <c r="Q45" s="462">
        <f t="shared" si="3"/>
        <v>0</v>
      </c>
      <c r="R45" s="451"/>
      <c r="S45" s="920"/>
      <c r="T45" s="920"/>
      <c r="U45" s="893"/>
      <c r="AML45"/>
    </row>
    <row r="46" spans="1:22 1026:1026" s="408" customFormat="1" ht="15.75" thickBot="1">
      <c r="A46" s="465" t="s">
        <v>841</v>
      </c>
      <c r="B46" s="904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4"/>
      <c r="P46" s="904"/>
      <c r="Q46" s="466">
        <f t="shared" si="3"/>
        <v>2580000</v>
      </c>
      <c r="R46" s="451"/>
      <c r="S46" s="920"/>
      <c r="T46" s="920"/>
      <c r="U46" s="893"/>
      <c r="AML46"/>
    </row>
    <row r="47" spans="1:22 1026:1026" s="475" customFormat="1" ht="15.75" thickBot="1">
      <c r="A47" s="468" t="s">
        <v>86</v>
      </c>
      <c r="B47" s="905">
        <f t="shared" ref="B47:Q47" si="4">SUM(B27:B46)</f>
        <v>137912070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1294602</v>
      </c>
      <c r="N47" s="469">
        <f t="shared" si="4"/>
        <v>149536164.94999999</v>
      </c>
      <c r="O47" s="905">
        <f t="shared" si="4"/>
        <v>11296327</v>
      </c>
      <c r="P47" s="905">
        <f t="shared" si="4"/>
        <v>529779</v>
      </c>
      <c r="Q47" s="470">
        <f t="shared" si="4"/>
        <v>138769616.94999999</v>
      </c>
      <c r="R47" s="1022"/>
      <c r="S47" s="921"/>
      <c r="T47" s="921"/>
      <c r="U47" s="890"/>
      <c r="AML47"/>
    </row>
    <row r="48" spans="1:22 1026:1026" s="408" customFormat="1">
      <c r="A48" s="472" t="s">
        <v>87</v>
      </c>
      <c r="B48" s="906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6">
        <f>+'AD ESF'!D246+'AD ESF'!D261+'AD ESF'!D305</f>
        <v>4800000</v>
      </c>
      <c r="P48" s="906"/>
      <c r="Q48" s="473">
        <f t="shared" ref="Q48:Q58" si="6">N48-O48+P48</f>
        <v>21629181</v>
      </c>
      <c r="R48" s="451">
        <f>+Q48-'ECP20'!B84</f>
        <v>0</v>
      </c>
      <c r="S48" s="920" t="s">
        <v>498</v>
      </c>
      <c r="T48" s="926">
        <f>+Q48-'ECP20'!B84</f>
        <v>0</v>
      </c>
      <c r="U48" s="927">
        <v>37143362</v>
      </c>
      <c r="V48" s="928">
        <f>+U48-Q48</f>
        <v>15514181</v>
      </c>
      <c r="AML48"/>
    </row>
    <row r="49" spans="1:24 1026:1026" s="408" customFormat="1">
      <c r="A49" s="461" t="s">
        <v>88</v>
      </c>
      <c r="B49" s="903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3">
        <f>+'AD ESF'!D249+'AD ESF'!D262+'AD ESF'!D296</f>
        <v>45437188</v>
      </c>
      <c r="P49" s="903"/>
      <c r="Q49" s="473">
        <f t="shared" si="6"/>
        <v>922.04999999701977</v>
      </c>
      <c r="R49" s="451">
        <f>+Q49-'ECP20'!D84</f>
        <v>1.0499999970197678</v>
      </c>
      <c r="S49" s="920" t="s">
        <v>498</v>
      </c>
      <c r="T49" s="926">
        <f>+Q49-'ECP20'!D84</f>
        <v>1.0499999970197678</v>
      </c>
      <c r="U49" s="927">
        <v>6115922</v>
      </c>
      <c r="V49" s="928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907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3">
        <f>+'AD ESF'!D247+'AD ESF'!D281</f>
        <v>104543</v>
      </c>
      <c r="P50" s="903"/>
      <c r="Q50" s="473">
        <f t="shared" si="6"/>
        <v>6135362</v>
      </c>
      <c r="R50" s="451">
        <f>+Q50-'ECP20'!F84</f>
        <v>0.44000000040978193</v>
      </c>
      <c r="S50" s="930" t="s">
        <v>498</v>
      </c>
      <c r="T50" s="931">
        <f>+Q50-'ECP20'!F84</f>
        <v>0.44000000040978193</v>
      </c>
      <c r="U50" s="927">
        <v>6135362</v>
      </c>
      <c r="V50" s="927">
        <f t="shared" si="7"/>
        <v>0</v>
      </c>
      <c r="AML50"/>
    </row>
    <row r="51" spans="1:24 1026:1026" s="408" customFormat="1">
      <c r="A51" s="461" t="s">
        <v>91</v>
      </c>
      <c r="B51" s="903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3"/>
      <c r="P51" s="903"/>
      <c r="Q51" s="473">
        <f t="shared" si="6"/>
        <v>34797</v>
      </c>
      <c r="R51" s="451">
        <f>+Q51-'ECP20'!H84</f>
        <v>0</v>
      </c>
      <c r="S51" s="920" t="s">
        <v>498</v>
      </c>
      <c r="T51" s="931">
        <f>+Q51-'ECP20'!H84</f>
        <v>0</v>
      </c>
      <c r="U51" s="927">
        <v>34797</v>
      </c>
      <c r="V51" s="927">
        <f t="shared" si="7"/>
        <v>0</v>
      </c>
      <c r="AML51"/>
    </row>
    <row r="52" spans="1:24 1026:1026" s="408" customFormat="1">
      <c r="A52" s="461" t="s">
        <v>92</v>
      </c>
      <c r="B52" s="903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3">
        <f>+'AD ESF'!D248</f>
        <v>109973</v>
      </c>
      <c r="P52" s="903"/>
      <c r="Q52" s="473">
        <f t="shared" si="6"/>
        <v>227072.16999999998</v>
      </c>
      <c r="R52" s="451">
        <f>+Q52-'ECP20'!L84</f>
        <v>0.16999999998370185</v>
      </c>
      <c r="S52" s="920" t="s">
        <v>846</v>
      </c>
      <c r="T52" s="926">
        <f>+Q52-'ECP20'!L84</f>
        <v>0.16999999998370185</v>
      </c>
      <c r="U52" s="927">
        <v>227072</v>
      </c>
      <c r="V52" s="928">
        <f t="shared" si="7"/>
        <v>-0.16999999998370185</v>
      </c>
      <c r="AML52"/>
    </row>
    <row r="53" spans="1:24 1026:1026" s="408" customFormat="1">
      <c r="A53" s="461" t="s">
        <v>94</v>
      </c>
      <c r="B53" s="903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3"/>
      <c r="P53" s="903"/>
      <c r="Q53" s="473">
        <f t="shared" si="6"/>
        <v>324243</v>
      </c>
      <c r="R53" s="451">
        <f>+Q53-'ECP20'!J84</f>
        <v>0</v>
      </c>
      <c r="S53" s="920" t="s">
        <v>498</v>
      </c>
      <c r="T53" s="926">
        <f>+Q53-'ECP20'!J84</f>
        <v>0</v>
      </c>
      <c r="U53" s="927">
        <v>324243</v>
      </c>
      <c r="V53" s="928">
        <f t="shared" si="7"/>
        <v>0</v>
      </c>
      <c r="AML53"/>
    </row>
    <row r="54" spans="1:24 1026:1026" s="408" customFormat="1">
      <c r="A54" s="461" t="s">
        <v>524</v>
      </c>
      <c r="B54" s="903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3">
        <f>+'AD ESF'!D250+'AD ESF'!D282</f>
        <v>1580759</v>
      </c>
      <c r="P54" s="903"/>
      <c r="Q54" s="473">
        <f t="shared" si="6"/>
        <v>-0.35000000009313226</v>
      </c>
      <c r="R54" s="451"/>
      <c r="S54" s="930" t="s">
        <v>498</v>
      </c>
      <c r="T54" s="926">
        <f>+Q54-U54</f>
        <v>-0.35000000009313226</v>
      </c>
      <c r="U54" s="927">
        <v>0</v>
      </c>
      <c r="V54" s="928">
        <f t="shared" si="7"/>
        <v>0.35000000009313226</v>
      </c>
      <c r="W54" s="408" t="s">
        <v>844</v>
      </c>
      <c r="AML54"/>
    </row>
    <row r="55" spans="1:24 1026:1026" s="408" customFormat="1">
      <c r="A55" s="461" t="s">
        <v>93</v>
      </c>
      <c r="B55" s="907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3">
        <f>+'AD ESF'!D253</f>
        <v>25218</v>
      </c>
      <c r="P55" s="903"/>
      <c r="Q55" s="473">
        <f t="shared" si="6"/>
        <v>-3202430.55</v>
      </c>
      <c r="R55" s="451">
        <f>+Q55-'ECP20'!N84</f>
        <v>0.45000000018626451</v>
      </c>
      <c r="S55" s="920" t="s">
        <v>498</v>
      </c>
      <c r="T55" s="926">
        <f>+Q55-'ECP20'!N84</f>
        <v>0.45000000018626451</v>
      </c>
      <c r="U55" s="927">
        <v>-3202431</v>
      </c>
      <c r="V55" s="928">
        <f t="shared" si="7"/>
        <v>-0.45000000018626451</v>
      </c>
      <c r="AML55"/>
    </row>
    <row r="56" spans="1:24 1026:1026" s="408" customFormat="1">
      <c r="A56" s="461" t="s">
        <v>851</v>
      </c>
      <c r="B56" s="903"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903">
        <v>-3973274</v>
      </c>
      <c r="M56" s="903">
        <v>-1058874</v>
      </c>
      <c r="N56" s="474">
        <f t="shared" si="5"/>
        <v>32244315.639999993</v>
      </c>
      <c r="O56" s="903">
        <f>+Patrimonio!O64-Patrimonio!O63</f>
        <v>3484702</v>
      </c>
      <c r="P56" s="903">
        <f>+Patrimonio!P64-Patrimonio!P63</f>
        <v>7621259</v>
      </c>
      <c r="Q56" s="473">
        <f t="shared" si="6"/>
        <v>36380872.639999993</v>
      </c>
      <c r="R56" s="1057">
        <f>+Q56+Q57-'ECP20'!P84</f>
        <v>-2312.4925545752048</v>
      </c>
      <c r="S56" s="920"/>
      <c r="T56" s="926">
        <f>+Q56+Q57-'ECP20'!P84</f>
        <v>-2312.4925545752048</v>
      </c>
      <c r="U56" s="927">
        <v>34120511.763659999</v>
      </c>
      <c r="V56" s="928">
        <f t="shared" si="7"/>
        <v>-2260360.8763399944</v>
      </c>
      <c r="X56" s="1065" t="s">
        <v>895</v>
      </c>
      <c r="AML56"/>
    </row>
    <row r="57" spans="1:24 1026:1026" s="408" customFormat="1">
      <c r="A57" s="461" t="s">
        <v>525</v>
      </c>
      <c r="B57" s="903">
        <v>19151165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16866021.880000003</v>
      </c>
      <c r="O57" s="903">
        <f>+O76</f>
        <v>902562</v>
      </c>
      <c r="P57" s="903">
        <f>+P76+'AD ESF'!E270</f>
        <v>2069001</v>
      </c>
      <c r="Q57" s="473">
        <f t="shared" si="6"/>
        <v>18032460.880000003</v>
      </c>
      <c r="R57" s="889">
        <f>+Q57-Patrimonio!Q63</f>
        <v>-0.16999999806284904</v>
      </c>
      <c r="S57" s="920" t="s">
        <v>498</v>
      </c>
      <c r="T57" s="926"/>
      <c r="U57" s="928"/>
      <c r="V57" s="928"/>
      <c r="AML57"/>
    </row>
    <row r="58" spans="1:24 1026:1026" s="408" customFormat="1">
      <c r="A58" s="465" t="s">
        <v>526</v>
      </c>
      <c r="B58" s="904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4">
        <f>+'AD ESF'!D269</f>
        <v>698311</v>
      </c>
      <c r="P58" s="904">
        <f>+Patrimonio!P75</f>
        <v>7602059</v>
      </c>
      <c r="Q58" s="473">
        <f t="shared" si="6"/>
        <v>6903748</v>
      </c>
      <c r="R58" s="889">
        <f>+Q58-'ECP20'!R84</f>
        <v>-0.12611738033592701</v>
      </c>
      <c r="S58" s="920" t="s">
        <v>498</v>
      </c>
      <c r="T58" s="926">
        <f>+Q58-'ECP20'!R84</f>
        <v>-0.12611738033592701</v>
      </c>
      <c r="U58" s="927">
        <v>7602058.70634</v>
      </c>
      <c r="V58" s="928">
        <f>+U58-Q58</f>
        <v>698310.70634000003</v>
      </c>
      <c r="AML58"/>
    </row>
    <row r="59" spans="1:24 1026:1026" s="475" customFormat="1" ht="15.75" thickBot="1">
      <c r="A59" s="468" t="s">
        <v>100</v>
      </c>
      <c r="B59" s="905">
        <f>SUM(B48:B58)</f>
        <v>88307938</v>
      </c>
      <c r="C59" s="905">
        <f t="shared" ref="C59:K59" si="8">SUM(C48:C58)</f>
        <v>30132026</v>
      </c>
      <c r="D59" s="905">
        <f t="shared" si="8"/>
        <v>5030169.83</v>
      </c>
      <c r="E59" s="905">
        <f t="shared" si="8"/>
        <v>0</v>
      </c>
      <c r="F59" s="905">
        <f t="shared" si="8"/>
        <v>38502.560000000114</v>
      </c>
      <c r="G59" s="905">
        <f t="shared" si="8"/>
        <v>678203</v>
      </c>
      <c r="H59" s="905">
        <f t="shared" si="8"/>
        <v>5000</v>
      </c>
      <c r="I59" s="905">
        <f t="shared" si="8"/>
        <v>10000</v>
      </c>
      <c r="J59" s="905">
        <f t="shared" si="8"/>
        <v>1097641.4499999997</v>
      </c>
      <c r="K59" s="905">
        <f t="shared" si="8"/>
        <v>1660464</v>
      </c>
      <c r="L59" s="905">
        <f>SUM(L48:L58)</f>
        <v>499391</v>
      </c>
      <c r="M59" s="905">
        <f t="shared" ref="M59" si="9">SUM(M48:M58)</f>
        <v>-1142171</v>
      </c>
      <c r="N59" s="469">
        <f t="shared" ref="N59:Q59" si="10">SUM(N48:N58)</f>
        <v>126317164.84</v>
      </c>
      <c r="O59" s="905">
        <f t="shared" si="10"/>
        <v>57143256</v>
      </c>
      <c r="P59" s="905">
        <f t="shared" si="10"/>
        <v>17292319</v>
      </c>
      <c r="Q59" s="470">
        <f t="shared" si="10"/>
        <v>86466227.840000004</v>
      </c>
      <c r="R59" s="1022"/>
      <c r="S59" s="921"/>
      <c r="T59" s="929"/>
      <c r="U59" s="927">
        <v>88500897.469999999</v>
      </c>
      <c r="V59" s="928">
        <f>+U59-Q59</f>
        <v>2034669.6299999952</v>
      </c>
      <c r="AML59"/>
    </row>
    <row r="60" spans="1:24 1026:1026" s="475" customFormat="1" ht="15.75" thickBot="1">
      <c r="A60" s="468" t="s">
        <v>151</v>
      </c>
      <c r="B60" s="905">
        <f>+B59+B47</f>
        <v>226220008</v>
      </c>
      <c r="C60" s="905">
        <f t="shared" ref="C60:Q60" si="11">+C59+C47</f>
        <v>36315871</v>
      </c>
      <c r="D60" s="905">
        <f t="shared" si="11"/>
        <v>6839965.7800000003</v>
      </c>
      <c r="E60" s="905">
        <f t="shared" si="11"/>
        <v>0</v>
      </c>
      <c r="F60" s="905">
        <f t="shared" si="11"/>
        <v>38502.560000000114</v>
      </c>
      <c r="G60" s="905">
        <f t="shared" si="11"/>
        <v>678203</v>
      </c>
      <c r="H60" s="905">
        <f t="shared" si="11"/>
        <v>5000</v>
      </c>
      <c r="I60" s="905">
        <f t="shared" si="11"/>
        <v>25700</v>
      </c>
      <c r="J60" s="905">
        <f t="shared" si="11"/>
        <v>1097641.4499999997</v>
      </c>
      <c r="K60" s="905">
        <f t="shared" si="11"/>
        <v>3135700</v>
      </c>
      <c r="L60" s="977">
        <f t="shared" si="11"/>
        <v>1344307</v>
      </c>
      <c r="M60" s="905">
        <f t="shared" si="11"/>
        <v>152431</v>
      </c>
      <c r="N60" s="905">
        <f t="shared" si="11"/>
        <v>275853329.78999996</v>
      </c>
      <c r="O60" s="905">
        <f t="shared" si="11"/>
        <v>68439583</v>
      </c>
      <c r="P60" s="905">
        <f t="shared" si="11"/>
        <v>17822098</v>
      </c>
      <c r="Q60" s="905">
        <f t="shared" si="11"/>
        <v>225235844.78999999</v>
      </c>
      <c r="R60" s="1022"/>
      <c r="S60" s="921"/>
      <c r="T60" s="929"/>
      <c r="U60" s="927"/>
      <c r="V60" s="928"/>
      <c r="AML60"/>
    </row>
    <row r="61" spans="1:24 1026:1026" s="980" customFormat="1" ht="9.75">
      <c r="A61" s="978"/>
      <c r="B61" s="1017">
        <f t="shared" ref="B61:Q61" si="12">+B26-B47-B59</f>
        <v>0</v>
      </c>
      <c r="C61" s="1018">
        <f t="shared" si="12"/>
        <v>0</v>
      </c>
      <c r="D61" s="1018">
        <f t="shared" si="12"/>
        <v>0</v>
      </c>
      <c r="E61" s="1018">
        <f t="shared" si="12"/>
        <v>0</v>
      </c>
      <c r="F61" s="1018">
        <f t="shared" si="12"/>
        <v>-1.1641532182693481E-10</v>
      </c>
      <c r="G61" s="1018">
        <f t="shared" si="12"/>
        <v>0</v>
      </c>
      <c r="H61" s="1018">
        <f t="shared" si="12"/>
        <v>0</v>
      </c>
      <c r="I61" s="1018">
        <f t="shared" si="12"/>
        <v>0</v>
      </c>
      <c r="J61" s="1018">
        <f t="shared" si="12"/>
        <v>0</v>
      </c>
      <c r="K61" s="1018">
        <f t="shared" si="12"/>
        <v>0</v>
      </c>
      <c r="L61" s="1018">
        <f t="shared" si="12"/>
        <v>0</v>
      </c>
      <c r="M61" s="1018">
        <f t="shared" si="12"/>
        <v>0</v>
      </c>
      <c r="N61" s="1018">
        <f t="shared" si="12"/>
        <v>0</v>
      </c>
      <c r="O61" s="979">
        <f>+O26+O47+O59</f>
        <v>71486942</v>
      </c>
      <c r="P61" s="979">
        <f>+P26+P47+P59</f>
        <v>71486942</v>
      </c>
      <c r="Q61" s="1016">
        <f t="shared" si="12"/>
        <v>0</v>
      </c>
      <c r="S61" s="981"/>
      <c r="T61" s="981"/>
      <c r="U61" s="889"/>
      <c r="V61" s="982"/>
      <c r="AML61" s="938"/>
    </row>
    <row r="62" spans="1:24 1026:1026" s="414" customFormat="1">
      <c r="A62" s="480"/>
      <c r="B62" s="908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40"/>
      <c r="P62" s="941">
        <f>+O61-P61</f>
        <v>0</v>
      </c>
      <c r="Q62" s="483"/>
      <c r="R62" s="980"/>
      <c r="S62" s="483"/>
      <c r="T62" s="483"/>
      <c r="U62" s="889"/>
      <c r="V62" s="481"/>
      <c r="AML62"/>
    </row>
    <row r="63" spans="1:24 1026:1026" s="460" customFormat="1" ht="36">
      <c r="A63" s="458" t="s">
        <v>527</v>
      </c>
      <c r="B63" s="909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6" t="s">
        <v>18</v>
      </c>
      <c r="P63" s="956" t="s">
        <v>19</v>
      </c>
      <c r="Q63" s="957" t="s">
        <v>513</v>
      </c>
      <c r="R63" s="1023"/>
      <c r="S63" s="769"/>
      <c r="T63" s="769"/>
      <c r="U63" s="890"/>
      <c r="AML63"/>
    </row>
    <row r="64" spans="1:24 1026:1026">
      <c r="A64" s="465" t="s">
        <v>101</v>
      </c>
      <c r="B64" s="910">
        <v>205835336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211519899.90000001</v>
      </c>
      <c r="O64" s="942">
        <f>+'AD ERI'!D38</f>
        <v>902562</v>
      </c>
      <c r="P64" s="943"/>
      <c r="Q64" s="486">
        <f>N64-O64+P64</f>
        <v>210617337.90000001</v>
      </c>
      <c r="S64" s="922"/>
      <c r="T64" s="922"/>
    </row>
    <row r="65" spans="1:1026">
      <c r="A65" s="472" t="s">
        <v>102</v>
      </c>
      <c r="B65" s="911">
        <v>-93087412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-99162677.700000003</v>
      </c>
      <c r="O65" s="944"/>
      <c r="P65" s="945">
        <f>+'AD ERI'!E39</f>
        <v>902562</v>
      </c>
      <c r="Q65" s="489">
        <f>N65-O65+P65</f>
        <v>-98260115.700000003</v>
      </c>
      <c r="S65" s="922"/>
      <c r="T65" s="922"/>
    </row>
    <row r="66" spans="1:1026" s="405" customFormat="1">
      <c r="A66" s="490" t="s">
        <v>103</v>
      </c>
      <c r="B66" s="912">
        <f t="shared" ref="B66:N66" si="13">SUM(B64:B65)</f>
        <v>112747924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112357222.2</v>
      </c>
      <c r="O66" s="946"/>
      <c r="P66" s="946"/>
      <c r="Q66" s="492">
        <f>SUM(Q64:Q65)</f>
        <v>112357222.2</v>
      </c>
      <c r="R66" s="1024"/>
      <c r="S66" s="923"/>
      <c r="T66" s="923"/>
      <c r="U66" s="894"/>
      <c r="AML66"/>
    </row>
    <row r="67" spans="1:1026">
      <c r="A67" s="493" t="s">
        <v>104</v>
      </c>
      <c r="B67" s="913">
        <v>-78565101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-79963126.739999995</v>
      </c>
      <c r="O67" s="943"/>
      <c r="P67" s="942"/>
      <c r="Q67" s="486">
        <f>N67-O67+P67</f>
        <v>-79963126.739999995</v>
      </c>
      <c r="S67" s="922"/>
      <c r="T67" s="922"/>
    </row>
    <row r="68" spans="1:1026">
      <c r="A68" s="472" t="s">
        <v>105</v>
      </c>
      <c r="B68" s="911">
        <v>-501019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-834851.41</v>
      </c>
      <c r="O68" s="944"/>
      <c r="P68" s="945">
        <f>+'AD ESF'!E318</f>
        <v>468128</v>
      </c>
      <c r="Q68" s="489">
        <f>N68-O68+P68</f>
        <v>-366723.41000000003</v>
      </c>
      <c r="S68" s="922"/>
      <c r="T68" s="922"/>
    </row>
    <row r="69" spans="1:1026" s="405" customFormat="1">
      <c r="A69" s="490" t="s">
        <v>107</v>
      </c>
      <c r="B69" s="912">
        <f t="shared" ref="B69:N69" si="14">SUM(B66:B68)</f>
        <v>33681804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31559244.050000008</v>
      </c>
      <c r="O69" s="946"/>
      <c r="P69" s="946"/>
      <c r="Q69" s="492">
        <f>SUM(Q66:Q68)</f>
        <v>32027372.050000008</v>
      </c>
      <c r="R69" s="1024"/>
      <c r="S69" s="923"/>
      <c r="T69" s="923"/>
      <c r="U69" s="894"/>
      <c r="AML69"/>
    </row>
    <row r="70" spans="1:1026">
      <c r="A70" s="472" t="s">
        <v>108</v>
      </c>
      <c r="B70" s="911">
        <v>-1888989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-1897461</v>
      </c>
      <c r="O70" s="944"/>
      <c r="P70" s="944"/>
      <c r="Q70" s="489">
        <f>N70-O70+P70</f>
        <v>-1897461</v>
      </c>
      <c r="S70" s="922"/>
      <c r="T70" s="922"/>
    </row>
    <row r="71" spans="1:1026" s="405" customFormat="1">
      <c r="A71" s="490" t="s">
        <v>109</v>
      </c>
      <c r="B71" s="912">
        <f t="shared" ref="B71:N71" si="15">+B69+B70</f>
        <v>31792815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29661783.050000008</v>
      </c>
      <c r="O71" s="947"/>
      <c r="P71" s="947"/>
      <c r="Q71" s="492">
        <f>+Q69+Q70</f>
        <v>30129911.050000008</v>
      </c>
      <c r="R71" s="1024"/>
      <c r="S71" s="923"/>
      <c r="T71" s="923"/>
      <c r="U71" s="894"/>
      <c r="AML71"/>
    </row>
    <row r="72" spans="1:1026">
      <c r="A72" s="493" t="s">
        <v>110</v>
      </c>
      <c r="B72" s="913">
        <v>-4768922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-4837640</v>
      </c>
      <c r="O72" s="943"/>
      <c r="P72" s="943"/>
      <c r="Q72" s="486">
        <f>N72-O72+P72</f>
        <v>-4837640</v>
      </c>
      <c r="S72" s="922"/>
      <c r="T72" s="922"/>
    </row>
    <row r="73" spans="1:1026">
      <c r="A73" s="472" t="s">
        <v>111</v>
      </c>
      <c r="B73" s="911">
        <v>-7872728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-7958121</v>
      </c>
      <c r="O73" s="948"/>
      <c r="P73" s="944"/>
      <c r="Q73" s="489">
        <f>N73-O73+P73</f>
        <v>-7958121</v>
      </c>
      <c r="S73" s="922"/>
      <c r="T73" s="922"/>
    </row>
    <row r="74" spans="1:1026" s="405" customFormat="1">
      <c r="A74" s="490" t="s">
        <v>112</v>
      </c>
      <c r="B74" s="912">
        <f t="shared" ref="B74:G74" si="16">+B71+B72+B73</f>
        <v>19151165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16866022.050000008</v>
      </c>
      <c r="O74" s="949"/>
      <c r="P74" s="949"/>
      <c r="Q74" s="496">
        <f>+Q71+Q72+Q73</f>
        <v>17334150.050000008</v>
      </c>
      <c r="R74" s="1024"/>
      <c r="S74" s="924"/>
      <c r="T74" s="924"/>
      <c r="U74" s="894"/>
      <c r="AML74"/>
    </row>
    <row r="75" spans="1:1026">
      <c r="A75" s="497" t="s">
        <v>113</v>
      </c>
      <c r="B75" s="914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50"/>
      <c r="P75" s="950"/>
      <c r="Q75" s="500">
        <f>N75-O75+P75</f>
        <v>0</v>
      </c>
      <c r="S75" s="922"/>
      <c r="T75" s="922"/>
    </row>
    <row r="76" spans="1:1026" s="460" customFormat="1">
      <c r="A76" s="501" t="s">
        <v>98</v>
      </c>
      <c r="B76" s="915">
        <f t="shared" ref="B76:N76" si="17">B74+B75</f>
        <v>19151165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16866022.050000008</v>
      </c>
      <c r="O76" s="915">
        <f>SUM(O64:O75)</f>
        <v>902562</v>
      </c>
      <c r="P76" s="915">
        <f>SUM(P64:P75)</f>
        <v>1370690</v>
      </c>
      <c r="Q76" s="503">
        <f>Q74+Q75</f>
        <v>17334150.050000008</v>
      </c>
      <c r="R76" s="1020"/>
      <c r="S76" s="924"/>
      <c r="T76" s="924"/>
      <c r="U76" s="890"/>
      <c r="AML76"/>
    </row>
    <row r="77" spans="1:1026">
      <c r="A77" s="504"/>
      <c r="B77" s="916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6"/>
      <c r="P77" s="916"/>
      <c r="Q77" s="428"/>
      <c r="S77" s="428"/>
      <c r="T77" s="428"/>
    </row>
    <row r="78" spans="1:1026" s="938" customFormat="1" ht="9.75">
      <c r="A78" s="935"/>
      <c r="B78" s="936">
        <f t="shared" ref="B78:N78" si="18">+B59+B47-B26</f>
        <v>0</v>
      </c>
      <c r="C78" s="937">
        <f t="shared" si="18"/>
        <v>0</v>
      </c>
      <c r="D78" s="937">
        <f t="shared" si="18"/>
        <v>0</v>
      </c>
      <c r="E78" s="937">
        <f t="shared" si="18"/>
        <v>0</v>
      </c>
      <c r="F78" s="937">
        <f t="shared" si="18"/>
        <v>1.1641532182693481E-10</v>
      </c>
      <c r="G78" s="937">
        <f t="shared" si="18"/>
        <v>0</v>
      </c>
      <c r="H78" s="937">
        <f t="shared" si="18"/>
        <v>0</v>
      </c>
      <c r="I78" s="937">
        <f t="shared" si="18"/>
        <v>0</v>
      </c>
      <c r="J78" s="937">
        <f t="shared" si="18"/>
        <v>0</v>
      </c>
      <c r="K78" s="937">
        <f t="shared" si="18"/>
        <v>0</v>
      </c>
      <c r="L78" s="937">
        <f t="shared" si="18"/>
        <v>0</v>
      </c>
      <c r="M78" s="937">
        <f t="shared" si="18"/>
        <v>0</v>
      </c>
      <c r="N78" s="937">
        <f t="shared" si="18"/>
        <v>0</v>
      </c>
      <c r="O78" s="936"/>
      <c r="P78" s="936"/>
      <c r="Q78" s="936">
        <f>+Q59+Q47-Q26</f>
        <v>0</v>
      </c>
      <c r="R78" s="406"/>
      <c r="S78" s="937"/>
      <c r="T78" s="937"/>
      <c r="U78" s="889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6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6"/>
      <c r="P79" s="916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19151165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17566645.178671967</v>
      </c>
      <c r="O80" s="951">
        <f>+O68+O64</f>
        <v>902562</v>
      </c>
      <c r="P80" s="951">
        <f>P65+P68+P67</f>
        <v>1370690</v>
      </c>
      <c r="Q80" s="507">
        <f>+N80-O80+P80</f>
        <v>18034773.178671967</v>
      </c>
      <c r="S80" s="925"/>
      <c r="T80" s="925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952"/>
      <c r="P81" s="952"/>
      <c r="Q81" s="510">
        <f>+N81-O81+P81</f>
        <v>-700623.12867196836</v>
      </c>
      <c r="R81" s="1025"/>
      <c r="S81" s="925"/>
      <c r="T81" s="925"/>
      <c r="W81" s="408"/>
    </row>
    <row r="82" spans="1:23">
      <c r="A82" s="511"/>
      <c r="B82" s="512">
        <f>+B80+B81</f>
        <v>19151165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16866022.049999997</v>
      </c>
      <c r="O82" s="953">
        <f t="shared" si="20"/>
        <v>902562</v>
      </c>
      <c r="P82" s="953">
        <f t="shared" si="20"/>
        <v>1370690</v>
      </c>
      <c r="Q82" s="512">
        <f t="shared" si="20"/>
        <v>17334150.049999997</v>
      </c>
      <c r="S82" s="925"/>
      <c r="T82" s="925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6"/>
      <c r="P83" s="916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6"/>
      <c r="P84" s="954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48" zoomScaleNormal="100" workbookViewId="0">
      <selection activeCell="C259" sqref="C259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858</v>
      </c>
      <c r="D136" s="529" t="s">
        <v>216</v>
      </c>
      <c r="E136" s="529" t="s">
        <v>459</v>
      </c>
    </row>
    <row r="137" spans="2:6" hidden="1" outlineLevel="1">
      <c r="C137" s="963" t="s">
        <v>172</v>
      </c>
      <c r="D137" s="964">
        <f>+D94+D82+D77+D68+D56+D40+D32+D23+D16+D4</f>
        <v>4753717</v>
      </c>
      <c r="E137" s="531"/>
    </row>
    <row r="138" spans="2:6" hidden="1" outlineLevel="1">
      <c r="C138" s="963" t="s">
        <v>90</v>
      </c>
      <c r="D138" s="964">
        <f>+D24+D57</f>
        <v>74927</v>
      </c>
      <c r="E138" s="531"/>
    </row>
    <row r="139" spans="2:6" hidden="1" outlineLevel="1">
      <c r="C139" s="963" t="s">
        <v>92</v>
      </c>
      <c r="D139" s="964">
        <f>+D17+D33+D69</f>
        <v>111199</v>
      </c>
      <c r="E139" s="531"/>
    </row>
    <row r="140" spans="2:6" hidden="1" outlineLevel="1">
      <c r="C140" s="963" t="s">
        <v>469</v>
      </c>
      <c r="D140" s="964">
        <f>+D5+D34+D41+D58+D83+D95</f>
        <v>31237644</v>
      </c>
      <c r="E140" s="531"/>
    </row>
    <row r="141" spans="2:6" hidden="1" outlineLevel="1">
      <c r="C141" s="963" t="s">
        <v>574</v>
      </c>
      <c r="D141" s="964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3" t="s">
        <v>575</v>
      </c>
      <c r="D144" s="964"/>
      <c r="E144" s="964">
        <f>+E100-82150</f>
        <v>-25218</v>
      </c>
    </row>
    <row r="145" spans="3:6" hidden="1" outlineLevel="1">
      <c r="C145" s="963" t="s">
        <v>576</v>
      </c>
      <c r="D145" s="964"/>
      <c r="E145" s="964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963" t="s">
        <v>580</v>
      </c>
      <c r="D152" s="964">
        <v>1378712</v>
      </c>
      <c r="E152" s="531"/>
      <c r="F152" s="525">
        <f>-E154</f>
        <v>-1138228</v>
      </c>
    </row>
    <row r="153" spans="3:6" hidden="1" outlineLevel="1">
      <c r="C153" s="963" t="s">
        <v>581</v>
      </c>
      <c r="D153" s="964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963" t="s">
        <v>576</v>
      </c>
      <c r="D155" s="964"/>
      <c r="E155" s="964">
        <v>201038</v>
      </c>
      <c r="F155" s="525"/>
    </row>
    <row r="156" spans="3:6" hidden="1" outlineLevel="1">
      <c r="C156" s="963" t="s">
        <v>583</v>
      </c>
      <c r="D156" s="964"/>
      <c r="E156" s="964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5" t="s">
        <v>593</v>
      </c>
      <c r="D177" s="964"/>
      <c r="E177" s="964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58" t="s">
        <v>469</v>
      </c>
      <c r="D196" s="959">
        <v>3608585</v>
      </c>
      <c r="E196" s="411"/>
      <c r="F196" s="525">
        <f>-D196-D197-D198</f>
        <v>-4568947</v>
      </c>
      <c r="G196" s="525"/>
    </row>
    <row r="197" spans="3:7" hidden="1" outlineLevel="1">
      <c r="C197" s="958" t="s">
        <v>149</v>
      </c>
      <c r="D197" s="959">
        <f>+'Saldos interco.'!C24</f>
        <v>950362</v>
      </c>
      <c r="E197" s="411"/>
      <c r="G197" s="525"/>
    </row>
    <row r="198" spans="3:7" hidden="1" outlineLevel="1">
      <c r="C198" s="958" t="s">
        <v>172</v>
      </c>
      <c r="D198" s="959">
        <f>+'Saldos interco.'!C50</f>
        <v>10000</v>
      </c>
      <c r="E198" s="411"/>
    </row>
    <row r="199" spans="3:7" hidden="1" outlineLevel="1">
      <c r="C199" s="850" t="s">
        <v>464</v>
      </c>
      <c r="D199" s="851">
        <v>96880</v>
      </c>
      <c r="E199" s="849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60" t="s">
        <v>494</v>
      </c>
      <c r="D202" s="897"/>
      <c r="E202" s="961">
        <v>1068329</v>
      </c>
    </row>
    <row r="203" spans="3:7" hidden="1" outlineLevel="1">
      <c r="C203" s="960" t="s">
        <v>495</v>
      </c>
      <c r="D203" s="897"/>
      <c r="E203" s="961">
        <f>+'Saldos interco.'!D55</f>
        <v>1193125</v>
      </c>
    </row>
    <row r="204" spans="3:7" hidden="1" outlineLevel="1">
      <c r="C204" s="960" t="s">
        <v>496</v>
      </c>
      <c r="D204" s="897"/>
      <c r="E204" s="962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5" t="s">
        <v>603</v>
      </c>
      <c r="D210" s="964"/>
      <c r="E210" s="964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821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5" t="s">
        <v>616</v>
      </c>
      <c r="D232" s="964"/>
      <c r="E232" s="964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817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845" t="s">
        <v>172</v>
      </c>
      <c r="D246" s="846">
        <f>D137-E223-E189</f>
        <v>4743717</v>
      </c>
      <c r="E246" s="846"/>
    </row>
    <row r="247" spans="2:6">
      <c r="C247" s="845" t="s">
        <v>90</v>
      </c>
      <c r="D247" s="846">
        <f>D138-E224</f>
        <v>500</v>
      </c>
      <c r="E247" s="846"/>
    </row>
    <row r="248" spans="2:6">
      <c r="C248" s="845" t="s">
        <v>92</v>
      </c>
      <c r="D248" s="846">
        <f>D139-E225</f>
        <v>109973</v>
      </c>
      <c r="E248" s="846"/>
    </row>
    <row r="249" spans="2:6">
      <c r="C249" s="845" t="s">
        <v>469</v>
      </c>
      <c r="D249" s="846">
        <f>+D140</f>
        <v>31237644</v>
      </c>
      <c r="E249" s="846"/>
    </row>
    <row r="250" spans="2:6">
      <c r="C250" s="845" t="s">
        <v>574</v>
      </c>
      <c r="D250" s="846">
        <f>D141+D152-E177</f>
        <v>1502112</v>
      </c>
      <c r="E250" s="846"/>
    </row>
    <row r="251" spans="2:6">
      <c r="C251" s="845" t="s">
        <v>50</v>
      </c>
      <c r="D251" s="846">
        <f>D142-E154+D175</f>
        <v>47450</v>
      </c>
      <c r="E251" s="846"/>
    </row>
    <row r="252" spans="2:6">
      <c r="C252" s="845" t="s">
        <v>54</v>
      </c>
      <c r="D252" s="846">
        <f>D143+D176</f>
        <v>472983</v>
      </c>
      <c r="E252" s="846"/>
    </row>
    <row r="253" spans="2:6">
      <c r="C253" s="845" t="s">
        <v>822</v>
      </c>
      <c r="D253" s="846">
        <v>25218</v>
      </c>
      <c r="E253" s="846"/>
    </row>
    <row r="254" spans="2:6">
      <c r="C254" s="845" t="s">
        <v>820</v>
      </c>
      <c r="D254" s="846"/>
      <c r="E254" s="846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45" t="s">
        <v>577</v>
      </c>
      <c r="D256" s="846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836</v>
      </c>
      <c r="D263" s="548">
        <f>D163+D183</f>
        <v>0</v>
      </c>
      <c r="E263" s="548">
        <f>E163+E183</f>
        <v>3035183</v>
      </c>
    </row>
    <row r="264" spans="3:6">
      <c r="C264" s="538" t="s">
        <v>845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7" t="s">
        <v>585</v>
      </c>
      <c r="D267" s="522"/>
      <c r="E267" s="522"/>
      <c r="F267" s="525"/>
    </row>
    <row r="268" spans="3:6" ht="24.75">
      <c r="C268" s="536" t="s">
        <v>864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865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7" t="s">
        <v>588</v>
      </c>
      <c r="D273" s="522"/>
      <c r="E273" s="522"/>
      <c r="F273" s="525"/>
    </row>
    <row r="274" spans="3:6" ht="24.75">
      <c r="C274" s="536" t="s">
        <v>818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819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7" t="s">
        <v>590</v>
      </c>
      <c r="D279" s="522"/>
      <c r="E279" s="522"/>
      <c r="F279" s="525"/>
    </row>
    <row r="280" spans="3:6" ht="24.75">
      <c r="C280" s="536" t="s">
        <v>847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848</v>
      </c>
      <c r="D282" s="531">
        <v>78647</v>
      </c>
      <c r="E282" s="531"/>
      <c r="F282" s="525"/>
    </row>
    <row r="283" spans="3:6">
      <c r="C283" s="538" t="s">
        <v>849</v>
      </c>
      <c r="D283" s="531">
        <v>2008798</v>
      </c>
      <c r="E283" s="531"/>
      <c r="F283" s="525"/>
    </row>
    <row r="284" spans="3:6">
      <c r="C284" s="859" t="s">
        <v>582</v>
      </c>
      <c r="D284" s="860"/>
      <c r="E284" s="860">
        <f>2081441+6004</f>
        <v>2087445</v>
      </c>
      <c r="F284" s="525"/>
    </row>
    <row r="285" spans="3:6">
      <c r="C285" s="538" t="s">
        <v>820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7" t="s">
        <v>594</v>
      </c>
      <c r="D288" s="522"/>
      <c r="E288" s="522"/>
      <c r="F288" s="525"/>
    </row>
    <row r="289" spans="3:6" ht="24.75">
      <c r="C289" s="536" t="s">
        <v>850</v>
      </c>
      <c r="D289" s="537" t="s">
        <v>216</v>
      </c>
      <c r="E289" s="529" t="s">
        <v>459</v>
      </c>
      <c r="F289" s="525"/>
    </row>
    <row r="290" spans="3:6">
      <c r="C290" s="859" t="s">
        <v>54</v>
      </c>
      <c r="D290" s="860">
        <v>50000</v>
      </c>
      <c r="E290" s="531"/>
      <c r="F290" s="525"/>
    </row>
    <row r="291" spans="3:6">
      <c r="C291" s="538" t="s">
        <v>820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7" t="s">
        <v>597</v>
      </c>
      <c r="D294" s="522"/>
      <c r="E294" s="522"/>
      <c r="F294" s="525"/>
    </row>
    <row r="295" spans="3:6" ht="24.75">
      <c r="C295" s="536" t="s">
        <v>859</v>
      </c>
      <c r="D295" s="537" t="s">
        <v>216</v>
      </c>
      <c r="E295" s="529" t="s">
        <v>459</v>
      </c>
      <c r="F295" s="525"/>
    </row>
    <row r="296" spans="3:6">
      <c r="C296" s="859" t="s">
        <v>701</v>
      </c>
      <c r="D296" s="860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860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651898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8361492</v>
      </c>
      <c r="E303" s="411"/>
    </row>
    <row r="304" spans="3:6">
      <c r="C304" s="440" t="s">
        <v>862</v>
      </c>
      <c r="D304" s="441">
        <f>+'Saldos interco.'!C41+'Saldos interco.'!C42</f>
        <v>858829</v>
      </c>
      <c r="E304" s="411"/>
    </row>
    <row r="305" spans="3:6">
      <c r="C305" s="960" t="s">
        <v>172</v>
      </c>
      <c r="D305" s="961">
        <f>+'Saldos interco.'!C50</f>
        <v>10000</v>
      </c>
      <c r="E305" s="897"/>
    </row>
    <row r="306" spans="3:6">
      <c r="C306" s="850" t="s">
        <v>483</v>
      </c>
      <c r="D306" s="849">
        <f>+'Saldos interco.'!C54+'Saldos interco.'!C66-'Saldos interco.'!D25-'Saldos interco.'!D33</f>
        <v>894327</v>
      </c>
      <c r="E306" s="967"/>
    </row>
    <row r="307" spans="3:6">
      <c r="C307" s="960" t="s">
        <v>149</v>
      </c>
      <c r="D307" s="968">
        <v>950362</v>
      </c>
      <c r="E307" s="967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861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960" t="s">
        <v>495</v>
      </c>
      <c r="D311" s="897"/>
      <c r="E311" s="961">
        <f>+'Saldos interco.'!D55</f>
        <v>1193125</v>
      </c>
    </row>
    <row r="312" spans="3:6">
      <c r="C312" s="960" t="s">
        <v>496</v>
      </c>
      <c r="D312" s="897"/>
      <c r="E312" s="962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966"/>
      <c r="E314" s="966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866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859" t="s">
        <v>603</v>
      </c>
      <c r="D318" s="860"/>
      <c r="E318" s="860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10" activePane="bottomLeft" state="frozen"/>
      <selection pane="bottomLeft" activeCell="I10" sqref="I10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A25" zoomScaleNormal="100" workbookViewId="0">
      <selection activeCell="F60" sqref="F60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1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0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626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626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627</v>
      </c>
      <c r="B2" s="584" t="s">
        <v>628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629</v>
      </c>
      <c r="P2" s="584" t="s">
        <v>628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630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631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632</v>
      </c>
      <c r="B5" s="605">
        <v>6</v>
      </c>
      <c r="C5" s="606">
        <f>'Planilla final'!Q5</f>
        <v>19929759.489999998</v>
      </c>
      <c r="D5" s="598">
        <f t="shared" ref="D5:D14" si="0">F5-C5</f>
        <v>-14043785.489999998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633</v>
      </c>
      <c r="P5" s="582"/>
      <c r="Q5" s="612">
        <f>'Planilla final'!Q27</f>
        <v>0</v>
      </c>
      <c r="R5" s="613">
        <f>+Q5-T5</f>
        <v>-74044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>
        <v>-3155765</v>
      </c>
      <c r="AC5" s="619"/>
      <c r="AD5" s="620"/>
      <c r="AE5" s="620"/>
    </row>
    <row r="6" spans="1:31" ht="12" customHeight="1">
      <c r="A6" s="604" t="s">
        <v>634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2936628</v>
      </c>
      <c r="R6" s="613">
        <f t="shared" ref="R6:R14" si="1">+Q6-T6</f>
        <v>-448485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635</v>
      </c>
      <c r="P7" s="582">
        <v>19</v>
      </c>
      <c r="Q7" s="612">
        <f>'Planilla final'!Q29</f>
        <v>7029610.0199999996</v>
      </c>
      <c r="R7" s="613">
        <f t="shared" si="1"/>
        <v>4544879.0199999996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636</v>
      </c>
      <c r="B8" s="605">
        <v>8</v>
      </c>
      <c r="C8" s="606">
        <f>'Planilla final'!Q8</f>
        <v>15810074.74</v>
      </c>
      <c r="D8" s="598">
        <f t="shared" si="0"/>
        <v>-4723519.74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637</v>
      </c>
      <c r="P8" s="582">
        <v>20</v>
      </c>
      <c r="Q8" s="612">
        <f>'Planilla final'!Q30</f>
        <v>26254994</v>
      </c>
      <c r="R8" s="613">
        <f t="shared" si="1"/>
        <v>3714995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638</v>
      </c>
      <c r="B9" s="605">
        <v>21</v>
      </c>
      <c r="C9" s="606">
        <f>'Planilla final'!Q9</f>
        <v>37224114.149999999</v>
      </c>
      <c r="D9" s="598">
        <f t="shared" si="0"/>
        <v>-5420371.1499999985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638</v>
      </c>
      <c r="P9" s="582">
        <v>21</v>
      </c>
      <c r="Q9" s="612">
        <f>'Planilla final'!Q31</f>
        <v>641922.08999999985</v>
      </c>
      <c r="R9" s="613">
        <f t="shared" si="1"/>
        <v>-1102575.9100000001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5830961.7599999998</v>
      </c>
      <c r="D10" s="598">
        <f t="shared" si="0"/>
        <v>-5308932.76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12494757</v>
      </c>
      <c r="R10" s="613">
        <f t="shared" si="1"/>
        <v>4661337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6482831</v>
      </c>
      <c r="D11" s="598">
        <f t="shared" si="0"/>
        <v>11215256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5590504.5300000003</v>
      </c>
      <c r="R11" s="613">
        <f t="shared" si="1"/>
        <v>1409500.5300000003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1761314</v>
      </c>
      <c r="D12" s="598">
        <f t="shared" si="0"/>
        <v>-1008270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839</v>
      </c>
      <c r="P12" s="582">
        <v>26</v>
      </c>
      <c r="Q12" s="612">
        <f>'Planilla final'!Q34</f>
        <v>4578384</v>
      </c>
      <c r="R12" s="613">
        <f t="shared" si="1"/>
        <v>-3097550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28453869.379999999</v>
      </c>
      <c r="D13" s="598">
        <f t="shared" si="0"/>
        <v>462096.62000000104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639</v>
      </c>
      <c r="P13" s="622">
        <v>17</v>
      </c>
      <c r="Q13" s="623">
        <f>'Planilla final'!Q36</f>
        <v>1574195</v>
      </c>
      <c r="R13" s="613">
        <f t="shared" si="1"/>
        <v>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867</v>
      </c>
      <c r="B14" s="625"/>
      <c r="C14" s="976">
        <f>+'Planilla final'!Q14</f>
        <v>413564</v>
      </c>
      <c r="D14" s="598">
        <f t="shared" si="0"/>
        <v>-413564</v>
      </c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9968238.0800000001</v>
      </c>
      <c r="R14" s="613">
        <f t="shared" si="1"/>
        <v>2068445.08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640</v>
      </c>
      <c r="B15" s="605"/>
      <c r="C15" s="975">
        <f>SUM(C5:C14)</f>
        <v>119035049.52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641</v>
      </c>
      <c r="P15" s="633"/>
      <c r="Q15" s="628">
        <f>SUM(Q5:Q14)</f>
        <v>71069232.719999999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642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643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4645673</v>
      </c>
      <c r="D18" s="598">
        <f t="shared" ref="D18:D27" si="2">F18-C18</f>
        <v>-4284809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644</v>
      </c>
      <c r="P18" s="633">
        <v>18</v>
      </c>
      <c r="Q18" s="636">
        <f>'Planilla final'!Q38</f>
        <v>1645615</v>
      </c>
      <c r="R18" s="613">
        <f t="shared" ref="R18:R26" si="3">+Q18-T18</f>
        <v>-8390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638</v>
      </c>
      <c r="B19" s="605">
        <v>21</v>
      </c>
      <c r="C19" s="606">
        <f>'Planilla final'!Q15</f>
        <v>0</v>
      </c>
      <c r="D19" s="598">
        <f t="shared" si="2"/>
        <v>2077739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645</v>
      </c>
      <c r="B20" s="605">
        <v>12</v>
      </c>
      <c r="C20" s="606">
        <f>'Planilla final'!Q17+'Planilla final'!Q18</f>
        <v>78965096.439999998</v>
      </c>
      <c r="D20" s="598">
        <f t="shared" si="2"/>
        <v>6967974.5600000024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637</v>
      </c>
      <c r="P20" s="582">
        <v>20</v>
      </c>
      <c r="Q20" s="612">
        <f>'Planilla final'!Q40</f>
        <v>0</v>
      </c>
      <c r="R20" s="613">
        <f t="shared" si="3"/>
        <v>0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646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638</v>
      </c>
      <c r="P21" s="582">
        <v>21</v>
      </c>
      <c r="Q21" s="612">
        <f>'Planilla final'!Q41</f>
        <v>693806.23000000045</v>
      </c>
      <c r="R21" s="613">
        <f t="shared" si="3"/>
        <v>187048.23000000045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647</v>
      </c>
      <c r="B22" s="605">
        <v>14</v>
      </c>
      <c r="C22" s="606">
        <f>'Planilla final'!Q20</f>
        <v>11598541</v>
      </c>
      <c r="D22" s="598">
        <f t="shared" si="2"/>
        <v>635543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1141591</v>
      </c>
      <c r="R22" s="613">
        <f t="shared" si="3"/>
        <v>-12273597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0</v>
      </c>
      <c r="D23" s="598">
        <f t="shared" si="2"/>
        <v>1673584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879</v>
      </c>
      <c r="P23" s="582">
        <v>28</v>
      </c>
      <c r="Q23" s="612">
        <f>'Planilla final'!Q43</f>
        <v>7332501</v>
      </c>
      <c r="R23" s="613">
        <f t="shared" si="3"/>
        <v>-910979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4056030</v>
      </c>
      <c r="D24" s="598">
        <f t="shared" si="2"/>
        <v>-469628.5299999998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76</v>
      </c>
      <c r="P24" s="582">
        <v>26</v>
      </c>
      <c r="Q24" s="612">
        <f>+'Planilla final'!Q37</f>
        <v>45106525</v>
      </c>
      <c r="R24" s="613">
        <f t="shared" si="3"/>
        <v>11250279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1737355.1799999997</v>
      </c>
      <c r="D25" s="598">
        <f t="shared" si="2"/>
        <v>-1735755.1799999997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648</v>
      </c>
      <c r="P25" s="582">
        <v>17</v>
      </c>
      <c r="Q25" s="612">
        <f>'Planilla final'!Q44</f>
        <v>2542451</v>
      </c>
      <c r="R25" s="613">
        <f t="shared" si="3"/>
        <v>-261708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841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649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67700384.230000004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650</v>
      </c>
      <c r="B28" s="605"/>
      <c r="C28" s="628">
        <f>SUM(C18:C27)</f>
        <v>106200795.27000001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138769616.94999999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651</v>
      </c>
      <c r="P30" s="633"/>
      <c r="Q30" s="408">
        <f>'Planilla final'!Q59</f>
        <v>86466227.840000004</v>
      </c>
      <c r="R30" s="613">
        <f>+Q30-T30</f>
        <v>-2034669.6299999952</v>
      </c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652</v>
      </c>
      <c r="B32" s="605"/>
      <c r="C32" s="660">
        <f>C15+C28</f>
        <v>225235844.79000002</v>
      </c>
      <c r="D32" s="1031">
        <f>SUM(D5:D31)</f>
        <v>-14336874.319999989</v>
      </c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653</v>
      </c>
      <c r="P32" s="661"/>
      <c r="Q32" s="660">
        <f>Q28+Q30</f>
        <v>225235844.78999999</v>
      </c>
      <c r="R32" s="1031">
        <f>SUM(R5:R31)</f>
        <v>14336874.320000004</v>
      </c>
      <c r="S32" s="661"/>
      <c r="T32" s="660">
        <v>210898970.47</v>
      </c>
      <c r="U32" s="640"/>
      <c r="V32" s="640"/>
      <c r="W32" s="662">
        <v>207851186</v>
      </c>
      <c r="X32" s="595"/>
      <c r="Y32" s="663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4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5"/>
      <c r="Y33" s="419"/>
      <c r="AD33" s="656"/>
    </row>
    <row r="34" spans="1:30" ht="17.25" customHeight="1">
      <c r="A34" s="407" t="s">
        <v>654</v>
      </c>
      <c r="C34"/>
      <c r="F34" s="420"/>
      <c r="I34"/>
      <c r="K34" s="664"/>
      <c r="N34" s="582"/>
      <c r="O34" s="656"/>
      <c r="P34" s="656"/>
      <c r="Q34" s="656"/>
      <c r="R34" s="656"/>
      <c r="S34" s="656"/>
      <c r="T34" s="407"/>
      <c r="AD34" s="656"/>
    </row>
    <row r="35" spans="1:30" ht="11.85" customHeight="1">
      <c r="F35" s="420"/>
      <c r="K35" s="664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985" customFormat="1" ht="12" customHeight="1">
      <c r="A37" s="983" t="s">
        <v>655</v>
      </c>
      <c r="B37" s="983"/>
      <c r="C37" s="984"/>
      <c r="F37" s="986"/>
      <c r="G37" s="987"/>
      <c r="H37" s="988"/>
      <c r="I37" s="987"/>
      <c r="K37" s="989"/>
      <c r="L37" s="990" t="s">
        <v>868</v>
      </c>
      <c r="M37" s="990"/>
      <c r="O37" s="990" t="s">
        <v>868</v>
      </c>
      <c r="P37" s="990"/>
      <c r="Q37" s="984"/>
      <c r="R37" s="987"/>
      <c r="T37" s="987"/>
      <c r="V37" s="991"/>
      <c r="X37" s="988"/>
    </row>
    <row r="38" spans="1:30" s="985" customFormat="1" ht="12" customHeight="1">
      <c r="A38" s="992" t="s">
        <v>656</v>
      </c>
      <c r="B38" s="992"/>
      <c r="C38" s="993">
        <f>+'EFE20'!C15</f>
        <v>468128</v>
      </c>
      <c r="D38" s="994"/>
      <c r="E38" s="994"/>
      <c r="F38" s="994"/>
      <c r="G38" s="987"/>
      <c r="H38" s="988"/>
      <c r="I38" s="987"/>
      <c r="J38" s="988"/>
      <c r="K38" s="989"/>
      <c r="L38" s="992" t="s">
        <v>348</v>
      </c>
      <c r="M38" s="992"/>
      <c r="O38" s="992" t="s">
        <v>348</v>
      </c>
      <c r="P38" s="992"/>
      <c r="Q38" s="993">
        <f>+Q47</f>
        <v>17336462.178671967</v>
      </c>
      <c r="R38" s="987"/>
      <c r="T38" s="987"/>
      <c r="V38" s="991"/>
      <c r="X38" s="988"/>
    </row>
    <row r="39" spans="1:30" s="985" customFormat="1" ht="12" customHeight="1">
      <c r="A39" s="1048" t="s">
        <v>657</v>
      </c>
      <c r="B39" s="1048"/>
      <c r="C39" s="1049">
        <f>-C38+D24</f>
        <v>-937756.5299999998</v>
      </c>
      <c r="D39" s="997"/>
      <c r="E39" s="997"/>
      <c r="F39" s="997"/>
      <c r="G39" s="987"/>
      <c r="H39" s="988"/>
      <c r="I39" s="987"/>
      <c r="L39" s="998" t="s">
        <v>658</v>
      </c>
      <c r="M39" s="998"/>
      <c r="O39" s="998" t="s">
        <v>842</v>
      </c>
      <c r="P39" s="998"/>
      <c r="Q39" s="1033">
        <f>+'ECP20'!T76</f>
        <v>-21629181</v>
      </c>
      <c r="R39" s="1045" t="s">
        <v>885</v>
      </c>
      <c r="T39" s="987"/>
      <c r="V39" s="991"/>
      <c r="X39" s="988"/>
    </row>
    <row r="40" spans="1:30" s="985" customFormat="1" ht="12" customHeight="1">
      <c r="A40" s="1000" t="s">
        <v>5</v>
      </c>
      <c r="B40" s="1000"/>
      <c r="C40" s="996">
        <f>+C38+C39</f>
        <v>-469628.5299999998</v>
      </c>
      <c r="D40" s="997"/>
      <c r="E40" s="997"/>
      <c r="F40" s="997"/>
      <c r="G40" s="987"/>
      <c r="H40" s="988"/>
      <c r="I40" s="987"/>
      <c r="K40" s="989"/>
      <c r="L40" s="998" t="s">
        <v>659</v>
      </c>
      <c r="M40" s="998"/>
      <c r="O40" s="998" t="s">
        <v>659</v>
      </c>
      <c r="P40" s="998"/>
      <c r="Q40" s="993">
        <v>0</v>
      </c>
      <c r="R40" s="987"/>
      <c r="T40" s="987"/>
      <c r="V40" s="991"/>
      <c r="X40" s="988"/>
    </row>
    <row r="41" spans="1:30" s="985" customFormat="1" ht="12" customHeight="1">
      <c r="C41" s="1001">
        <f>-C40+D24</f>
        <v>0</v>
      </c>
      <c r="G41" s="1002"/>
      <c r="H41" s="988"/>
      <c r="I41" s="1002"/>
      <c r="K41" s="989"/>
      <c r="L41" s="1003" t="s">
        <v>660</v>
      </c>
      <c r="M41" s="1003"/>
      <c r="O41" s="1003" t="s">
        <v>660</v>
      </c>
      <c r="P41" s="1003"/>
      <c r="Q41" s="993">
        <v>0</v>
      </c>
      <c r="R41" s="1002"/>
      <c r="S41" s="988"/>
      <c r="T41" s="1002"/>
      <c r="U41" s="988"/>
      <c r="V41" s="991"/>
      <c r="X41" s="988"/>
    </row>
    <row r="42" spans="1:30" s="985" customFormat="1" ht="12" customHeight="1">
      <c r="A42" s="983" t="s">
        <v>661</v>
      </c>
      <c r="B42" s="983"/>
      <c r="C42" s="984"/>
      <c r="G42" s="987"/>
      <c r="H42" s="988"/>
      <c r="I42" s="987"/>
      <c r="K42" s="989"/>
      <c r="L42" s="992" t="s">
        <v>749</v>
      </c>
      <c r="M42" s="992"/>
      <c r="O42" s="992" t="s">
        <v>749</v>
      </c>
      <c r="P42" s="992"/>
      <c r="Q42" s="993">
        <v>0</v>
      </c>
      <c r="R42" s="987"/>
      <c r="T42" s="987"/>
      <c r="V42" s="991"/>
      <c r="X42" s="988"/>
    </row>
    <row r="43" spans="1:30" s="985" customFormat="1" ht="12" customHeight="1">
      <c r="A43" s="992" t="s">
        <v>662</v>
      </c>
      <c r="B43" s="992"/>
      <c r="C43" s="993">
        <f>+'EFE20'!C10</f>
        <v>19635020</v>
      </c>
      <c r="D43" s="994"/>
      <c r="E43" s="994"/>
      <c r="F43" s="994"/>
      <c r="G43" s="987"/>
      <c r="H43" s="988"/>
      <c r="I43" s="987"/>
      <c r="J43" s="988"/>
      <c r="K43" s="989"/>
      <c r="L43" s="1003" t="s">
        <v>663</v>
      </c>
      <c r="M43" s="1003"/>
      <c r="O43" s="1003" t="s">
        <v>882</v>
      </c>
      <c r="P43" s="1003"/>
      <c r="Q43" s="993">
        <f>+'ECP20'!T71+'ECP20'!T74+'ECP20'!T78+'ECP20'!T80</f>
        <v>2260361</v>
      </c>
      <c r="R43" s="987"/>
      <c r="T43" s="987"/>
      <c r="V43" s="991"/>
      <c r="X43" s="988"/>
    </row>
    <row r="44" spans="1:30" s="985" customFormat="1" ht="12" customHeight="1">
      <c r="A44" s="995" t="s">
        <v>657</v>
      </c>
      <c r="B44" s="995"/>
      <c r="C44" s="996">
        <f>-C43+D20</f>
        <v>-12667045.439999998</v>
      </c>
      <c r="D44" s="997"/>
      <c r="E44" s="997"/>
      <c r="F44" s="997"/>
      <c r="G44" s="987"/>
      <c r="H44" s="988"/>
      <c r="I44" s="987"/>
      <c r="L44" s="992" t="s">
        <v>664</v>
      </c>
      <c r="M44" s="992"/>
      <c r="O44" s="992" t="s">
        <v>664</v>
      </c>
      <c r="P44" s="992"/>
      <c r="Q44" s="993">
        <v>0</v>
      </c>
      <c r="R44" s="987"/>
      <c r="T44" s="987"/>
      <c r="V44" s="991"/>
      <c r="X44" s="988"/>
    </row>
    <row r="45" spans="1:30" s="985" customFormat="1" ht="12" customHeight="1">
      <c r="A45" s="1000" t="s">
        <v>5</v>
      </c>
      <c r="B45" s="1000"/>
      <c r="C45" s="996">
        <f>+C43+C44</f>
        <v>6967974.5600000024</v>
      </c>
      <c r="D45" s="997"/>
      <c r="E45" s="997"/>
      <c r="F45" s="997"/>
      <c r="G45" s="987"/>
      <c r="H45" s="988"/>
      <c r="I45" s="987"/>
      <c r="K45" s="989"/>
      <c r="L45" s="1004" t="s">
        <v>5</v>
      </c>
      <c r="M45" s="1004"/>
      <c r="O45" s="1004" t="s">
        <v>5</v>
      </c>
      <c r="P45" s="1004"/>
      <c r="Q45" s="1005">
        <f>SUM(Q38:Q44)</f>
        <v>-2032357.8213280328</v>
      </c>
      <c r="R45" s="987"/>
      <c r="T45" s="987"/>
      <c r="V45" s="991"/>
      <c r="X45" s="988"/>
    </row>
    <row r="46" spans="1:30" s="985" customFormat="1" ht="12" customHeight="1">
      <c r="C46" s="997">
        <f>+C45-D20</f>
        <v>0</v>
      </c>
      <c r="D46" s="997"/>
      <c r="E46" s="997"/>
      <c r="F46" s="997"/>
      <c r="G46" s="1002"/>
      <c r="H46" s="1006"/>
      <c r="I46" s="1002"/>
      <c r="L46" s="999"/>
      <c r="M46" s="999"/>
      <c r="O46" s="999"/>
      <c r="P46" s="999"/>
      <c r="Q46" s="997">
        <f>+Q45-R30</f>
        <v>2311.8086719624698</v>
      </c>
      <c r="R46" s="1002"/>
      <c r="T46" s="1002"/>
      <c r="V46" s="991"/>
      <c r="X46" s="988"/>
    </row>
    <row r="47" spans="1:30" s="985" customFormat="1" ht="12" customHeight="1">
      <c r="A47" s="983" t="s">
        <v>665</v>
      </c>
      <c r="B47" s="983"/>
      <c r="C47" s="984"/>
      <c r="G47" s="987"/>
      <c r="H47" s="988"/>
      <c r="I47" s="987"/>
      <c r="K47" s="989"/>
      <c r="L47" s="1007" t="s">
        <v>348</v>
      </c>
      <c r="M47" s="1007"/>
      <c r="O47" s="1007" t="s">
        <v>348</v>
      </c>
      <c r="P47" s="1007"/>
      <c r="Q47" s="1008">
        <f>+'ECP20'!T82</f>
        <v>17336462.178671967</v>
      </c>
      <c r="R47" s="987"/>
      <c r="T47" s="987"/>
      <c r="V47" s="991"/>
      <c r="X47" s="988"/>
    </row>
    <row r="48" spans="1:30" s="985" customFormat="1" ht="12" customHeight="1">
      <c r="A48" s="992" t="s">
        <v>662</v>
      </c>
      <c r="B48" s="992"/>
      <c r="C48" s="993">
        <f>+'EFE20'!C12</f>
        <v>1808437</v>
      </c>
      <c r="D48" s="994"/>
      <c r="E48" s="994"/>
      <c r="F48" s="994"/>
      <c r="G48" s="987"/>
      <c r="H48" s="988"/>
      <c r="I48" s="987"/>
      <c r="J48" s="988"/>
      <c r="K48" s="989"/>
      <c r="L48" s="1009" t="s">
        <v>869</v>
      </c>
      <c r="M48" s="1009"/>
      <c r="O48" s="1009" t="s">
        <v>869</v>
      </c>
      <c r="P48" s="1009"/>
      <c r="Q48" s="996">
        <f>+C71</f>
        <v>7958121</v>
      </c>
      <c r="R48" s="987"/>
      <c r="T48" s="987"/>
      <c r="V48" s="991"/>
      <c r="X48" s="988"/>
    </row>
    <row r="49" spans="1:24" s="985" customFormat="1" ht="12" customHeight="1">
      <c r="A49" s="995" t="s">
        <v>666</v>
      </c>
      <c r="B49" s="995"/>
      <c r="C49" s="993">
        <v>0</v>
      </c>
      <c r="D49" s="997"/>
      <c r="E49" s="997"/>
      <c r="F49" s="997"/>
      <c r="G49" s="987"/>
      <c r="H49" s="988"/>
      <c r="I49" s="987"/>
      <c r="L49" s="1010" t="s">
        <v>109</v>
      </c>
      <c r="M49" s="1010"/>
      <c r="O49" s="1010" t="s">
        <v>109</v>
      </c>
      <c r="P49" s="1010"/>
      <c r="Q49" s="1011">
        <f>+Q47+Q48</f>
        <v>25294583.178671967</v>
      </c>
      <c r="R49" s="987"/>
      <c r="T49" s="987"/>
      <c r="V49" s="991"/>
      <c r="X49" s="988"/>
    </row>
    <row r="50" spans="1:24" s="985" customFormat="1" ht="12" customHeight="1">
      <c r="A50" s="995" t="s">
        <v>667</v>
      </c>
      <c r="B50" s="995"/>
      <c r="C50" s="996">
        <f>+D26-C48-C49</f>
        <v>-1610904</v>
      </c>
      <c r="D50" s="1012"/>
      <c r="E50" s="997"/>
      <c r="F50" s="997"/>
      <c r="G50" s="987"/>
      <c r="H50" s="988"/>
      <c r="I50" s="987"/>
      <c r="L50" s="999"/>
      <c r="M50" s="999"/>
      <c r="O50" s="999"/>
      <c r="P50" s="999"/>
      <c r="Q50" s="999"/>
      <c r="R50" s="987"/>
      <c r="T50" s="987"/>
      <c r="V50" s="991"/>
      <c r="X50" s="988"/>
    </row>
    <row r="51" spans="1:24" s="985" customFormat="1" ht="12" customHeight="1">
      <c r="A51" s="1000" t="s">
        <v>5</v>
      </c>
      <c r="B51" s="1000"/>
      <c r="C51" s="996">
        <f>SUM(C48:C50)</f>
        <v>197533</v>
      </c>
      <c r="D51" s="997"/>
      <c r="E51" s="997"/>
      <c r="F51" s="997"/>
      <c r="G51" s="987"/>
      <c r="H51" s="988"/>
      <c r="I51" s="987"/>
      <c r="K51" s="989"/>
      <c r="L51" s="999"/>
      <c r="M51" s="999"/>
      <c r="O51" s="999"/>
      <c r="P51" s="999"/>
      <c r="Q51" s="999"/>
      <c r="R51" s="987"/>
      <c r="T51" s="987"/>
      <c r="V51" s="991"/>
      <c r="X51" s="988"/>
    </row>
    <row r="52" spans="1:24" s="985" customFormat="1" ht="12" customHeight="1">
      <c r="C52" s="1013">
        <f>+D26-C51</f>
        <v>0</v>
      </c>
      <c r="D52" s="1013"/>
      <c r="E52" s="1013"/>
      <c r="F52" s="997"/>
      <c r="G52" s="987"/>
      <c r="H52" s="988"/>
      <c r="I52" s="987"/>
      <c r="K52" s="989"/>
      <c r="L52" s="999"/>
      <c r="M52" s="999"/>
      <c r="O52" s="999"/>
      <c r="P52" s="999"/>
      <c r="Q52" s="999"/>
      <c r="R52" s="987"/>
      <c r="T52" s="987"/>
      <c r="V52" s="991"/>
      <c r="X52" s="988"/>
    </row>
    <row r="53" spans="1:24" s="985" customFormat="1" ht="12" customHeight="1">
      <c r="A53" s="983" t="s">
        <v>668</v>
      </c>
      <c r="B53" s="983"/>
      <c r="C53" s="984"/>
      <c r="D53" s="997"/>
      <c r="E53" s="997"/>
      <c r="F53" s="997"/>
      <c r="G53" s="987"/>
      <c r="H53" s="988"/>
      <c r="I53" s="987"/>
      <c r="K53" s="989"/>
      <c r="L53" s="999"/>
      <c r="M53" s="999"/>
      <c r="O53" s="999"/>
      <c r="P53" s="999"/>
      <c r="Q53" s="999"/>
      <c r="R53" s="987"/>
      <c r="T53" s="987"/>
      <c r="V53" s="991"/>
      <c r="X53" s="988"/>
    </row>
    <row r="54" spans="1:24" s="985" customFormat="1" ht="12" customHeight="1">
      <c r="A54" s="992" t="s">
        <v>669</v>
      </c>
      <c r="B54" s="992"/>
      <c r="C54" s="993">
        <f>+'EFE20'!Y17</f>
        <v>649755</v>
      </c>
      <c r="D54" s="997"/>
      <c r="E54" s="997"/>
      <c r="F54" s="997"/>
      <c r="G54" s="1002"/>
      <c r="I54" s="1002"/>
      <c r="K54" s="989"/>
      <c r="L54" s="999"/>
      <c r="M54" s="999"/>
      <c r="O54" s="999"/>
      <c r="P54" s="999"/>
      <c r="Q54" s="999"/>
      <c r="R54" s="1002"/>
      <c r="T54" s="1002"/>
      <c r="V54" s="991"/>
      <c r="X54" s="988"/>
    </row>
    <row r="55" spans="1:24" s="985" customFormat="1" ht="12" customHeight="1">
      <c r="A55" s="992" t="s">
        <v>883</v>
      </c>
      <c r="B55" s="992"/>
      <c r="C55" s="1033">
        <v>-17000</v>
      </c>
      <c r="D55" s="997"/>
      <c r="E55" s="997"/>
      <c r="F55" s="997"/>
      <c r="G55" s="1002"/>
      <c r="I55" s="1002"/>
      <c r="K55" s="989"/>
      <c r="L55" s="999"/>
      <c r="M55" s="999"/>
      <c r="O55" s="999"/>
      <c r="P55" s="999"/>
      <c r="Q55" s="999"/>
      <c r="R55" s="1002"/>
      <c r="T55" s="1002"/>
      <c r="V55" s="991"/>
      <c r="X55" s="988"/>
    </row>
    <row r="56" spans="1:24" s="985" customFormat="1" ht="12" customHeight="1">
      <c r="A56" s="992" t="s">
        <v>670</v>
      </c>
      <c r="B56" s="992"/>
      <c r="C56" s="993">
        <f>-1543734</f>
        <v>-1543734</v>
      </c>
      <c r="D56" s="997"/>
      <c r="E56" s="997"/>
      <c r="F56" s="997"/>
      <c r="G56" s="1002"/>
      <c r="I56" s="1002"/>
      <c r="K56" s="989"/>
      <c r="L56" s="999"/>
      <c r="M56" s="999"/>
      <c r="O56" s="999"/>
      <c r="P56" s="999"/>
      <c r="Q56" s="999"/>
      <c r="R56" s="1002"/>
      <c r="T56" s="1002"/>
      <c r="V56" s="991"/>
      <c r="X56" s="988"/>
    </row>
    <row r="57" spans="1:24" s="985" customFormat="1" ht="12" customHeight="1">
      <c r="A57" s="995" t="s">
        <v>671</v>
      </c>
      <c r="B57" s="995"/>
      <c r="C57" s="996">
        <f>+R23-C54-C55-C56</f>
        <v>0</v>
      </c>
      <c r="D57" s="997"/>
      <c r="E57" s="997"/>
      <c r="F57" s="997"/>
      <c r="G57" s="987"/>
      <c r="H57" s="988"/>
      <c r="I57" s="987"/>
      <c r="K57" s="989"/>
      <c r="L57" s="999"/>
      <c r="M57" s="999"/>
      <c r="O57" s="999"/>
      <c r="P57" s="999"/>
      <c r="Q57" s="999"/>
      <c r="R57" s="987"/>
      <c r="T57" s="987"/>
      <c r="V57" s="991"/>
      <c r="X57" s="988"/>
    </row>
    <row r="58" spans="1:24" s="985" customFormat="1" ht="12" customHeight="1">
      <c r="A58" s="1000" t="s">
        <v>5</v>
      </c>
      <c r="B58" s="1000"/>
      <c r="C58" s="996">
        <f>SUM(C54:C57)</f>
        <v>-910979</v>
      </c>
      <c r="D58" s="997"/>
      <c r="E58" s="997"/>
      <c r="F58" s="997"/>
      <c r="G58" s="987"/>
      <c r="H58" s="988"/>
      <c r="I58" s="987"/>
      <c r="K58" s="989"/>
      <c r="L58" s="999"/>
      <c r="M58" s="999"/>
      <c r="O58" s="999"/>
      <c r="P58" s="999"/>
      <c r="Q58" s="999"/>
      <c r="R58" s="987"/>
      <c r="T58" s="987"/>
      <c r="V58" s="991"/>
      <c r="X58" s="988"/>
    </row>
    <row r="59" spans="1:24" s="985" customFormat="1" ht="12" customHeight="1">
      <c r="C59" s="997">
        <f>+C58-R23</f>
        <v>0</v>
      </c>
      <c r="D59" s="997"/>
      <c r="E59" s="997"/>
      <c r="F59" s="997"/>
      <c r="G59" s="987"/>
      <c r="H59" s="988"/>
      <c r="I59" s="987"/>
      <c r="K59" s="989"/>
      <c r="L59" s="999"/>
      <c r="M59" s="999"/>
      <c r="O59" s="999"/>
      <c r="P59" s="999"/>
      <c r="Q59" s="999"/>
      <c r="R59" s="987"/>
      <c r="T59" s="987"/>
      <c r="V59" s="991"/>
      <c r="X59" s="988"/>
    </row>
    <row r="60" spans="1:24" s="985" customFormat="1" ht="12" customHeight="1">
      <c r="A60" s="983" t="s">
        <v>672</v>
      </c>
      <c r="B60" s="983"/>
      <c r="C60" s="984"/>
      <c r="D60" s="997"/>
      <c r="E60" s="997"/>
      <c r="F60" s="997"/>
      <c r="G60" s="987"/>
      <c r="H60" s="988"/>
      <c r="I60" s="987"/>
      <c r="K60" s="989"/>
      <c r="L60" s="999"/>
      <c r="M60" s="999"/>
      <c r="O60" s="999"/>
      <c r="P60" s="999"/>
      <c r="Q60" s="999"/>
      <c r="R60" s="987"/>
      <c r="T60" s="987"/>
      <c r="V60" s="991"/>
      <c r="X60" s="988"/>
    </row>
    <row r="61" spans="1:24" s="985" customFormat="1" ht="12" customHeight="1">
      <c r="A61" s="992" t="s">
        <v>870</v>
      </c>
      <c r="B61" s="992"/>
      <c r="C61" s="993">
        <f>+'EFE20'!C14</f>
        <v>2380394</v>
      </c>
      <c r="D61" s="997"/>
      <c r="E61" s="997"/>
      <c r="F61" s="997"/>
      <c r="G61" s="987"/>
      <c r="H61" s="988"/>
      <c r="I61" s="987"/>
      <c r="L61" s="999"/>
      <c r="M61" s="999"/>
      <c r="O61" s="999"/>
      <c r="P61" s="999"/>
      <c r="Q61" s="999"/>
      <c r="R61" s="987"/>
      <c r="T61" s="987"/>
      <c r="V61" s="991"/>
      <c r="X61" s="988"/>
    </row>
    <row r="62" spans="1:24" s="985" customFormat="1" ht="12" customHeight="1">
      <c r="A62" s="995" t="s">
        <v>657</v>
      </c>
      <c r="B62" s="995"/>
      <c r="C62" s="996">
        <f>-C61+D22</f>
        <v>-1744851</v>
      </c>
      <c r="D62" s="997"/>
      <c r="E62" s="997"/>
      <c r="F62" s="997"/>
      <c r="G62" s="987"/>
      <c r="H62" s="988"/>
      <c r="I62" s="987"/>
      <c r="L62" s="999"/>
      <c r="M62" s="999"/>
      <c r="O62" s="999"/>
      <c r="P62" s="999"/>
      <c r="Q62" s="999"/>
      <c r="R62" s="987"/>
      <c r="T62" s="987"/>
      <c r="V62" s="991"/>
      <c r="X62" s="988"/>
    </row>
    <row r="63" spans="1:24" s="985" customFormat="1" ht="12" customHeight="1">
      <c r="A63" s="1000" t="s">
        <v>5</v>
      </c>
      <c r="B63" s="1000"/>
      <c r="C63" s="996">
        <f>+C61+C62</f>
        <v>635543</v>
      </c>
      <c r="D63" s="997"/>
      <c r="E63" s="997"/>
      <c r="F63" s="997"/>
      <c r="G63" s="1002"/>
      <c r="H63" s="999"/>
      <c r="I63" s="1002"/>
      <c r="L63" s="999"/>
      <c r="M63" s="999"/>
      <c r="O63" s="999"/>
      <c r="P63" s="999"/>
      <c r="Q63" s="999"/>
      <c r="R63" s="1002"/>
      <c r="T63" s="1002"/>
      <c r="V63" s="991"/>
      <c r="X63" s="988"/>
    </row>
    <row r="64" spans="1:24" s="985" customFormat="1" ht="12" customHeight="1">
      <c r="C64" s="997">
        <f>+C63-D22</f>
        <v>0</v>
      </c>
      <c r="D64" s="997"/>
      <c r="E64" s="997"/>
      <c r="F64" s="997"/>
      <c r="G64" s="1002"/>
      <c r="H64" s="999"/>
      <c r="I64" s="1002"/>
      <c r="L64" s="999"/>
      <c r="M64" s="999"/>
      <c r="O64" s="999"/>
      <c r="P64" s="999"/>
      <c r="Q64" s="999"/>
      <c r="R64" s="1002"/>
      <c r="T64" s="1002"/>
      <c r="V64" s="991"/>
      <c r="X64" s="988"/>
    </row>
    <row r="65" spans="1:24" s="985" customFormat="1" ht="12" customHeight="1">
      <c r="A65" s="983" t="s">
        <v>871</v>
      </c>
      <c r="B65" s="983"/>
      <c r="C65" s="984"/>
      <c r="D65" s="997"/>
      <c r="E65" s="997"/>
      <c r="F65" s="997"/>
      <c r="G65" s="1002"/>
      <c r="I65" s="1002"/>
      <c r="L65" s="999"/>
      <c r="M65" s="999"/>
      <c r="O65" s="999"/>
      <c r="P65" s="999"/>
      <c r="Q65" s="999"/>
      <c r="R65" s="1002"/>
      <c r="T65" s="1002"/>
      <c r="V65" s="991"/>
      <c r="X65" s="988"/>
    </row>
    <row r="66" spans="1:24" s="985" customFormat="1" ht="12" customHeight="1">
      <c r="A66" s="992" t="s">
        <v>872</v>
      </c>
      <c r="B66" s="992"/>
      <c r="C66" s="993">
        <f>+'EFE20'!C11</f>
        <v>39210</v>
      </c>
      <c r="D66" s="997"/>
      <c r="E66" s="997"/>
      <c r="F66" s="997"/>
      <c r="G66" s="1002"/>
      <c r="I66" s="1002"/>
      <c r="L66" s="999"/>
      <c r="M66" s="999"/>
      <c r="O66" s="999"/>
      <c r="P66" s="999"/>
      <c r="Q66" s="999"/>
      <c r="R66" s="1002"/>
      <c r="T66" s="1002"/>
      <c r="V66" s="991"/>
      <c r="X66" s="988"/>
    </row>
    <row r="67" spans="1:24" s="985" customFormat="1" ht="12" customHeight="1">
      <c r="A67" s="995" t="s">
        <v>657</v>
      </c>
      <c r="B67" s="995"/>
      <c r="C67" s="996">
        <f>-C66+D21</f>
        <v>-439321.65</v>
      </c>
      <c r="D67" s="997"/>
      <c r="E67" s="997"/>
      <c r="F67" s="997"/>
      <c r="G67" s="1002"/>
      <c r="I67" s="1002"/>
      <c r="R67" s="1002"/>
      <c r="T67" s="1002"/>
      <c r="V67" s="991"/>
      <c r="X67" s="988"/>
    </row>
    <row r="68" spans="1:24" s="985" customFormat="1" ht="12" customHeight="1">
      <c r="A68" s="1000" t="s">
        <v>873</v>
      </c>
      <c r="B68" s="1000"/>
      <c r="C68" s="996">
        <f>+C66+C67</f>
        <v>-400111.65</v>
      </c>
      <c r="D68" s="997"/>
      <c r="E68" s="997"/>
      <c r="F68" s="997"/>
      <c r="G68" s="1002"/>
      <c r="I68" s="1002"/>
      <c r="R68" s="1002"/>
      <c r="T68" s="1002"/>
      <c r="V68" s="991"/>
      <c r="X68" s="988"/>
    </row>
    <row r="69" spans="1:24" s="985" customFormat="1" ht="12" customHeight="1">
      <c r="C69" s="997">
        <f>+C68-D21</f>
        <v>0</v>
      </c>
      <c r="D69" s="997"/>
      <c r="E69" s="997"/>
      <c r="F69" s="997"/>
      <c r="G69" s="1002"/>
      <c r="I69" s="1002"/>
      <c r="R69" s="1002"/>
      <c r="T69" s="1002"/>
      <c r="V69" s="991"/>
      <c r="X69" s="988"/>
    </row>
    <row r="70" spans="1:24" s="985" customFormat="1" ht="12" customHeight="1">
      <c r="A70" s="983" t="s">
        <v>673</v>
      </c>
      <c r="B70" s="983"/>
      <c r="C70" s="1008"/>
      <c r="D70" s="997"/>
      <c r="E70" s="997"/>
      <c r="F70" s="997"/>
      <c r="G70" s="1002"/>
      <c r="I70" s="1002"/>
      <c r="R70" s="1002"/>
      <c r="T70" s="1002"/>
      <c r="V70" s="991"/>
      <c r="X70" s="988"/>
    </row>
    <row r="71" spans="1:24" s="985" customFormat="1" ht="12" customHeight="1">
      <c r="A71" s="995" t="s">
        <v>874</v>
      </c>
      <c r="B71" s="995"/>
      <c r="C71" s="993">
        <f>-'ERI20'!D20</f>
        <v>7958121</v>
      </c>
      <c r="G71" s="1002"/>
      <c r="I71" s="1002"/>
      <c r="R71" s="1002"/>
      <c r="T71" s="1002"/>
      <c r="V71" s="991"/>
      <c r="X71" s="988"/>
    </row>
    <row r="72" spans="1:24" s="985" customFormat="1" ht="12" customHeight="1">
      <c r="A72" s="995" t="s">
        <v>674</v>
      </c>
      <c r="B72" s="995"/>
      <c r="C72" s="993">
        <f>+'EFE20'!C41</f>
        <v>-4275291</v>
      </c>
      <c r="G72" s="1002"/>
      <c r="I72" s="1002"/>
      <c r="R72" s="1002"/>
      <c r="T72" s="1002"/>
      <c r="V72" s="991"/>
      <c r="X72" s="988"/>
    </row>
    <row r="73" spans="1:24" s="985" customFormat="1" ht="12" customHeight="1">
      <c r="A73" s="995" t="s">
        <v>671</v>
      </c>
      <c r="B73" s="995"/>
      <c r="C73" s="1014">
        <f>-C71-C72+R10</f>
        <v>978507</v>
      </c>
      <c r="G73" s="1002"/>
      <c r="I73" s="1002"/>
      <c r="R73" s="1002"/>
      <c r="T73" s="1002"/>
      <c r="V73" s="991"/>
      <c r="X73" s="988"/>
    </row>
    <row r="74" spans="1:24" s="985" customFormat="1" ht="12" customHeight="1">
      <c r="A74" s="1000" t="s">
        <v>873</v>
      </c>
      <c r="B74" s="1000"/>
      <c r="C74" s="1014">
        <f>SUM(C71:C73)</f>
        <v>4661337</v>
      </c>
      <c r="G74" s="1002"/>
      <c r="I74" s="1002"/>
      <c r="R74" s="1002"/>
      <c r="T74" s="1002"/>
      <c r="V74" s="991"/>
      <c r="X74" s="988"/>
    </row>
    <row r="75" spans="1:24" s="985" customFormat="1" ht="12" customHeight="1">
      <c r="C75" s="1032">
        <f>+C74-R10</f>
        <v>0</v>
      </c>
      <c r="G75" s="1002"/>
      <c r="I75" s="1002"/>
      <c r="R75" s="1002"/>
      <c r="T75" s="1002"/>
      <c r="V75" s="991"/>
      <c r="X75" s="988"/>
    </row>
    <row r="76" spans="1:24" s="985" customFormat="1" ht="12" customHeight="1">
      <c r="A76" s="983" t="s">
        <v>675</v>
      </c>
      <c r="B76" s="983"/>
      <c r="C76" s="1008"/>
      <c r="G76" s="1002"/>
      <c r="I76" s="1002"/>
      <c r="R76" s="1002"/>
      <c r="T76" s="1002"/>
      <c r="V76" s="991"/>
      <c r="X76" s="988"/>
    </row>
    <row r="77" spans="1:24" s="985" customFormat="1" ht="12" customHeight="1">
      <c r="A77" s="995" t="s">
        <v>875</v>
      </c>
      <c r="B77" s="995"/>
      <c r="C77" s="993">
        <f>-'ERI20'!D18</f>
        <v>4837640</v>
      </c>
      <c r="G77" s="1002"/>
      <c r="I77" s="1002"/>
      <c r="R77" s="1002"/>
      <c r="T77" s="1002"/>
      <c r="V77" s="991"/>
      <c r="X77" s="988"/>
    </row>
    <row r="78" spans="1:24" s="985" customFormat="1" ht="12" customHeight="1">
      <c r="A78" s="995" t="s">
        <v>676</v>
      </c>
      <c r="B78" s="995"/>
      <c r="C78" s="1047">
        <f>+'EFE20'!C42</f>
        <v>-4453394</v>
      </c>
      <c r="G78" s="1002"/>
      <c r="I78" s="1002"/>
      <c r="R78" s="1002"/>
      <c r="T78" s="1002"/>
      <c r="V78" s="991"/>
      <c r="X78" s="988"/>
    </row>
    <row r="79" spans="1:24" s="985" customFormat="1" ht="12" customHeight="1">
      <c r="A79" s="995" t="s">
        <v>671</v>
      </c>
      <c r="B79" s="995"/>
      <c r="C79" s="1014">
        <f>-C77-C78+R14</f>
        <v>1684199.08</v>
      </c>
      <c r="G79" s="1002"/>
      <c r="I79" s="1002"/>
      <c r="R79" s="1002"/>
      <c r="T79" s="1002"/>
      <c r="V79" s="991"/>
      <c r="X79" s="988"/>
    </row>
    <row r="80" spans="1:24" s="985" customFormat="1" ht="12" customHeight="1">
      <c r="A80" s="1000" t="s">
        <v>873</v>
      </c>
      <c r="B80" s="1000"/>
      <c r="C80" s="1014">
        <f>SUM(C77:C79)</f>
        <v>2068445.08</v>
      </c>
      <c r="G80" s="1002"/>
      <c r="I80" s="1002"/>
      <c r="R80" s="1002"/>
      <c r="T80" s="1002"/>
      <c r="V80" s="991"/>
      <c r="X80" s="988"/>
    </row>
    <row r="81" spans="1:24" s="985" customFormat="1" ht="12" customHeight="1">
      <c r="C81" s="1032">
        <f>+C80-R14</f>
        <v>0</v>
      </c>
      <c r="G81" s="1002"/>
      <c r="I81" s="1002"/>
      <c r="R81" s="1002"/>
      <c r="T81" s="1002"/>
      <c r="V81" s="991"/>
      <c r="X81" s="988"/>
    </row>
    <row r="82" spans="1:24" s="985" customFormat="1" ht="12" customHeight="1">
      <c r="A82" s="983" t="s">
        <v>677</v>
      </c>
      <c r="B82" s="983"/>
      <c r="C82" s="984"/>
      <c r="G82" s="1002"/>
      <c r="I82" s="1002"/>
      <c r="R82" s="1002"/>
      <c r="T82" s="1002"/>
      <c r="V82" s="991"/>
      <c r="X82" s="988"/>
    </row>
    <row r="83" spans="1:24" s="985" customFormat="1" ht="12" customHeight="1">
      <c r="A83" s="992" t="s">
        <v>876</v>
      </c>
      <c r="B83" s="992"/>
      <c r="C83" s="993">
        <f>+'EFE20'!C8</f>
        <v>179838</v>
      </c>
      <c r="G83" s="1002"/>
      <c r="I83" s="1002"/>
      <c r="R83" s="1002"/>
      <c r="T83" s="1002"/>
      <c r="V83" s="991"/>
      <c r="X83" s="988"/>
    </row>
    <row r="84" spans="1:24" s="985" customFormat="1" ht="12" customHeight="1">
      <c r="A84" s="995" t="s">
        <v>877</v>
      </c>
      <c r="B84" s="995"/>
      <c r="C84" s="996">
        <f>-C83+D8</f>
        <v>-4903357.74</v>
      </c>
      <c r="G84" s="1002"/>
      <c r="I84" s="1002"/>
      <c r="R84" s="1002"/>
      <c r="T84" s="1002"/>
      <c r="V84" s="991"/>
      <c r="X84" s="988"/>
    </row>
    <row r="85" spans="1:24" s="985" customFormat="1" ht="12" customHeight="1">
      <c r="A85" s="1000" t="s">
        <v>873</v>
      </c>
      <c r="B85" s="1000"/>
      <c r="C85" s="996">
        <f>+C83+C84</f>
        <v>-4723519.74</v>
      </c>
      <c r="G85" s="1002"/>
      <c r="I85" s="1002"/>
      <c r="R85" s="1002"/>
      <c r="T85" s="1002"/>
      <c r="V85" s="991"/>
      <c r="X85" s="988"/>
    </row>
    <row r="86" spans="1:24" s="985" customFormat="1" ht="12" customHeight="1">
      <c r="C86" s="997">
        <f>+C85-D8</f>
        <v>0</v>
      </c>
      <c r="G86" s="1002"/>
      <c r="I86" s="1002"/>
      <c r="R86" s="1002"/>
      <c r="T86" s="1002"/>
      <c r="V86" s="991"/>
      <c r="X86" s="988"/>
    </row>
    <row r="87" spans="1:24" s="985" customFormat="1" ht="12" customHeight="1">
      <c r="A87" s="983" t="s">
        <v>678</v>
      </c>
      <c r="B87" s="983"/>
      <c r="C87" s="984"/>
      <c r="G87" s="1002"/>
      <c r="I87" s="1002"/>
      <c r="R87" s="1002"/>
      <c r="T87" s="1002"/>
      <c r="V87" s="991"/>
      <c r="X87" s="988"/>
    </row>
    <row r="88" spans="1:24" s="985" customFormat="1" ht="12" customHeight="1">
      <c r="A88" s="992" t="s">
        <v>876</v>
      </c>
      <c r="B88" s="992"/>
      <c r="C88" s="993">
        <f>+[2]EFE19!C9</f>
        <v>1812247</v>
      </c>
      <c r="G88" s="1002"/>
      <c r="I88" s="1002"/>
      <c r="R88" s="1002"/>
      <c r="T88" s="1002"/>
      <c r="V88" s="991"/>
      <c r="X88" s="988"/>
    </row>
    <row r="89" spans="1:24" s="985" customFormat="1" ht="12" customHeight="1">
      <c r="A89" s="995" t="s">
        <v>878</v>
      </c>
      <c r="B89" s="995"/>
      <c r="C89" s="996">
        <f>-C88+D11+D18</f>
        <v>5118200</v>
      </c>
      <c r="G89" s="1002"/>
      <c r="I89" s="1002"/>
      <c r="R89" s="1002"/>
      <c r="T89" s="1002"/>
      <c r="V89" s="991"/>
      <c r="X89" s="988"/>
    </row>
    <row r="90" spans="1:24" s="985" customFormat="1" ht="12" customHeight="1">
      <c r="A90" s="1000" t="s">
        <v>873</v>
      </c>
      <c r="B90" s="1000"/>
      <c r="C90" s="996">
        <f>+C88+C89</f>
        <v>6930447</v>
      </c>
      <c r="G90" s="1002"/>
      <c r="I90" s="1002"/>
      <c r="R90" s="1002"/>
      <c r="T90" s="1002"/>
      <c r="V90" s="991"/>
      <c r="X90" s="988"/>
    </row>
    <row r="91" spans="1:24" s="985" customFormat="1" ht="12" customHeight="1">
      <c r="C91" s="1013">
        <f>+D11+D18-C90</f>
        <v>0</v>
      </c>
      <c r="G91" s="1002"/>
      <c r="I91" s="1002"/>
      <c r="R91" s="1002"/>
      <c r="T91" s="1002"/>
      <c r="V91" s="991"/>
      <c r="X91" s="988"/>
    </row>
    <row r="92" spans="1:24" s="985" customFormat="1" ht="12" customHeight="1">
      <c r="A92" s="983" t="s">
        <v>679</v>
      </c>
      <c r="B92" s="983"/>
      <c r="C92" s="984"/>
      <c r="G92" s="1002"/>
      <c r="I92" s="1002"/>
      <c r="R92" s="1002"/>
      <c r="T92" s="1002"/>
      <c r="V92" s="991"/>
      <c r="X92" s="988"/>
    </row>
    <row r="93" spans="1:24" s="985" customFormat="1" ht="12" customHeight="1">
      <c r="A93" s="992" t="s">
        <v>680</v>
      </c>
      <c r="B93" s="992"/>
      <c r="C93" s="993">
        <v>0</v>
      </c>
      <c r="G93" s="1002"/>
      <c r="I93" s="1002"/>
      <c r="R93" s="1002"/>
      <c r="T93" s="1002"/>
      <c r="V93" s="991"/>
      <c r="X93" s="988"/>
    </row>
    <row r="94" spans="1:24" s="985" customFormat="1" ht="12" customHeight="1">
      <c r="A94" s="995" t="s">
        <v>671</v>
      </c>
      <c r="B94" s="995"/>
      <c r="C94" s="996">
        <f>-C93+D27</f>
        <v>0</v>
      </c>
      <c r="G94" s="1002"/>
      <c r="I94" s="1002"/>
      <c r="N94" s="974"/>
      <c r="R94" s="1002"/>
      <c r="T94" s="1002"/>
      <c r="V94" s="991"/>
    </row>
    <row r="95" spans="1:24" s="985" customFormat="1" ht="12" customHeight="1">
      <c r="A95" s="1000" t="s">
        <v>873</v>
      </c>
      <c r="B95" s="1000"/>
      <c r="C95" s="996">
        <f>+C93+C94</f>
        <v>0</v>
      </c>
      <c r="G95" s="1002"/>
      <c r="I95" s="1002"/>
      <c r="N95" s="974"/>
      <c r="R95" s="1002"/>
      <c r="T95" s="1002"/>
      <c r="V95" s="991"/>
    </row>
    <row r="96" spans="1:24" s="985" customFormat="1" ht="12" customHeight="1">
      <c r="C96" s="1015">
        <f>+C95-D27</f>
        <v>0</v>
      </c>
      <c r="G96" s="1002"/>
      <c r="I96" s="1002"/>
      <c r="N96" s="974"/>
      <c r="R96" s="1002"/>
      <c r="T96" s="1002"/>
      <c r="V96" s="991"/>
    </row>
    <row r="97" spans="1:22" s="985" customFormat="1" ht="12" customHeight="1">
      <c r="A97" s="983" t="s">
        <v>681</v>
      </c>
      <c r="B97" s="983"/>
      <c r="C97" s="984"/>
      <c r="G97" s="1002"/>
      <c r="I97" s="1002"/>
      <c r="N97" s="974"/>
      <c r="R97" s="1002"/>
      <c r="T97" s="1002"/>
      <c r="V97" s="991"/>
    </row>
    <row r="98" spans="1:22" s="985" customFormat="1" ht="12" customHeight="1">
      <c r="A98" s="992" t="s">
        <v>682</v>
      </c>
      <c r="B98" s="992"/>
      <c r="C98" s="993">
        <f>+'EFE20'!C65</f>
        <v>-1307540</v>
      </c>
      <c r="G98" s="1002"/>
      <c r="I98" s="1002"/>
      <c r="N98" s="974"/>
      <c r="R98" s="1002"/>
      <c r="T98" s="1002"/>
      <c r="V98" s="991"/>
    </row>
    <row r="99" spans="1:22" s="985" customFormat="1" ht="12" customHeight="1">
      <c r="A99" s="992" t="s">
        <v>683</v>
      </c>
      <c r="B99" s="992"/>
      <c r="C99" s="993">
        <v>0</v>
      </c>
      <c r="G99" s="1002"/>
      <c r="I99" s="1002"/>
      <c r="N99" s="974"/>
      <c r="R99" s="1002"/>
      <c r="T99" s="1002"/>
      <c r="V99" s="991"/>
    </row>
    <row r="100" spans="1:22" s="985" customFormat="1" ht="12" customHeight="1">
      <c r="A100" s="995" t="s">
        <v>671</v>
      </c>
      <c r="B100" s="995"/>
      <c r="C100" s="1014">
        <f>-C98-C99+R13+R25</f>
        <v>1100326</v>
      </c>
      <c r="G100" s="1002"/>
      <c r="I100" s="1002"/>
      <c r="N100" s="974"/>
      <c r="R100" s="1002"/>
      <c r="T100" s="1002"/>
      <c r="V100" s="991"/>
    </row>
    <row r="101" spans="1:22" s="985" customFormat="1" ht="12" customHeight="1">
      <c r="A101" s="1000" t="s">
        <v>873</v>
      </c>
      <c r="B101" s="1000"/>
      <c r="C101" s="996">
        <f>SUM(C98:C100)</f>
        <v>-207214</v>
      </c>
      <c r="G101" s="1002"/>
      <c r="I101" s="1002"/>
      <c r="N101" s="974"/>
      <c r="R101" s="1002"/>
      <c r="T101" s="1002"/>
      <c r="V101" s="991"/>
    </row>
    <row r="102" spans="1:22" s="985" customFormat="1" ht="12" customHeight="1">
      <c r="C102" s="1015">
        <f>+C101-R13-R25</f>
        <v>0</v>
      </c>
      <c r="G102" s="1002"/>
      <c r="I102" s="1002"/>
      <c r="N102" s="974"/>
      <c r="R102" s="1002"/>
      <c r="T102" s="1002"/>
      <c r="V102" s="991"/>
    </row>
    <row r="103" spans="1:22" s="985" customFormat="1" ht="12" customHeight="1">
      <c r="A103" s="983" t="s">
        <v>881</v>
      </c>
      <c r="B103" s="983"/>
      <c r="C103" s="984"/>
      <c r="G103" s="1002"/>
      <c r="I103" s="1002"/>
      <c r="N103" s="974"/>
      <c r="R103" s="1002"/>
      <c r="T103" s="1002"/>
      <c r="V103" s="991"/>
    </row>
    <row r="104" spans="1:22" s="985" customFormat="1" ht="12" customHeight="1">
      <c r="A104" s="992" t="s">
        <v>76</v>
      </c>
      <c r="B104" s="992"/>
      <c r="C104" s="993">
        <f>'EFE20'!C18</f>
        <v>11250279</v>
      </c>
      <c r="G104" s="1002"/>
      <c r="I104" s="1002"/>
      <c r="N104" s="974"/>
      <c r="R104" s="1002"/>
      <c r="T104" s="1002"/>
      <c r="V104" s="991"/>
    </row>
    <row r="105" spans="1:22" s="985" customFormat="1" ht="12" customHeight="1">
      <c r="A105" s="995" t="s">
        <v>671</v>
      </c>
      <c r="B105" s="995"/>
      <c r="C105" s="996">
        <f>+C104-R24</f>
        <v>0</v>
      </c>
      <c r="G105" s="1002"/>
      <c r="I105" s="1002"/>
      <c r="N105" s="974"/>
      <c r="R105" s="1002"/>
      <c r="T105" s="1002"/>
      <c r="V105" s="991"/>
    </row>
    <row r="106" spans="1:22" s="985" customFormat="1" ht="12" customHeight="1">
      <c r="A106" s="1000" t="s">
        <v>873</v>
      </c>
      <c r="B106" s="1000"/>
      <c r="C106" s="996">
        <f>SUM(C104:C105)</f>
        <v>11250279</v>
      </c>
      <c r="G106" s="1002"/>
      <c r="I106" s="1002"/>
      <c r="N106" s="974"/>
      <c r="R106" s="1002"/>
      <c r="T106" s="1002"/>
      <c r="V106" s="991"/>
    </row>
    <row r="107" spans="1:22" ht="12" customHeight="1">
      <c r="C107" s="1034">
        <f>+C106-R24</f>
        <v>0</v>
      </c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M19" sqref="M19"/>
    </sheetView>
  </sheetViews>
  <sheetFormatPr defaultColWidth="11.5703125" defaultRowHeight="15"/>
  <cols>
    <col min="1" max="1" width="2.42578125" style="666" customWidth="1"/>
    <col min="2" max="2" width="36" style="666" customWidth="1"/>
    <col min="3" max="3" width="9.85546875" style="666" customWidth="1"/>
    <col min="4" max="4" width="12.28515625" style="666" customWidth="1"/>
    <col min="5" max="5" width="3.42578125" style="666" customWidth="1"/>
    <col min="6" max="6" width="12.28515625" style="666" customWidth="1"/>
    <col min="7" max="7" width="11.5703125" style="666"/>
    <col min="8" max="8" width="12.28515625" style="666" hidden="1" customWidth="1"/>
    <col min="9" max="9" width="11.5703125" style="666" hidden="1"/>
    <col min="10" max="10" width="12.7109375" style="666" hidden="1" customWidth="1"/>
    <col min="11" max="11" width="11.5703125" style="666" hidden="1"/>
    <col min="12" max="12" width="12" style="666" hidden="1" customWidth="1"/>
    <col min="13" max="13" width="11.5703125" style="667"/>
    <col min="14" max="1024" width="11.5703125" style="666"/>
  </cols>
  <sheetData>
    <row r="1" spans="1:15" s="674" customFormat="1" ht="12">
      <c r="A1" s="668"/>
      <c r="B1" s="669"/>
      <c r="C1" s="670" t="s">
        <v>626</v>
      </c>
      <c r="D1" s="670">
        <v>2020</v>
      </c>
      <c r="E1" s="670"/>
      <c r="F1" s="671">
        <v>2019</v>
      </c>
      <c r="G1" s="669"/>
      <c r="H1" s="671">
        <v>2018</v>
      </c>
      <c r="I1" s="672"/>
      <c r="J1" s="673">
        <v>2017</v>
      </c>
      <c r="K1" s="673"/>
      <c r="L1" s="673">
        <v>2016</v>
      </c>
      <c r="M1" s="668"/>
    </row>
    <row r="2" spans="1:15" ht="12" customHeight="1">
      <c r="A2" s="667"/>
      <c r="B2" s="675"/>
      <c r="C2" s="584" t="s">
        <v>628</v>
      </c>
      <c r="D2" s="584"/>
      <c r="E2" s="584"/>
      <c r="F2" s="675"/>
      <c r="G2" s="675"/>
      <c r="H2" s="675"/>
      <c r="I2" s="672"/>
      <c r="J2" s="673"/>
      <c r="K2" s="673"/>
      <c r="L2" s="673"/>
    </row>
    <row r="3" spans="1:15">
      <c r="A3" s="676" t="s">
        <v>684</v>
      </c>
      <c r="C3" s="677"/>
      <c r="D3" s="678">
        <f>'Planilla final'!Q64</f>
        <v>210617337.90000001</v>
      </c>
      <c r="E3" s="677"/>
      <c r="F3" s="676">
        <v>191805258</v>
      </c>
      <c r="G3" s="676"/>
      <c r="H3" s="676">
        <v>159845498</v>
      </c>
      <c r="I3" s="679"/>
      <c r="J3" s="680">
        <v>155656071.41999999</v>
      </c>
      <c r="K3" s="681"/>
      <c r="L3" s="680">
        <v>146349769</v>
      </c>
      <c r="O3" s="682"/>
    </row>
    <row r="4" spans="1:15">
      <c r="A4" s="676" t="s">
        <v>685</v>
      </c>
      <c r="C4" s="677">
        <v>33</v>
      </c>
      <c r="D4" s="678">
        <f>'Planilla final'!Q65</f>
        <v>-98260115.700000003</v>
      </c>
      <c r="E4" s="677"/>
      <c r="F4" s="676">
        <v>-121049688</v>
      </c>
      <c r="G4" s="676"/>
      <c r="H4" s="676">
        <v>-106153033</v>
      </c>
      <c r="I4" s="679"/>
      <c r="J4" s="683">
        <v>-103315253</v>
      </c>
      <c r="K4" s="681"/>
      <c r="L4" s="683">
        <v>-96949966</v>
      </c>
    </row>
    <row r="5" spans="1:15" ht="5.0999999999999996" customHeight="1">
      <c r="A5" s="667"/>
      <c r="C5" s="668"/>
      <c r="D5" s="684"/>
      <c r="E5" s="668"/>
      <c r="F5" s="667"/>
      <c r="G5" s="667"/>
      <c r="H5" s="667"/>
    </row>
    <row r="6" spans="1:15">
      <c r="A6" s="676" t="s">
        <v>686</v>
      </c>
      <c r="C6" s="677"/>
      <c r="D6" s="685">
        <f>D3+D4</f>
        <v>112357222.2</v>
      </c>
      <c r="E6" s="677"/>
      <c r="F6" s="686">
        <v>70755570</v>
      </c>
      <c r="G6" s="681"/>
      <c r="H6" s="686">
        <v>53692465</v>
      </c>
      <c r="I6" s="679"/>
      <c r="J6" s="681">
        <v>52340818.420000002</v>
      </c>
      <c r="K6" s="681"/>
      <c r="L6" s="681">
        <v>49399803</v>
      </c>
    </row>
    <row r="7" spans="1:15" ht="5.0999999999999996" customHeight="1">
      <c r="A7" s="676"/>
      <c r="C7" s="677"/>
      <c r="D7" s="678"/>
      <c r="E7" s="677"/>
      <c r="F7" s="676"/>
      <c r="G7" s="676"/>
      <c r="H7" s="676"/>
      <c r="I7" s="676"/>
      <c r="J7" s="681"/>
      <c r="K7" s="681"/>
      <c r="L7" s="681"/>
    </row>
    <row r="8" spans="1:15">
      <c r="A8" s="675" t="s">
        <v>687</v>
      </c>
      <c r="C8" s="669"/>
      <c r="D8" s="687"/>
      <c r="E8" s="669"/>
      <c r="F8" s="675"/>
      <c r="G8" s="675"/>
      <c r="H8" s="675"/>
      <c r="I8" s="676"/>
      <c r="J8" s="681"/>
      <c r="K8" s="681"/>
      <c r="L8" s="681"/>
    </row>
    <row r="9" spans="1:15">
      <c r="A9" s="676" t="s">
        <v>688</v>
      </c>
      <c r="C9" s="677">
        <v>33</v>
      </c>
      <c r="D9" s="678">
        <f>'Planilla final'!N67</f>
        <v>-79963126.739999995</v>
      </c>
      <c r="E9" s="677"/>
      <c r="F9" s="676">
        <v>-44400771</v>
      </c>
      <c r="G9" s="676"/>
      <c r="H9" s="676">
        <v>-37329669</v>
      </c>
      <c r="I9" s="676"/>
      <c r="J9" s="688">
        <v>-35713851.420000002</v>
      </c>
      <c r="K9" s="681"/>
      <c r="L9" s="688">
        <v>-31216849</v>
      </c>
    </row>
    <row r="10" spans="1:15" ht="5.0999999999999996" customHeight="1">
      <c r="A10" s="676"/>
      <c r="C10" s="677"/>
      <c r="D10" s="678"/>
      <c r="E10" s="677"/>
      <c r="F10" s="676"/>
      <c r="G10" s="676"/>
      <c r="H10" s="676"/>
      <c r="I10" s="676"/>
      <c r="J10" s="681"/>
      <c r="K10" s="681"/>
      <c r="L10" s="681"/>
    </row>
    <row r="11" spans="1:15">
      <c r="A11" s="676" t="s">
        <v>689</v>
      </c>
      <c r="C11" s="677"/>
      <c r="D11" s="685">
        <f>D6+D9</f>
        <v>32394095.460000008</v>
      </c>
      <c r="E11" s="677"/>
      <c r="F11" s="686">
        <v>26354799</v>
      </c>
      <c r="G11" s="681"/>
      <c r="H11" s="686">
        <v>16362796</v>
      </c>
      <c r="I11" s="676"/>
      <c r="J11" s="681">
        <v>16626967</v>
      </c>
      <c r="K11" s="681"/>
      <c r="L11" s="681">
        <v>18182954</v>
      </c>
    </row>
    <row r="12" spans="1:15" ht="5.0999999999999996" customHeight="1">
      <c r="A12" s="676"/>
      <c r="C12" s="677"/>
      <c r="D12" s="678"/>
      <c r="E12" s="677"/>
      <c r="F12" s="676"/>
      <c r="G12" s="676"/>
      <c r="H12" s="676"/>
      <c r="I12" s="676"/>
      <c r="J12" s="681"/>
      <c r="K12" s="681"/>
      <c r="L12" s="681"/>
    </row>
    <row r="13" spans="1:15">
      <c r="A13" s="689" t="s">
        <v>690</v>
      </c>
      <c r="C13" s="690"/>
      <c r="D13" s="691">
        <f>'Planilla final'!N70</f>
        <v>-1897461</v>
      </c>
      <c r="E13" s="690"/>
      <c r="F13" s="689">
        <v>-2329066</v>
      </c>
      <c r="G13" s="689"/>
      <c r="H13" s="676">
        <v>-3672120</v>
      </c>
      <c r="I13" s="676"/>
      <c r="J13" s="681">
        <v>-5201733</v>
      </c>
      <c r="K13" s="681"/>
      <c r="L13" s="681">
        <v>-4584126</v>
      </c>
    </row>
    <row r="14" spans="1:15">
      <c r="A14" s="676" t="s">
        <v>691</v>
      </c>
      <c r="C14" s="677"/>
      <c r="D14" s="678">
        <f>'Planilla final'!N68</f>
        <v>-834851.41</v>
      </c>
      <c r="E14" s="677"/>
      <c r="F14" s="676">
        <v>219694.47</v>
      </c>
      <c r="G14" s="676"/>
      <c r="H14" s="676">
        <v>-1111670</v>
      </c>
      <c r="I14" s="676"/>
      <c r="J14" s="681">
        <v>-2320429.9500000002</v>
      </c>
      <c r="K14" s="681"/>
      <c r="L14" s="681">
        <v>-507141</v>
      </c>
      <c r="N14" s="682"/>
      <c r="O14" s="682"/>
    </row>
    <row r="15" spans="1:15" ht="5.45" customHeight="1">
      <c r="A15" s="676"/>
      <c r="C15" s="677"/>
      <c r="D15" s="678"/>
      <c r="E15" s="677"/>
      <c r="F15" s="676"/>
      <c r="G15" s="676"/>
      <c r="H15" s="676"/>
      <c r="I15" s="676"/>
      <c r="J15" s="688"/>
      <c r="K15" s="681"/>
      <c r="L15" s="688"/>
    </row>
    <row r="16" spans="1:15" ht="27.6" customHeight="1">
      <c r="B16" s="692" t="s">
        <v>692</v>
      </c>
      <c r="C16" s="693"/>
      <c r="D16" s="685">
        <f>D11+D13+D14</f>
        <v>29661783.050000008</v>
      </c>
      <c r="E16" s="693"/>
      <c r="F16" s="686">
        <v>24245427.469999999</v>
      </c>
      <c r="G16" s="681"/>
      <c r="H16" s="686">
        <v>11579006</v>
      </c>
      <c r="I16" s="676"/>
      <c r="J16" s="681">
        <v>9104804.0499999896</v>
      </c>
      <c r="K16" s="681"/>
      <c r="L16" s="681">
        <v>13091687</v>
      </c>
    </row>
    <row r="17" spans="1:17" ht="5.0999999999999996" customHeight="1">
      <c r="A17" s="676"/>
      <c r="C17" s="677"/>
      <c r="D17" s="678"/>
      <c r="E17" s="677"/>
      <c r="F17" s="676"/>
      <c r="G17" s="676"/>
      <c r="H17" s="676"/>
      <c r="I17" s="676"/>
      <c r="J17" s="681"/>
      <c r="K17" s="681"/>
      <c r="L17" s="681"/>
    </row>
    <row r="18" spans="1:17">
      <c r="A18" s="676" t="s">
        <v>110</v>
      </c>
      <c r="C18" s="677"/>
      <c r="D18" s="678">
        <f>'Planilla final'!N72</f>
        <v>-4837640</v>
      </c>
      <c r="E18" s="677"/>
      <c r="F18" s="676">
        <v>-4208157</v>
      </c>
      <c r="G18" s="676"/>
      <c r="H18" s="676">
        <v>-2417615</v>
      </c>
      <c r="I18" s="676"/>
      <c r="J18" s="680">
        <v>-1591304</v>
      </c>
      <c r="K18" s="679"/>
      <c r="L18" s="680">
        <v>-1759101</v>
      </c>
    </row>
    <row r="19" spans="1:17" ht="5.45" customHeight="1">
      <c r="A19" s="676"/>
      <c r="C19" s="677"/>
      <c r="D19" s="678"/>
      <c r="E19" s="677"/>
      <c r="F19" s="676"/>
      <c r="G19" s="676"/>
      <c r="H19" s="676"/>
      <c r="I19" s="676"/>
      <c r="J19" s="681"/>
      <c r="K19" s="681"/>
      <c r="L19" s="681"/>
    </row>
    <row r="20" spans="1:17">
      <c r="A20" s="676" t="s">
        <v>693</v>
      </c>
      <c r="C20" s="677">
        <v>27</v>
      </c>
      <c r="D20" s="678">
        <f>'Planilla final'!Q73</f>
        <v>-7958121</v>
      </c>
      <c r="E20" s="677"/>
      <c r="F20" s="676">
        <v>-7566400</v>
      </c>
      <c r="G20" s="676"/>
      <c r="H20" s="676">
        <v>-4254413</v>
      </c>
      <c r="J20" s="681">
        <v>-3475906</v>
      </c>
      <c r="L20" s="681">
        <v>-3198548</v>
      </c>
    </row>
    <row r="21" spans="1:17" ht="5.0999999999999996" customHeight="1">
      <c r="A21" s="694"/>
      <c r="C21" s="693"/>
      <c r="D21" s="695"/>
      <c r="E21" s="693"/>
      <c r="F21" s="694"/>
      <c r="G21" s="694"/>
      <c r="H21" s="694"/>
      <c r="J21" s="667"/>
      <c r="L21" s="667"/>
    </row>
    <row r="22" spans="1:17">
      <c r="B22" s="676" t="s">
        <v>194</v>
      </c>
      <c r="C22" s="677"/>
      <c r="D22" s="696">
        <f>D16+D18+D20</f>
        <v>16866022.050000008</v>
      </c>
      <c r="E22" s="677"/>
      <c r="F22" s="697">
        <v>12470870.470000001</v>
      </c>
      <c r="G22" s="681"/>
      <c r="H22" s="697">
        <v>4906978</v>
      </c>
      <c r="J22" s="697">
        <v>4037594.04999999</v>
      </c>
      <c r="K22" s="681"/>
      <c r="L22" s="697">
        <v>8134038</v>
      </c>
      <c r="M22" s="681"/>
      <c r="N22" s="698"/>
      <c r="O22" s="699"/>
      <c r="P22" s="700"/>
      <c r="Q22" s="701"/>
    </row>
    <row r="23" spans="1:17">
      <c r="A23" s="667"/>
      <c r="C23" s="668"/>
      <c r="D23" s="684"/>
      <c r="E23" s="668"/>
      <c r="F23" s="667"/>
      <c r="G23" s="667"/>
      <c r="H23" s="667"/>
    </row>
    <row r="24" spans="1:17">
      <c r="A24" s="675" t="s">
        <v>694</v>
      </c>
      <c r="C24" s="669"/>
      <c r="D24" s="687"/>
      <c r="E24" s="669"/>
      <c r="F24" s="675"/>
      <c r="G24" s="675"/>
      <c r="H24" s="675"/>
    </row>
    <row r="25" spans="1:17" ht="5.0999999999999996" customHeight="1">
      <c r="A25" s="694"/>
      <c r="C25" s="693"/>
      <c r="D25" s="695"/>
      <c r="E25" s="693"/>
      <c r="F25" s="694"/>
      <c r="G25" s="694"/>
      <c r="H25" s="694"/>
      <c r="J25" s="667"/>
      <c r="L25" s="667"/>
    </row>
    <row r="26" spans="1:17" ht="25.5" customHeight="1">
      <c r="B26" s="702" t="s">
        <v>695</v>
      </c>
      <c r="C26" s="677"/>
      <c r="D26" s="678">
        <f>'Planilla final'!Q75</f>
        <v>0</v>
      </c>
      <c r="E26" s="677"/>
      <c r="F26" s="678">
        <v>-1099700</v>
      </c>
      <c r="G26" s="678"/>
      <c r="H26" s="678">
        <v>70086</v>
      </c>
      <c r="J26" s="683">
        <v>1849659</v>
      </c>
      <c r="L26" s="683">
        <v>-495802</v>
      </c>
    </row>
    <row r="27" spans="1:17" ht="5.0999999999999996" customHeight="1">
      <c r="A27" s="694"/>
      <c r="C27" s="693"/>
      <c r="D27" s="695"/>
      <c r="E27" s="693"/>
      <c r="F27" s="694"/>
      <c r="G27" s="694"/>
      <c r="H27" s="694"/>
      <c r="J27" s="667"/>
      <c r="L27" s="667"/>
    </row>
    <row r="28" spans="1:17">
      <c r="A28" s="676" t="s">
        <v>98</v>
      </c>
      <c r="C28" s="677"/>
      <c r="D28" s="703">
        <f>D22+D26</f>
        <v>16866022.050000008</v>
      </c>
      <c r="E28" s="677"/>
      <c r="F28" s="704">
        <v>11371170.470000001</v>
      </c>
      <c r="G28" s="705"/>
      <c r="H28" s="704">
        <v>4977064</v>
      </c>
      <c r="J28" s="706">
        <v>5887253.0499999896</v>
      </c>
      <c r="L28" s="706">
        <v>7638236</v>
      </c>
    </row>
    <row r="29" spans="1:17" ht="5.0999999999999996" customHeight="1">
      <c r="A29" s="676"/>
      <c r="C29" s="677"/>
      <c r="D29" s="678"/>
      <c r="E29" s="677"/>
      <c r="F29" s="676"/>
      <c r="G29" s="676"/>
      <c r="H29" s="676"/>
    </row>
    <row r="30" spans="1:17" s="666" customFormat="1" ht="12" hidden="1">
      <c r="A30" s="667" t="s">
        <v>696</v>
      </c>
      <c r="C30" s="668"/>
      <c r="D30" s="707"/>
      <c r="E30" s="668"/>
      <c r="F30" s="617">
        <v>12631217.718596799</v>
      </c>
      <c r="G30" s="617"/>
      <c r="H30" s="681">
        <v>6002231</v>
      </c>
      <c r="J30" s="688">
        <v>6447471.9952226197</v>
      </c>
      <c r="K30" s="681"/>
      <c r="L30" s="688">
        <v>7246588</v>
      </c>
    </row>
    <row r="31" spans="1:17" s="666" customFormat="1" ht="5.0999999999999996" hidden="1" customHeight="1">
      <c r="A31" s="667"/>
      <c r="C31" s="668"/>
      <c r="D31" s="707"/>
      <c r="E31" s="668"/>
      <c r="F31" s="617"/>
      <c r="G31" s="617"/>
      <c r="H31" s="667"/>
      <c r="J31" s="708"/>
      <c r="K31" s="709"/>
      <c r="L31" s="708"/>
    </row>
    <row r="32" spans="1:17" s="666" customFormat="1" ht="12" hidden="1">
      <c r="A32" s="667" t="s">
        <v>697</v>
      </c>
      <c r="C32" s="668"/>
      <c r="D32" s="707"/>
      <c r="E32" s="668"/>
      <c r="F32" s="617">
        <v>-1260047.2485968301</v>
      </c>
      <c r="G32" s="617"/>
      <c r="H32" s="680">
        <v>-1025167</v>
      </c>
      <c r="J32" s="683">
        <v>-560218.94522262504</v>
      </c>
      <c r="L32" s="710">
        <v>391648</v>
      </c>
    </row>
    <row r="33" spans="1:12" s="666" customFormat="1" ht="5.0999999999999996" customHeight="1">
      <c r="A33" s="667"/>
      <c r="C33" s="668"/>
      <c r="D33" s="684"/>
      <c r="E33" s="668"/>
      <c r="F33" s="667"/>
      <c r="G33" s="667"/>
      <c r="H33" s="667"/>
    </row>
    <row r="34" spans="1:12">
      <c r="A34" s="667" t="s">
        <v>698</v>
      </c>
      <c r="C34" s="668"/>
      <c r="D34" s="711">
        <v>37143362</v>
      </c>
      <c r="E34" s="668"/>
      <c r="F34" s="514">
        <v>37143362</v>
      </c>
      <c r="G34" s="514"/>
      <c r="H34" s="514">
        <v>35042687</v>
      </c>
    </row>
    <row r="35" spans="1:12">
      <c r="A35" s="667" t="s">
        <v>699</v>
      </c>
      <c r="C35" s="667"/>
      <c r="D35" s="712">
        <f>D28/D34</f>
        <v>0.45407903705647346</v>
      </c>
      <c r="E35" s="667"/>
      <c r="F35" s="713">
        <v>0.306142736082964</v>
      </c>
      <c r="G35" s="667"/>
      <c r="H35" s="713">
        <v>0.14202860642507201</v>
      </c>
      <c r="J35" s="714"/>
      <c r="L35" s="714"/>
    </row>
    <row r="36" spans="1:12">
      <c r="D36" s="715"/>
    </row>
    <row r="37" spans="1:12" s="666" customFormat="1" ht="12">
      <c r="D37" s="715"/>
    </row>
    <row r="38" spans="1:12" s="666" customFormat="1" ht="12">
      <c r="D38" s="715"/>
      <c r="F38" s="716"/>
    </row>
    <row r="39" spans="1:12" s="666" customFormat="1" ht="12">
      <c r="D39" s="7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6"/>
  <sheetViews>
    <sheetView showGridLines="0" zoomScaleNormal="100" workbookViewId="0">
      <pane xSplit="1" ySplit="4" topLeftCell="B70" activePane="bottomRight" state="frozen"/>
      <selection pane="topRight" activeCell="B1" sqref="B1"/>
      <selection pane="bottomLeft" activeCell="A56" sqref="A56"/>
      <selection pane="bottomRight" activeCell="V81" sqref="V81"/>
    </sheetView>
  </sheetViews>
  <sheetFormatPr defaultColWidth="11.42578125" defaultRowHeight="15"/>
  <cols>
    <col min="1" max="1" width="32.85546875" style="717" customWidth="1"/>
    <col min="2" max="2" width="11.5703125" style="717" customWidth="1"/>
    <col min="3" max="3" width="1" style="717" customWidth="1"/>
    <col min="4" max="4" width="12.85546875" style="717" customWidth="1"/>
    <col min="5" max="5" width="0.7109375" style="717" customWidth="1"/>
    <col min="6" max="6" width="9.7109375" style="717" customWidth="1"/>
    <col min="7" max="7" width="0.85546875" style="717" customWidth="1"/>
    <col min="8" max="8" width="10.42578125" style="717" customWidth="1"/>
    <col min="9" max="9" width="1" style="717" customWidth="1"/>
    <col min="10" max="10" width="10.5703125" style="717" customWidth="1"/>
    <col min="11" max="11" width="1" style="717" customWidth="1"/>
    <col min="12" max="12" width="8.5703125" style="717" customWidth="1"/>
    <col min="13" max="13" width="0.7109375" style="717" customWidth="1"/>
    <col min="14" max="14" width="10.5703125" style="717" customWidth="1"/>
    <col min="15" max="15" width="0.85546875" style="717" customWidth="1"/>
    <col min="16" max="16" width="11" style="717" customWidth="1"/>
    <col min="17" max="17" width="0.7109375" style="717" customWidth="1"/>
    <col min="18" max="18" width="11.42578125" style="717"/>
    <col min="19" max="19" width="0.7109375" style="717" customWidth="1"/>
    <col min="20" max="20" width="11.7109375" style="717" customWidth="1"/>
    <col min="21" max="21" width="4.7109375" style="717" customWidth="1"/>
    <col min="22" max="1024" width="11.42578125" style="717"/>
  </cols>
  <sheetData>
    <row r="1" spans="1:20" s="719" customFormat="1" ht="12">
      <c r="A1" s="718" t="s">
        <v>390</v>
      </c>
    </row>
    <row r="2" spans="1:20" s="719" customFormat="1" ht="24">
      <c r="A2" s="720" t="s">
        <v>700</v>
      </c>
    </row>
    <row r="3" spans="1:20" s="721" customFormat="1" ht="14.25" customHeight="1">
      <c r="B3" s="722"/>
      <c r="C3" s="722"/>
      <c r="D3" s="723"/>
      <c r="E3" s="723"/>
      <c r="F3" s="723"/>
      <c r="G3" s="723"/>
      <c r="H3" s="723"/>
      <c r="I3" s="723"/>
      <c r="J3" s="723"/>
      <c r="K3" s="723"/>
      <c r="L3" s="724" t="s">
        <v>149</v>
      </c>
      <c r="M3" s="725"/>
      <c r="N3" s="725"/>
      <c r="O3" s="725"/>
      <c r="P3" s="725"/>
      <c r="Q3" s="725"/>
      <c r="R3" s="722"/>
      <c r="S3" s="722"/>
      <c r="T3" s="722"/>
    </row>
    <row r="4" spans="1:20" s="721" customFormat="1" ht="48">
      <c r="B4" s="725" t="s">
        <v>172</v>
      </c>
      <c r="C4" s="725"/>
      <c r="D4" s="725" t="s">
        <v>701</v>
      </c>
      <c r="E4" s="725"/>
      <c r="F4" s="725" t="s">
        <v>538</v>
      </c>
      <c r="G4" s="725"/>
      <c r="H4" s="725" t="s">
        <v>702</v>
      </c>
      <c r="I4" s="725"/>
      <c r="J4" s="725" t="s">
        <v>94</v>
      </c>
      <c r="K4" s="725"/>
      <c r="L4" s="725" t="s">
        <v>436</v>
      </c>
      <c r="M4" s="725"/>
      <c r="N4" s="725" t="s">
        <v>703</v>
      </c>
      <c r="O4" s="725"/>
      <c r="P4" s="725" t="s">
        <v>149</v>
      </c>
      <c r="Q4" s="725"/>
      <c r="R4" s="725" t="s">
        <v>704</v>
      </c>
      <c r="S4" s="725"/>
      <c r="T4" s="725" t="s">
        <v>259</v>
      </c>
    </row>
    <row r="5" spans="1:20" hidden="1"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</row>
    <row r="6" spans="1:20" hidden="1">
      <c r="A6" s="727" t="s">
        <v>705</v>
      </c>
      <c r="B6" s="728">
        <v>23879352</v>
      </c>
      <c r="C6" s="728"/>
      <c r="D6" s="728">
        <v>705936</v>
      </c>
      <c r="E6" s="728"/>
      <c r="F6" s="728">
        <v>2640253</v>
      </c>
      <c r="G6" s="728"/>
      <c r="H6" s="728">
        <v>34797</v>
      </c>
      <c r="I6" s="728"/>
      <c r="J6" s="728">
        <v>0</v>
      </c>
      <c r="K6" s="728"/>
      <c r="L6" s="728">
        <v>227072</v>
      </c>
      <c r="M6" s="728"/>
      <c r="N6" s="728">
        <v>-3202431</v>
      </c>
      <c r="O6" s="728"/>
      <c r="P6" s="728">
        <v>34940142</v>
      </c>
      <c r="Q6" s="728"/>
      <c r="R6" s="728">
        <v>9357519</v>
      </c>
      <c r="S6" s="728"/>
      <c r="T6" s="728">
        <v>68582640</v>
      </c>
    </row>
    <row r="7" spans="1:20" hidden="1">
      <c r="B7" s="729"/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  <c r="S7" s="729"/>
      <c r="T7" s="729"/>
    </row>
    <row r="8" spans="1:20" ht="24.75" hidden="1">
      <c r="A8" s="727" t="s">
        <v>706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>
        <v>-2936828</v>
      </c>
      <c r="Q8" s="728"/>
      <c r="R8" s="728">
        <v>0</v>
      </c>
      <c r="S8" s="728"/>
      <c r="T8" s="728">
        <v>-2936828</v>
      </c>
    </row>
    <row r="9" spans="1:20" hidden="1">
      <c r="B9" s="729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</row>
    <row r="10" spans="1:20" hidden="1">
      <c r="B10" s="729"/>
      <c r="C10" s="729"/>
      <c r="D10" s="729"/>
      <c r="E10" s="729"/>
      <c r="F10" s="729"/>
      <c r="G10" s="729"/>
      <c r="H10" s="729"/>
      <c r="I10" s="729"/>
      <c r="J10" s="729"/>
      <c r="K10" s="729"/>
      <c r="L10" s="729"/>
      <c r="M10" s="729"/>
      <c r="N10" s="729"/>
      <c r="O10" s="729"/>
      <c r="P10" s="729"/>
      <c r="Q10" s="729"/>
      <c r="R10" s="729"/>
      <c r="S10" s="729"/>
      <c r="T10" s="729"/>
    </row>
    <row r="11" spans="1:20" ht="24.75" hidden="1">
      <c r="A11" s="727" t="s">
        <v>707</v>
      </c>
      <c r="B11" s="728">
        <v>23879352</v>
      </c>
      <c r="C11" s="728"/>
      <c r="D11" s="728">
        <v>705936</v>
      </c>
      <c r="E11" s="728"/>
      <c r="F11" s="728">
        <v>2640253</v>
      </c>
      <c r="G11" s="728"/>
      <c r="H11" s="728">
        <v>34797</v>
      </c>
      <c r="I11" s="728"/>
      <c r="J11" s="728">
        <v>0</v>
      </c>
      <c r="K11" s="728"/>
      <c r="L11" s="728">
        <v>227072</v>
      </c>
      <c r="M11" s="728"/>
      <c r="N11" s="728">
        <v>-3202431</v>
      </c>
      <c r="O11" s="728"/>
      <c r="P11" s="728">
        <v>32003314</v>
      </c>
      <c r="Q11" s="728"/>
      <c r="R11" s="728">
        <v>9357519</v>
      </c>
      <c r="S11" s="728"/>
      <c r="T11" s="728">
        <v>65645812</v>
      </c>
    </row>
    <row r="12" spans="1:20" hidden="1"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</row>
    <row r="13" spans="1:20" hidden="1">
      <c r="A13" s="727" t="s">
        <v>708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8">
        <v>1412099</v>
      </c>
      <c r="S13" s="728"/>
      <c r="T13" s="728">
        <v>1412099</v>
      </c>
    </row>
    <row r="14" spans="1:20" hidden="1"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29"/>
      <c r="O14" s="729"/>
      <c r="P14" s="729"/>
      <c r="Q14" s="729"/>
      <c r="R14" s="729"/>
      <c r="S14" s="729"/>
      <c r="T14" s="729"/>
    </row>
    <row r="15" spans="1:20" ht="36.75" hidden="1">
      <c r="A15" s="727" t="s">
        <v>709</v>
      </c>
      <c r="B15" s="728"/>
      <c r="C15" s="728"/>
      <c r="D15" s="728"/>
      <c r="E15" s="728"/>
      <c r="F15" s="728">
        <v>1341885</v>
      </c>
      <c r="G15" s="728"/>
      <c r="H15" s="728"/>
      <c r="I15" s="728"/>
      <c r="J15" s="728"/>
      <c r="K15" s="728"/>
      <c r="L15" s="728"/>
      <c r="M15" s="728"/>
      <c r="N15" s="728"/>
      <c r="O15" s="728"/>
      <c r="P15" s="728">
        <v>-1341885</v>
      </c>
      <c r="Q15" s="728"/>
      <c r="R15" s="728"/>
      <c r="S15" s="728"/>
      <c r="T15" s="728">
        <v>0</v>
      </c>
    </row>
    <row r="16" spans="1:20" hidden="1">
      <c r="B16" s="729"/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29"/>
    </row>
    <row r="17" spans="1:21" ht="24.75" hidden="1">
      <c r="A17" s="727" t="s">
        <v>710</v>
      </c>
      <c r="B17" s="730"/>
      <c r="C17" s="730"/>
      <c r="D17" s="728"/>
      <c r="E17" s="728"/>
      <c r="F17" s="728"/>
      <c r="G17" s="728"/>
      <c r="H17" s="728"/>
      <c r="I17" s="728"/>
      <c r="J17" s="728">
        <v>-495802</v>
      </c>
      <c r="K17" s="728"/>
      <c r="L17" s="728"/>
      <c r="M17" s="728"/>
      <c r="N17" s="728"/>
      <c r="O17" s="728"/>
      <c r="P17" s="728">
        <v>7742390</v>
      </c>
      <c r="Q17" s="728"/>
      <c r="R17" s="728">
        <v>391648</v>
      </c>
      <c r="S17" s="728"/>
      <c r="T17" s="728">
        <v>7638236</v>
      </c>
    </row>
    <row r="18" spans="1:21" hidden="1">
      <c r="B18" s="729"/>
      <c r="C18" s="729"/>
      <c r="D18" s="729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29"/>
      <c r="R18" s="729"/>
      <c r="S18" s="729"/>
      <c r="T18" s="729"/>
    </row>
    <row r="19" spans="1:21" hidden="1">
      <c r="A19" s="727" t="s">
        <v>197</v>
      </c>
      <c r="B19" s="726">
        <v>23879352</v>
      </c>
      <c r="C19" s="726"/>
      <c r="D19" s="726">
        <v>705936</v>
      </c>
      <c r="E19" s="726"/>
      <c r="F19" s="726">
        <v>3982138</v>
      </c>
      <c r="G19" s="726"/>
      <c r="H19" s="726">
        <v>34797</v>
      </c>
      <c r="I19" s="726"/>
      <c r="J19" s="728">
        <v>-495802</v>
      </c>
      <c r="K19" s="728"/>
      <c r="L19" s="726">
        <v>227072</v>
      </c>
      <c r="M19" s="726"/>
      <c r="N19" s="728">
        <v>-3202431</v>
      </c>
      <c r="O19" s="728"/>
      <c r="P19" s="726">
        <v>38403819</v>
      </c>
      <c r="Q19" s="726"/>
      <c r="R19" s="726">
        <v>11161266</v>
      </c>
      <c r="S19" s="726"/>
      <c r="T19" s="726">
        <v>74696147</v>
      </c>
      <c r="U19" s="731"/>
    </row>
    <row r="20" spans="1:21" hidden="1">
      <c r="A20" s="732"/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</row>
    <row r="21" spans="1:21" ht="36" hidden="1">
      <c r="A21" s="733" t="s">
        <v>711</v>
      </c>
      <c r="B21" s="728">
        <v>6127345</v>
      </c>
      <c r="C21" s="728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>
        <v>-6127345</v>
      </c>
      <c r="Q21" s="734"/>
      <c r="R21" s="734">
        <v>0</v>
      </c>
      <c r="S21" s="734"/>
      <c r="T21" s="734">
        <v>0</v>
      </c>
    </row>
    <row r="22" spans="1:21" hidden="1">
      <c r="A22" s="73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</row>
    <row r="23" spans="1:21" hidden="1">
      <c r="A23" s="727" t="s">
        <v>712</v>
      </c>
      <c r="B23" s="730"/>
      <c r="C23" s="730"/>
      <c r="D23" s="728"/>
      <c r="E23" s="728"/>
      <c r="F23" s="728">
        <v>680816</v>
      </c>
      <c r="G23" s="728"/>
      <c r="H23" s="728"/>
      <c r="I23" s="728"/>
      <c r="J23" s="728"/>
      <c r="K23" s="728"/>
      <c r="L23" s="728"/>
      <c r="M23" s="728"/>
      <c r="N23" s="728"/>
      <c r="O23" s="728"/>
      <c r="P23" s="728">
        <v>-680816</v>
      </c>
      <c r="Q23" s="728"/>
      <c r="R23" s="728">
        <v>0</v>
      </c>
      <c r="S23" s="728"/>
      <c r="T23" s="734">
        <v>0</v>
      </c>
    </row>
    <row r="24" spans="1:21" hidden="1">
      <c r="B24" s="728"/>
      <c r="C24" s="728"/>
      <c r="D24" s="728"/>
      <c r="E24" s="728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26"/>
      <c r="S24" s="726"/>
      <c r="T24" s="726"/>
    </row>
    <row r="25" spans="1:21" hidden="1">
      <c r="A25" s="727" t="s">
        <v>663</v>
      </c>
      <c r="B25" s="730"/>
      <c r="C25" s="730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>
        <v>446968</v>
      </c>
      <c r="Q25" s="728"/>
      <c r="R25" s="728">
        <v>0</v>
      </c>
      <c r="S25" s="728"/>
      <c r="T25" s="734">
        <v>446968</v>
      </c>
    </row>
    <row r="26" spans="1:21" hidden="1">
      <c r="B26" s="728"/>
      <c r="C26" s="728"/>
      <c r="D26" s="728"/>
      <c r="E26" s="728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/>
      <c r="Q26" s="730"/>
      <c r="R26" s="726"/>
      <c r="S26" s="726"/>
      <c r="T26" s="726"/>
    </row>
    <row r="27" spans="1:21" ht="48" hidden="1">
      <c r="A27" s="733" t="s">
        <v>713</v>
      </c>
      <c r="B27" s="730"/>
      <c r="C27" s="730"/>
      <c r="D27" s="728">
        <v>-705015</v>
      </c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8"/>
      <c r="R27" s="728">
        <v>0</v>
      </c>
      <c r="S27" s="728"/>
      <c r="T27" s="734">
        <v>-705015</v>
      </c>
    </row>
    <row r="28" spans="1:21" hidden="1">
      <c r="A28" s="733"/>
      <c r="B28" s="728"/>
      <c r="C28" s="728"/>
      <c r="D28" s="728"/>
      <c r="E28" s="728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26"/>
      <c r="S28" s="726"/>
      <c r="T28" s="726"/>
    </row>
    <row r="29" spans="1:21" ht="24" hidden="1">
      <c r="A29" s="733" t="s">
        <v>710</v>
      </c>
      <c r="B29" s="728"/>
      <c r="C29" s="728"/>
      <c r="D29" s="728"/>
      <c r="E29" s="728"/>
      <c r="F29" s="728"/>
      <c r="G29" s="728"/>
      <c r="H29" s="728"/>
      <c r="I29" s="728"/>
      <c r="J29" s="728">
        <v>1849659</v>
      </c>
      <c r="K29" s="728"/>
      <c r="L29" s="728"/>
      <c r="M29" s="728"/>
      <c r="N29" s="728"/>
      <c r="O29" s="728"/>
      <c r="P29" s="728">
        <v>4597812.9952226197</v>
      </c>
      <c r="Q29" s="728"/>
      <c r="R29" s="728">
        <v>-560218.94522262504</v>
      </c>
      <c r="S29" s="728"/>
      <c r="T29" s="734">
        <v>5887253.0499999998</v>
      </c>
    </row>
    <row r="30" spans="1:21" hidden="1">
      <c r="A30" s="733"/>
      <c r="B30" s="729"/>
      <c r="C30" s="729"/>
      <c r="D30" s="729"/>
      <c r="E30" s="729"/>
      <c r="F30" s="729"/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29"/>
      <c r="R30" s="729"/>
      <c r="S30" s="729"/>
      <c r="T30" s="729"/>
    </row>
    <row r="31" spans="1:21" hidden="1">
      <c r="A31" s="733" t="s">
        <v>714</v>
      </c>
      <c r="B31" s="728">
        <v>30006697</v>
      </c>
      <c r="C31" s="728"/>
      <c r="D31" s="728">
        <v>921</v>
      </c>
      <c r="E31" s="728"/>
      <c r="F31" s="728">
        <v>4662954</v>
      </c>
      <c r="G31" s="728"/>
      <c r="H31" s="728">
        <v>34797</v>
      </c>
      <c r="I31" s="728"/>
      <c r="J31" s="728">
        <v>1353857</v>
      </c>
      <c r="K31" s="728"/>
      <c r="L31" s="728">
        <v>227072</v>
      </c>
      <c r="M31" s="728"/>
      <c r="N31" s="728">
        <v>-3202431</v>
      </c>
      <c r="O31" s="728"/>
      <c r="P31" s="726">
        <v>36640438.995222598</v>
      </c>
      <c r="Q31" s="726"/>
      <c r="R31" s="726">
        <v>10601047.054777401</v>
      </c>
      <c r="S31" s="726"/>
      <c r="T31" s="726">
        <v>80325353.049999997</v>
      </c>
    </row>
    <row r="32" spans="1:21" hidden="1">
      <c r="A32" s="733"/>
      <c r="B32" s="728"/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6"/>
      <c r="Q32" s="726"/>
      <c r="R32" s="726"/>
      <c r="S32" s="726"/>
      <c r="T32" s="726"/>
    </row>
    <row r="33" spans="1:23" hidden="1">
      <c r="A33" s="733" t="s">
        <v>715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5"/>
      <c r="P33" s="735">
        <v>854455</v>
      </c>
      <c r="Q33" s="735"/>
      <c r="R33" s="735"/>
      <c r="S33" s="735"/>
      <c r="T33" s="735">
        <v>854455</v>
      </c>
    </row>
    <row r="34" spans="1:23" ht="3" hidden="1" customHeight="1">
      <c r="A34" s="733"/>
      <c r="B34" s="735"/>
      <c r="C34" s="735"/>
      <c r="D34" s="735"/>
      <c r="E34" s="735"/>
      <c r="F34" s="735"/>
      <c r="G34" s="735"/>
      <c r="H34" s="735"/>
      <c r="I34" s="735"/>
      <c r="J34" s="735"/>
      <c r="K34" s="735"/>
      <c r="L34" s="735"/>
      <c r="M34" s="735"/>
      <c r="N34" s="735"/>
      <c r="O34" s="735"/>
      <c r="P34" s="735"/>
      <c r="Q34" s="735"/>
      <c r="R34" s="735"/>
      <c r="S34" s="735"/>
      <c r="T34" s="735"/>
    </row>
    <row r="35" spans="1:23" ht="36" hidden="1">
      <c r="A35" s="733" t="s">
        <v>716</v>
      </c>
      <c r="B35" s="735">
        <v>5035990</v>
      </c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5"/>
      <c r="P35" s="735">
        <v>-5035990</v>
      </c>
      <c r="Q35" s="735"/>
      <c r="R35" s="735"/>
      <c r="S35" s="735"/>
      <c r="T35" s="735">
        <v>0</v>
      </c>
    </row>
    <row r="36" spans="1:23" ht="3" hidden="1" customHeight="1">
      <c r="A36" s="733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5"/>
      <c r="S36" s="735"/>
      <c r="T36" s="735"/>
    </row>
    <row r="37" spans="1:23" ht="24" hidden="1">
      <c r="A37" s="733" t="s">
        <v>717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>
        <v>-1560840</v>
      </c>
      <c r="S37" s="735"/>
      <c r="T37" s="735">
        <v>-1560840</v>
      </c>
    </row>
    <row r="38" spans="1:23" ht="3" hidden="1" customHeight="1">
      <c r="A38" s="733"/>
      <c r="B38" s="735"/>
      <c r="C38" s="735"/>
      <c r="D38" s="735"/>
      <c r="E38" s="735"/>
      <c r="F38" s="735"/>
      <c r="G38" s="735"/>
      <c r="H38" s="735"/>
      <c r="I38" s="735"/>
      <c r="J38" s="735"/>
      <c r="K38" s="735"/>
      <c r="L38" s="735"/>
      <c r="M38" s="735"/>
      <c r="N38" s="735"/>
      <c r="O38" s="735"/>
      <c r="P38" s="735"/>
      <c r="Q38" s="735"/>
      <c r="R38" s="735"/>
      <c r="S38" s="735"/>
      <c r="T38" s="735"/>
    </row>
    <row r="39" spans="1:23" hidden="1">
      <c r="A39" s="733" t="s">
        <v>712</v>
      </c>
      <c r="B39" s="735"/>
      <c r="C39" s="735"/>
      <c r="D39" s="735"/>
      <c r="E39" s="735"/>
      <c r="F39" s="735">
        <v>559554.56000000006</v>
      </c>
      <c r="G39" s="735"/>
      <c r="H39" s="735"/>
      <c r="I39" s="735"/>
      <c r="J39" s="735"/>
      <c r="K39" s="735"/>
      <c r="L39" s="735"/>
      <c r="M39" s="735"/>
      <c r="N39" s="735"/>
      <c r="O39" s="735"/>
      <c r="P39" s="735">
        <v>-559554.56000000006</v>
      </c>
      <c r="Q39" s="735"/>
      <c r="R39" s="735"/>
      <c r="S39" s="735"/>
      <c r="T39" s="735">
        <v>0</v>
      </c>
    </row>
    <row r="40" spans="1:23" ht="3" hidden="1" customHeight="1">
      <c r="A40" s="733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</row>
    <row r="41" spans="1:23" ht="36" hidden="1">
      <c r="A41" s="733" t="s">
        <v>718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>
        <v>-1644668.365</v>
      </c>
      <c r="Q41" s="735"/>
      <c r="R41" s="735">
        <v>-341647.63500000001</v>
      </c>
      <c r="S41" s="735"/>
      <c r="T41" s="735">
        <v>-1986316</v>
      </c>
    </row>
    <row r="42" spans="1:23" ht="3" hidden="1" customHeight="1">
      <c r="A42" s="733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5"/>
      <c r="P42" s="735"/>
      <c r="Q42" s="735"/>
      <c r="R42" s="735"/>
      <c r="S42" s="735"/>
      <c r="T42" s="735"/>
    </row>
    <row r="43" spans="1:23" hidden="1">
      <c r="A43" s="733" t="s">
        <v>719</v>
      </c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>
        <v>368434</v>
      </c>
      <c r="Q43" s="735"/>
      <c r="R43" s="735"/>
      <c r="S43" s="735"/>
      <c r="T43" s="735">
        <v>368434</v>
      </c>
    </row>
    <row r="44" spans="1:23" ht="3" hidden="1" customHeight="1">
      <c r="A44" s="733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5"/>
      <c r="P44" s="735"/>
      <c r="Q44" s="735"/>
      <c r="R44" s="735"/>
      <c r="S44" s="735"/>
      <c r="T44" s="735"/>
    </row>
    <row r="45" spans="1:23" ht="24" hidden="1">
      <c r="A45" s="733" t="s">
        <v>710</v>
      </c>
      <c r="B45" s="735"/>
      <c r="C45" s="735"/>
      <c r="D45" s="735"/>
      <c r="E45" s="735"/>
      <c r="F45" s="735"/>
      <c r="G45" s="735"/>
      <c r="H45" s="735"/>
      <c r="I45" s="735"/>
      <c r="J45" s="735">
        <v>70086</v>
      </c>
      <c r="K45" s="735"/>
      <c r="L45" s="735"/>
      <c r="M45" s="735"/>
      <c r="N45" s="735"/>
      <c r="O45" s="735"/>
      <c r="P45" s="735">
        <v>5932145</v>
      </c>
      <c r="Q45" s="735"/>
      <c r="R45" s="735">
        <v>-1025167</v>
      </c>
      <c r="S45" s="735"/>
      <c r="T45" s="735">
        <v>4977064</v>
      </c>
    </row>
    <row r="46" spans="1:23" hidden="1">
      <c r="A46" s="733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</row>
    <row r="47" spans="1:23">
      <c r="A47" s="733" t="s">
        <v>720</v>
      </c>
      <c r="B47" s="736">
        <v>35042687</v>
      </c>
      <c r="C47" s="737"/>
      <c r="D47" s="736">
        <v>921</v>
      </c>
      <c r="E47" s="737"/>
      <c r="F47" s="736">
        <v>5222508.5599999996</v>
      </c>
      <c r="G47" s="737"/>
      <c r="H47" s="736">
        <v>34797</v>
      </c>
      <c r="I47" s="737"/>
      <c r="J47" s="736">
        <v>1423943</v>
      </c>
      <c r="K47" s="737"/>
      <c r="L47" s="736">
        <v>227072</v>
      </c>
      <c r="M47" s="737"/>
      <c r="N47" s="736">
        <v>-3202431</v>
      </c>
      <c r="O47" s="737"/>
      <c r="P47" s="736">
        <v>36555260.070222601</v>
      </c>
      <c r="Q47" s="737"/>
      <c r="R47" s="736">
        <v>7673392.4197773803</v>
      </c>
      <c r="S47" s="737"/>
      <c r="T47" s="736">
        <v>82978150.049999997</v>
      </c>
      <c r="U47" s="727"/>
      <c r="V47" s="727"/>
      <c r="W47" s="727"/>
    </row>
    <row r="48" spans="1:23">
      <c r="B48" s="729"/>
      <c r="C48" s="729"/>
      <c r="D48" s="729"/>
      <c r="E48" s="729"/>
      <c r="F48" s="729"/>
      <c r="G48" s="729"/>
      <c r="H48" s="729"/>
      <c r="I48" s="729"/>
      <c r="J48" s="738"/>
      <c r="K48" s="738"/>
      <c r="L48" s="738"/>
      <c r="M48" s="738"/>
      <c r="N48" s="738"/>
      <c r="O48" s="738"/>
      <c r="P48" s="738"/>
      <c r="Q48" s="738"/>
      <c r="R48" s="738"/>
      <c r="S48" s="738"/>
      <c r="T48" s="738"/>
    </row>
    <row r="49" spans="1:21">
      <c r="A49" s="717" t="s">
        <v>721</v>
      </c>
      <c r="B49" s="729"/>
      <c r="C49" s="729"/>
      <c r="D49" s="729"/>
      <c r="E49" s="729"/>
      <c r="F49" s="729"/>
      <c r="G49" s="729"/>
      <c r="H49" s="729"/>
      <c r="I49" s="729"/>
      <c r="J49" s="738"/>
      <c r="K49" s="738"/>
      <c r="L49" s="738"/>
      <c r="M49" s="738"/>
      <c r="N49" s="738"/>
      <c r="O49" s="738"/>
      <c r="P49" s="739">
        <v>-1770198</v>
      </c>
      <c r="Q49" s="739"/>
      <c r="R49" s="738"/>
      <c r="S49" s="738"/>
      <c r="T49" s="740">
        <v>-1770198</v>
      </c>
    </row>
    <row r="50" spans="1:21" ht="3" customHeight="1">
      <c r="B50" s="729"/>
      <c r="C50" s="729"/>
      <c r="D50" s="729"/>
      <c r="E50" s="729"/>
      <c r="F50" s="729"/>
      <c r="G50" s="729"/>
      <c r="H50" s="729"/>
      <c r="I50" s="729"/>
      <c r="J50" s="738"/>
      <c r="K50" s="738"/>
      <c r="L50" s="738"/>
      <c r="M50" s="738"/>
      <c r="N50" s="738"/>
      <c r="O50" s="738"/>
      <c r="P50" s="739"/>
      <c r="Q50" s="739"/>
      <c r="R50" s="738"/>
      <c r="S50" s="738"/>
      <c r="T50" s="740"/>
    </row>
    <row r="51" spans="1:21" ht="36">
      <c r="A51" s="733" t="s">
        <v>722</v>
      </c>
      <c r="B51" s="735">
        <v>8215675</v>
      </c>
      <c r="C51" s="735"/>
      <c r="D51" s="735"/>
      <c r="E51" s="735"/>
      <c r="F51" s="735"/>
      <c r="G51" s="735"/>
      <c r="H51" s="735"/>
      <c r="I51" s="735"/>
      <c r="J51" s="740"/>
      <c r="K51" s="740"/>
      <c r="L51" s="740"/>
      <c r="M51" s="740"/>
      <c r="N51" s="740"/>
      <c r="O51" s="740"/>
      <c r="P51" s="740">
        <v>-8215675</v>
      </c>
      <c r="Q51" s="740"/>
      <c r="R51" s="740"/>
      <c r="S51" s="740"/>
      <c r="T51" s="740">
        <v>0</v>
      </c>
    </row>
    <row r="52" spans="1:21" ht="3" customHeight="1">
      <c r="A52" s="733"/>
      <c r="B52" s="735"/>
      <c r="C52" s="735"/>
      <c r="D52" s="735"/>
      <c r="E52" s="735"/>
      <c r="F52" s="735"/>
      <c r="G52" s="735"/>
      <c r="H52" s="735"/>
      <c r="I52" s="735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</row>
    <row r="53" spans="1:21">
      <c r="A53" s="733" t="s">
        <v>723</v>
      </c>
      <c r="B53" s="735"/>
      <c r="C53" s="735"/>
      <c r="D53" s="729"/>
      <c r="E53" s="729"/>
      <c r="F53" s="735"/>
      <c r="G53" s="735"/>
      <c r="H53" s="735"/>
      <c r="I53" s="735"/>
      <c r="J53" s="740"/>
      <c r="K53" s="740"/>
      <c r="L53" s="740"/>
      <c r="M53" s="740"/>
      <c r="N53" s="740"/>
      <c r="O53" s="740"/>
      <c r="P53" s="740"/>
      <c r="Q53" s="740"/>
      <c r="R53" s="740">
        <v>1188714</v>
      </c>
      <c r="S53" s="740"/>
      <c r="T53" s="740">
        <v>1188714</v>
      </c>
      <c r="U53" s="741"/>
    </row>
    <row r="54" spans="1:21" ht="3" customHeight="1">
      <c r="A54" s="733"/>
      <c r="B54" s="735"/>
      <c r="C54" s="735"/>
      <c r="D54" s="729"/>
      <c r="E54" s="729"/>
      <c r="F54" s="735"/>
      <c r="G54" s="735"/>
      <c r="H54" s="735"/>
      <c r="I54" s="735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1"/>
    </row>
    <row r="55" spans="1:21" ht="24">
      <c r="A55" s="733" t="s">
        <v>724</v>
      </c>
      <c r="B55" s="735">
        <v>-6115000</v>
      </c>
      <c r="C55" s="735"/>
      <c r="D55" s="735">
        <v>6115000</v>
      </c>
      <c r="E55" s="735"/>
      <c r="F55" s="735"/>
      <c r="G55" s="735"/>
      <c r="H55" s="735"/>
      <c r="I55" s="735"/>
      <c r="J55" s="740"/>
      <c r="K55" s="740"/>
      <c r="L55" s="740"/>
      <c r="M55" s="740"/>
      <c r="N55" s="740"/>
      <c r="O55" s="740"/>
      <c r="P55" s="740"/>
      <c r="Q55" s="740"/>
      <c r="S55" s="740"/>
      <c r="T55" s="740">
        <v>0</v>
      </c>
    </row>
    <row r="56" spans="1:21" ht="3" customHeight="1">
      <c r="A56" s="733"/>
      <c r="B56" s="735"/>
      <c r="C56" s="735"/>
      <c r="D56" s="735"/>
      <c r="E56" s="735"/>
      <c r="F56" s="735"/>
      <c r="G56" s="735"/>
      <c r="H56" s="735"/>
      <c r="I56" s="735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</row>
    <row r="57" spans="1:21" ht="24">
      <c r="A57" s="733" t="s">
        <v>725</v>
      </c>
      <c r="B57" s="729"/>
      <c r="C57" s="729"/>
      <c r="D57" s="735"/>
      <c r="E57" s="735"/>
      <c r="F57" s="735"/>
      <c r="G57" s="735"/>
      <c r="H57" s="735"/>
      <c r="I57" s="735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</row>
    <row r="58" spans="1:21" ht="3" customHeight="1">
      <c r="A58" s="733"/>
      <c r="B58" s="729"/>
      <c r="C58" s="729"/>
      <c r="D58" s="735"/>
      <c r="E58" s="735"/>
      <c r="F58" s="735"/>
      <c r="G58" s="735"/>
      <c r="H58" s="735"/>
      <c r="I58" s="735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</row>
    <row r="59" spans="1:21">
      <c r="A59" s="733" t="s">
        <v>726</v>
      </c>
      <c r="B59" s="729"/>
      <c r="C59" s="729"/>
      <c r="D59" s="735"/>
      <c r="E59" s="735"/>
      <c r="F59" s="735"/>
      <c r="G59" s="735"/>
      <c r="H59" s="735"/>
      <c r="I59" s="735"/>
      <c r="J59" s="740"/>
      <c r="K59" s="740"/>
      <c r="L59" s="740"/>
      <c r="M59" s="740"/>
      <c r="N59" s="740"/>
      <c r="O59" s="740"/>
      <c r="P59" s="740">
        <v>-5488035</v>
      </c>
      <c r="Q59" s="740"/>
      <c r="R59" s="740"/>
      <c r="S59" s="740"/>
      <c r="T59" s="740">
        <v>-5488035</v>
      </c>
    </row>
    <row r="60" spans="1:21" ht="3" customHeight="1">
      <c r="A60" s="733"/>
      <c r="B60" s="729"/>
      <c r="C60" s="729"/>
      <c r="D60" s="735"/>
      <c r="E60" s="735"/>
      <c r="F60" s="735"/>
      <c r="G60" s="735"/>
      <c r="H60" s="735"/>
      <c r="I60" s="735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</row>
    <row r="61" spans="1:21">
      <c r="A61" s="733" t="s">
        <v>727</v>
      </c>
      <c r="B61" s="735"/>
      <c r="C61" s="735"/>
      <c r="D61" s="735"/>
      <c r="E61" s="735"/>
      <c r="F61" s="735">
        <v>912853</v>
      </c>
      <c r="G61" s="735"/>
      <c r="H61" s="735"/>
      <c r="I61" s="735"/>
      <c r="J61" s="740"/>
      <c r="K61" s="740"/>
      <c r="L61" s="740"/>
      <c r="M61" s="740"/>
      <c r="N61" s="740"/>
      <c r="O61" s="740"/>
      <c r="P61" s="740">
        <v>-912853</v>
      </c>
      <c r="Q61" s="740"/>
      <c r="R61" s="740"/>
      <c r="S61" s="740"/>
      <c r="T61" s="740">
        <v>0</v>
      </c>
    </row>
    <row r="62" spans="1:21" ht="3" customHeight="1">
      <c r="A62" s="733"/>
      <c r="B62" s="735"/>
      <c r="C62" s="735"/>
      <c r="D62" s="735"/>
      <c r="E62" s="735"/>
      <c r="F62" s="735"/>
      <c r="G62" s="735"/>
      <c r="H62" s="735"/>
      <c r="I62" s="735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</row>
    <row r="63" spans="1:21" ht="24">
      <c r="A63" s="733" t="s">
        <v>728</v>
      </c>
      <c r="B63" s="735">
        <v>0</v>
      </c>
      <c r="C63" s="735"/>
      <c r="D63" s="735"/>
      <c r="E63" s="735"/>
      <c r="F63" s="740">
        <v>0</v>
      </c>
      <c r="G63" s="740"/>
      <c r="H63" s="740"/>
      <c r="I63" s="740"/>
      <c r="J63" s="740"/>
      <c r="K63" s="740"/>
      <c r="L63" s="740">
        <v>0</v>
      </c>
      <c r="M63" s="740"/>
      <c r="N63" s="740"/>
      <c r="O63" s="740"/>
      <c r="P63" s="740">
        <v>221095</v>
      </c>
      <c r="Q63" s="740"/>
      <c r="R63" s="740">
        <v>0</v>
      </c>
      <c r="S63" s="740"/>
      <c r="T63" s="740">
        <v>221095</v>
      </c>
    </row>
    <row r="64" spans="1:21" ht="3" customHeight="1">
      <c r="A64" s="733"/>
      <c r="B64" s="735"/>
      <c r="C64" s="735"/>
      <c r="D64" s="735"/>
      <c r="E64" s="735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</row>
    <row r="65" spans="1:23" ht="24">
      <c r="A65" s="733" t="s">
        <v>710</v>
      </c>
      <c r="B65" s="735"/>
      <c r="C65" s="735"/>
      <c r="D65" s="735"/>
      <c r="E65" s="735"/>
      <c r="F65" s="740"/>
      <c r="G65" s="740"/>
      <c r="H65" s="740"/>
      <c r="I65" s="740"/>
      <c r="J65" s="740">
        <v>-1099700</v>
      </c>
      <c r="K65" s="740"/>
      <c r="L65" s="740"/>
      <c r="M65" s="740"/>
      <c r="N65" s="740"/>
      <c r="O65" s="740"/>
      <c r="P65" s="740">
        <v>13730917.763660001</v>
      </c>
      <c r="Q65" s="740"/>
      <c r="R65" s="740">
        <v>-1260047.29366</v>
      </c>
      <c r="S65" s="740"/>
      <c r="T65" s="740">
        <v>11371170.470000001</v>
      </c>
    </row>
    <row r="66" spans="1:23">
      <c r="B66" s="729"/>
      <c r="C66" s="729"/>
      <c r="D66" s="729"/>
      <c r="E66" s="729"/>
      <c r="F66" s="729"/>
      <c r="G66" s="729"/>
      <c r="H66" s="729"/>
      <c r="I66" s="729"/>
      <c r="J66" s="729"/>
      <c r="K66" s="729"/>
      <c r="L66" s="729"/>
      <c r="M66" s="729"/>
      <c r="N66" s="729"/>
      <c r="O66" s="729"/>
      <c r="P66" s="729"/>
      <c r="Q66" s="729"/>
      <c r="R66" s="729"/>
      <c r="S66" s="729"/>
      <c r="T66" s="729"/>
    </row>
    <row r="67" spans="1:23" ht="15.75" thickBot="1">
      <c r="A67" s="733" t="s">
        <v>729</v>
      </c>
      <c r="B67" s="742">
        <v>37143362</v>
      </c>
      <c r="C67" s="737"/>
      <c r="D67" s="742">
        <v>6115921</v>
      </c>
      <c r="E67" s="737"/>
      <c r="F67" s="742">
        <v>6135361.5599999996</v>
      </c>
      <c r="G67" s="737"/>
      <c r="H67" s="742">
        <v>34797</v>
      </c>
      <c r="I67" s="737"/>
      <c r="J67" s="742">
        <v>324243</v>
      </c>
      <c r="K67" s="737"/>
      <c r="L67" s="742">
        <v>227072</v>
      </c>
      <c r="M67" s="737"/>
      <c r="N67" s="742">
        <v>-3202431</v>
      </c>
      <c r="O67" s="737"/>
      <c r="P67" s="742">
        <v>34120511.8338826</v>
      </c>
      <c r="Q67" s="737"/>
      <c r="R67" s="742">
        <v>7602059.1261173803</v>
      </c>
      <c r="S67" s="737"/>
      <c r="T67" s="742">
        <v>88500896.519999996</v>
      </c>
      <c r="U67" s="727"/>
      <c r="V67" s="1061"/>
      <c r="W67" s="727"/>
    </row>
    <row r="68" spans="1:23" ht="15.75" thickTop="1">
      <c r="A68" s="733"/>
      <c r="B68" s="737"/>
      <c r="C68" s="737"/>
      <c r="D68" s="737"/>
      <c r="E68" s="737"/>
      <c r="F68" s="737"/>
      <c r="G68" s="737"/>
      <c r="H68" s="737"/>
      <c r="I68" s="737"/>
      <c r="J68" s="737"/>
      <c r="K68" s="737"/>
      <c r="L68" s="737"/>
      <c r="M68" s="737"/>
      <c r="N68" s="737"/>
      <c r="O68" s="737"/>
      <c r="P68" s="737"/>
      <c r="Q68" s="737"/>
      <c r="R68" s="737"/>
      <c r="S68" s="737"/>
      <c r="T68" s="737"/>
      <c r="U68" s="727"/>
      <c r="V68" s="727"/>
      <c r="W68" s="727"/>
    </row>
    <row r="69" spans="1:23">
      <c r="A69" s="717" t="s">
        <v>721</v>
      </c>
      <c r="B69" s="729"/>
      <c r="C69" s="729"/>
      <c r="D69" s="729"/>
      <c r="E69" s="729"/>
      <c r="F69" s="729"/>
      <c r="G69" s="729"/>
      <c r="H69" s="729"/>
      <c r="I69" s="729"/>
      <c r="J69" s="738"/>
      <c r="K69" s="738"/>
      <c r="L69" s="738"/>
      <c r="M69" s="738"/>
      <c r="N69" s="738"/>
      <c r="O69" s="738"/>
      <c r="P69" s="739"/>
      <c r="Q69" s="739"/>
      <c r="R69" s="738"/>
      <c r="S69" s="738"/>
      <c r="T69" s="740">
        <f>SUM(B69:R70)</f>
        <v>0</v>
      </c>
    </row>
    <row r="70" spans="1:23" ht="3" customHeight="1">
      <c r="B70" s="729"/>
      <c r="C70" s="729"/>
      <c r="D70" s="729"/>
      <c r="E70" s="729"/>
      <c r="F70" s="729"/>
      <c r="G70" s="729"/>
      <c r="H70" s="729"/>
      <c r="I70" s="729"/>
      <c r="J70" s="738"/>
      <c r="K70" s="738"/>
      <c r="L70" s="738"/>
      <c r="M70" s="738"/>
      <c r="N70" s="738"/>
      <c r="O70" s="738"/>
      <c r="P70" s="739"/>
      <c r="Q70" s="739"/>
      <c r="R70" s="738"/>
      <c r="S70" s="738"/>
      <c r="T70" s="740"/>
    </row>
    <row r="71" spans="1:23">
      <c r="A71" s="733" t="s">
        <v>852</v>
      </c>
      <c r="B71" s="735">
        <v>6115000</v>
      </c>
      <c r="C71" s="735"/>
      <c r="D71" s="735">
        <v>-6115000</v>
      </c>
      <c r="E71" s="735"/>
      <c r="F71" s="735"/>
      <c r="G71" s="735"/>
      <c r="H71" s="735"/>
      <c r="I71" s="735"/>
      <c r="J71" s="740"/>
      <c r="K71" s="740"/>
      <c r="L71" s="740"/>
      <c r="M71" s="740"/>
      <c r="N71" s="740"/>
      <c r="O71" s="740"/>
      <c r="P71" s="740">
        <v>1859768</v>
      </c>
      <c r="Q71" s="740"/>
      <c r="R71" s="740"/>
      <c r="S71" s="740"/>
      <c r="T71" s="740">
        <f>SUM(B71:R72)</f>
        <v>1859768</v>
      </c>
    </row>
    <row r="72" spans="1:23" ht="10.5" hidden="1" customHeight="1">
      <c r="A72" s="733"/>
      <c r="B72" s="735"/>
      <c r="C72" s="735"/>
      <c r="D72" s="735"/>
      <c r="E72" s="735"/>
      <c r="F72" s="735"/>
      <c r="G72" s="735"/>
      <c r="H72" s="735"/>
      <c r="I72" s="735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>
        <f>SUM(B72:R72)</f>
        <v>0</v>
      </c>
    </row>
    <row r="73" spans="1:23" ht="6.75" customHeight="1">
      <c r="A73" s="733"/>
      <c r="B73" s="735"/>
      <c r="C73" s="735"/>
      <c r="D73" s="729"/>
      <c r="E73" s="729"/>
      <c r="F73" s="735"/>
      <c r="G73" s="735"/>
      <c r="H73" s="735"/>
      <c r="I73" s="735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1"/>
    </row>
    <row r="74" spans="1:23">
      <c r="A74" s="733" t="s">
        <v>855</v>
      </c>
      <c r="B74" s="735"/>
      <c r="C74" s="735"/>
      <c r="D74" s="735"/>
      <c r="E74" s="735"/>
      <c r="F74" s="735"/>
      <c r="G74" s="735"/>
      <c r="H74" s="735"/>
      <c r="I74" s="735"/>
      <c r="J74" s="740"/>
      <c r="K74" s="740"/>
      <c r="L74" s="740"/>
      <c r="M74" s="740"/>
      <c r="N74" s="740"/>
      <c r="O74" s="740"/>
      <c r="P74" s="740">
        <v>660505</v>
      </c>
      <c r="Q74" s="740"/>
      <c r="R74" s="740"/>
      <c r="S74" s="740"/>
      <c r="T74" s="740">
        <f>SUM(B74:R75)</f>
        <v>660505</v>
      </c>
    </row>
    <row r="75" spans="1:23" ht="5.25" customHeight="1">
      <c r="A75" s="733"/>
      <c r="B75" s="735"/>
      <c r="C75" s="735"/>
      <c r="D75" s="735"/>
      <c r="E75" s="735"/>
      <c r="F75" s="735"/>
      <c r="G75" s="735"/>
      <c r="H75" s="735"/>
      <c r="I75" s="735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</row>
    <row r="76" spans="1:23">
      <c r="A76" s="733" t="s">
        <v>842</v>
      </c>
      <c r="B76" s="735">
        <v>-21629181</v>
      </c>
      <c r="C76" s="735"/>
      <c r="D76" s="735"/>
      <c r="E76" s="735"/>
      <c r="F76" s="735"/>
      <c r="G76" s="735"/>
      <c r="H76" s="735"/>
      <c r="I76" s="735"/>
      <c r="J76" s="740"/>
      <c r="K76" s="740"/>
      <c r="L76" s="740"/>
      <c r="M76" s="740"/>
      <c r="N76" s="740"/>
      <c r="O76" s="740"/>
      <c r="P76" s="740"/>
      <c r="Q76" s="740"/>
      <c r="S76" s="740"/>
      <c r="T76" s="740">
        <f>SUM(B76:R77)</f>
        <v>-21629181</v>
      </c>
    </row>
    <row r="77" spans="1:23" ht="5.25" customHeight="1">
      <c r="A77" s="733"/>
      <c r="B77" s="735"/>
      <c r="C77" s="735"/>
      <c r="D77" s="735"/>
      <c r="E77" s="735"/>
      <c r="F77" s="735"/>
      <c r="G77" s="735"/>
      <c r="H77" s="735"/>
      <c r="I77" s="735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>
        <f>SUM(B77:R77)</f>
        <v>0</v>
      </c>
    </row>
    <row r="78" spans="1:23" ht="24">
      <c r="A78" s="733" t="s">
        <v>856</v>
      </c>
      <c r="B78" s="735"/>
      <c r="C78" s="735"/>
      <c r="D78" s="735"/>
      <c r="E78" s="735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>
        <f>+Patrimonio!Q88</f>
        <v>-373201</v>
      </c>
      <c r="Q78" s="740"/>
      <c r="R78" s="740"/>
      <c r="S78" s="740"/>
      <c r="T78" s="740">
        <f>SUM(B78:R79)</f>
        <v>-373201</v>
      </c>
    </row>
    <row r="79" spans="1:23" ht="3.75" customHeight="1">
      <c r="A79" s="733"/>
      <c r="B79" s="735"/>
      <c r="C79" s="735"/>
      <c r="D79" s="735"/>
      <c r="E79" s="735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</row>
    <row r="80" spans="1:23" ht="24">
      <c r="A80" s="733" t="s">
        <v>857</v>
      </c>
      <c r="B80" s="735"/>
      <c r="C80" s="735"/>
      <c r="D80" s="735"/>
      <c r="E80" s="735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1028">
        <f>953966-50758-116791-673128</f>
        <v>113289</v>
      </c>
      <c r="Q80" s="740"/>
      <c r="R80" s="740"/>
      <c r="S80" s="740"/>
      <c r="T80" s="740">
        <f>SUM(B80:R81)</f>
        <v>113289</v>
      </c>
    </row>
    <row r="81" spans="1:23" ht="5.25" customHeight="1">
      <c r="A81" s="733"/>
      <c r="B81" s="735"/>
      <c r="C81" s="735"/>
      <c r="D81" s="735"/>
      <c r="E81" s="735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</row>
    <row r="82" spans="1:23" ht="24">
      <c r="A82" s="733" t="s">
        <v>710</v>
      </c>
      <c r="B82" s="735"/>
      <c r="C82" s="735"/>
      <c r="D82" s="735"/>
      <c r="E82" s="735"/>
      <c r="F82" s="740"/>
      <c r="G82" s="740"/>
      <c r="H82" s="740"/>
      <c r="I82" s="740"/>
      <c r="J82" s="740">
        <v>0</v>
      </c>
      <c r="K82" s="740"/>
      <c r="L82" s="740"/>
      <c r="M82" s="740"/>
      <c r="N82" s="740"/>
      <c r="O82" s="740"/>
      <c r="P82" s="740">
        <f>+'Planilla final'!Q80</f>
        <v>18034773.178671967</v>
      </c>
      <c r="Q82" s="740"/>
      <c r="R82" s="740">
        <f>+Patrimonio!Q73</f>
        <v>-698311</v>
      </c>
      <c r="S82" s="740"/>
      <c r="T82" s="740">
        <f>SUM(B82:R83)</f>
        <v>17336462.178671967</v>
      </c>
    </row>
    <row r="83" spans="1:23" ht="4.5" customHeight="1"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29"/>
      <c r="P83" s="729"/>
      <c r="Q83" s="729"/>
      <c r="R83" s="729"/>
      <c r="S83" s="729"/>
      <c r="T83" s="729"/>
    </row>
    <row r="84" spans="1:23" ht="15.75" thickBot="1">
      <c r="A84" s="733" t="s">
        <v>843</v>
      </c>
      <c r="B84" s="742">
        <f>SUM(B67:B83)</f>
        <v>21629181</v>
      </c>
      <c r="C84" s="737"/>
      <c r="D84" s="742">
        <f>SUM(D67:D83)</f>
        <v>921</v>
      </c>
      <c r="E84" s="737"/>
      <c r="F84" s="742">
        <f>SUM(F67:F83)</f>
        <v>6135361.5599999996</v>
      </c>
      <c r="G84" s="737"/>
      <c r="H84" s="742">
        <f>SUM(H67:H83)</f>
        <v>34797</v>
      </c>
      <c r="I84" s="737"/>
      <c r="J84" s="742">
        <f>SUM(J67:J83)</f>
        <v>324243</v>
      </c>
      <c r="K84" s="737"/>
      <c r="L84" s="742">
        <f>SUM(L67:L83)</f>
        <v>227072</v>
      </c>
      <c r="M84" s="737"/>
      <c r="N84" s="742">
        <f>SUM(N67:N83)</f>
        <v>-3202431</v>
      </c>
      <c r="O84" s="737"/>
      <c r="P84" s="742">
        <f>SUM(P67:P83)</f>
        <v>54415646.012554571</v>
      </c>
      <c r="Q84" s="737"/>
      <c r="R84" s="742">
        <f>SUM(R67:R83)</f>
        <v>6903748.1261173803</v>
      </c>
      <c r="S84" s="737"/>
      <c r="T84" s="742">
        <f>+T67+T69+T71+T76+T78+T82+T74+T80</f>
        <v>86468538.698671967</v>
      </c>
      <c r="U84" s="727"/>
      <c r="V84" s="727"/>
      <c r="W84" s="727"/>
    </row>
    <row r="85" spans="1:23" ht="15.75" thickTop="1">
      <c r="B85" s="729"/>
      <c r="C85" s="729"/>
      <c r="D85" s="729"/>
      <c r="E85" s="729"/>
      <c r="F85" s="729"/>
      <c r="G85" s="729"/>
      <c r="H85" s="729"/>
      <c r="I85" s="729"/>
      <c r="J85" s="729"/>
      <c r="K85" s="729"/>
      <c r="L85" s="729"/>
      <c r="M85" s="729"/>
      <c r="N85" s="729"/>
      <c r="O85" s="729"/>
      <c r="P85" s="729"/>
      <c r="Q85" s="729"/>
      <c r="R85" s="729"/>
      <c r="S85" s="729"/>
      <c r="T85" s="917">
        <f>+B84+D84+F84+H84+J84+L84+N84+P84+R84-T84</f>
        <v>0</v>
      </c>
    </row>
    <row r="86" spans="1:23" ht="12" customHeight="1">
      <c r="B86" s="743" t="s">
        <v>654</v>
      </c>
      <c r="C86" s="722"/>
      <c r="D86" s="722"/>
      <c r="E86" s="722"/>
      <c r="F86" s="722"/>
      <c r="G86" s="722"/>
      <c r="H86" s="722"/>
      <c r="I86" s="722"/>
      <c r="J86" s="722"/>
      <c r="K86" s="722"/>
      <c r="L86" s="722"/>
      <c r="M86" s="722"/>
      <c r="N86" s="722"/>
      <c r="O86" s="722"/>
      <c r="P86" s="722"/>
      <c r="Q86" s="722"/>
      <c r="R86" s="722"/>
      <c r="S86" s="729"/>
      <c r="T86" s="729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abSelected="1" topLeftCell="A4" zoomScaleNormal="100" workbookViewId="0">
      <pane xSplit="1" ySplit="44" topLeftCell="B48" activePane="bottomRight" state="frozen"/>
      <selection activeCell="A4" sqref="A4"/>
      <selection pane="topRight" activeCell="B4" sqref="B4"/>
      <selection pane="bottomLeft" activeCell="A48" sqref="A48"/>
      <selection pane="bottomRight" activeCell="C73" sqref="C73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4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730</v>
      </c>
    </row>
    <row r="3" spans="1:18">
      <c r="A3" s="404" t="s">
        <v>456</v>
      </c>
    </row>
    <row r="4" spans="1:18" ht="24.75" thickBot="1">
      <c r="B4" s="745" t="s">
        <v>293</v>
      </c>
      <c r="C4" s="745" t="s">
        <v>243</v>
      </c>
      <c r="D4" s="745" t="s">
        <v>831</v>
      </c>
      <c r="E4" s="745" t="s">
        <v>280</v>
      </c>
      <c r="F4" s="745" t="s">
        <v>281</v>
      </c>
      <c r="G4" s="745" t="s">
        <v>432</v>
      </c>
      <c r="H4" s="745" t="s">
        <v>282</v>
      </c>
      <c r="I4" s="745" t="s">
        <v>433</v>
      </c>
      <c r="J4" s="745" t="s">
        <v>830</v>
      </c>
      <c r="K4" s="745" t="s">
        <v>245</v>
      </c>
      <c r="L4" s="745" t="s">
        <v>247</v>
      </c>
      <c r="M4" s="745" t="s">
        <v>32</v>
      </c>
      <c r="N4" s="745" t="s">
        <v>497</v>
      </c>
      <c r="O4" s="746" t="s">
        <v>200</v>
      </c>
      <c r="P4" s="746" t="s">
        <v>201</v>
      </c>
      <c r="Q4" s="746" t="s">
        <v>453</v>
      </c>
    </row>
    <row r="5" spans="1:18" hidden="1">
      <c r="A5" s="747" t="s">
        <v>731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732</v>
      </c>
      <c r="B6" s="748">
        <v>35042687</v>
      </c>
      <c r="C6" s="748">
        <v>5000</v>
      </c>
      <c r="D6" s="748">
        <v>1105000</v>
      </c>
      <c r="E6" s="748">
        <v>10000</v>
      </c>
      <c r="F6" s="748">
        <v>1000</v>
      </c>
      <c r="G6" s="748">
        <v>1000</v>
      </c>
      <c r="H6" s="748">
        <v>5000</v>
      </c>
      <c r="I6" s="748">
        <v>10000</v>
      </c>
      <c r="J6" s="748">
        <v>800</v>
      </c>
      <c r="K6" s="748">
        <v>800</v>
      </c>
      <c r="L6" s="748">
        <v>3661400</v>
      </c>
      <c r="M6" s="748">
        <v>10000</v>
      </c>
      <c r="N6" s="748">
        <f>SUM(B6:M6)</f>
        <v>39852687</v>
      </c>
      <c r="O6" s="748">
        <f>+'AD ESF'!D137+'AD ESF'!D161+'AD ESF'!D198</f>
        <v>4810000</v>
      </c>
      <c r="P6" s="748"/>
      <c r="Q6" s="442">
        <f>+N6+P6-O6</f>
        <v>35042687</v>
      </c>
      <c r="R6" s="749">
        <f>+Q6-'ECP20'!B47</f>
        <v>0</v>
      </c>
    </row>
    <row r="7" spans="1:18" hidden="1">
      <c r="A7" s="564" t="s">
        <v>733</v>
      </c>
      <c r="B7" s="748">
        <v>-6115000</v>
      </c>
      <c r="C7" s="748"/>
      <c r="D7" s="748"/>
      <c r="E7" s="748">
        <v>-3200</v>
      </c>
      <c r="F7" s="748"/>
      <c r="G7" s="748"/>
      <c r="H7" s="748"/>
      <c r="I7" s="748"/>
      <c r="J7" s="748"/>
      <c r="K7" s="748"/>
      <c r="L7" s="748"/>
      <c r="M7" s="748"/>
      <c r="N7" s="748">
        <f>SUM(B7:M7)</f>
        <v>-6118200</v>
      </c>
      <c r="O7" s="748"/>
      <c r="P7" s="748">
        <f>+'AD ESF'!E189</f>
        <v>3200</v>
      </c>
      <c r="Q7" s="442">
        <f>+N7+P7-O7</f>
        <v>-6115000</v>
      </c>
      <c r="R7" s="749"/>
    </row>
    <row r="8" spans="1:18" hidden="1">
      <c r="A8" s="564" t="s">
        <v>734</v>
      </c>
      <c r="B8" s="748"/>
      <c r="C8" s="748"/>
      <c r="D8" s="748"/>
      <c r="E8" s="748">
        <v>-6800</v>
      </c>
      <c r="F8" s="748"/>
      <c r="G8" s="748"/>
      <c r="H8" s="748"/>
      <c r="I8" s="748"/>
      <c r="J8" s="748"/>
      <c r="K8" s="748"/>
      <c r="L8" s="748"/>
      <c r="M8" s="748"/>
      <c r="N8" s="748">
        <f>SUM(B8:M8)</f>
        <v>-6800</v>
      </c>
      <c r="O8" s="748"/>
      <c r="P8" s="748">
        <f>+'AD ESF'!E223</f>
        <v>6800</v>
      </c>
      <c r="Q8" s="442">
        <f>+N8+P8-O8</f>
        <v>0</v>
      </c>
      <c r="R8" s="749"/>
    </row>
    <row r="9" spans="1:18" ht="30" hidden="1">
      <c r="A9" s="750" t="s">
        <v>735</v>
      </c>
      <c r="B9" s="748">
        <v>8215675</v>
      </c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>
        <f>SUM(B9:M9)</f>
        <v>8215675</v>
      </c>
      <c r="O9" s="748"/>
      <c r="P9" s="748"/>
      <c r="Q9" s="442">
        <f>+N9+P9-O9</f>
        <v>8215675</v>
      </c>
    </row>
    <row r="10" spans="1:18" hidden="1">
      <c r="A10" s="751" t="s">
        <v>736</v>
      </c>
      <c r="B10" s="752">
        <f t="shared" ref="B10:Q10" si="0">SUM(B6:B9)</f>
        <v>37143362</v>
      </c>
      <c r="C10" s="752">
        <f t="shared" si="0"/>
        <v>5000</v>
      </c>
      <c r="D10" s="752">
        <f t="shared" si="0"/>
        <v>1105000</v>
      </c>
      <c r="E10" s="752">
        <f t="shared" si="0"/>
        <v>0</v>
      </c>
      <c r="F10" s="752">
        <f t="shared" si="0"/>
        <v>1000</v>
      </c>
      <c r="G10" s="752">
        <f t="shared" si="0"/>
        <v>1000</v>
      </c>
      <c r="H10" s="752">
        <f t="shared" si="0"/>
        <v>5000</v>
      </c>
      <c r="I10" s="752">
        <f t="shared" si="0"/>
        <v>10000</v>
      </c>
      <c r="J10" s="752">
        <f t="shared" si="0"/>
        <v>800</v>
      </c>
      <c r="K10" s="752">
        <f t="shared" si="0"/>
        <v>800</v>
      </c>
      <c r="L10" s="752">
        <f t="shared" si="0"/>
        <v>3661400</v>
      </c>
      <c r="M10" s="752">
        <f t="shared" si="0"/>
        <v>10000</v>
      </c>
      <c r="N10" s="752">
        <f t="shared" si="0"/>
        <v>41943362</v>
      </c>
      <c r="O10" s="752">
        <f t="shared" si="0"/>
        <v>4810000</v>
      </c>
      <c r="P10" s="752">
        <f t="shared" si="0"/>
        <v>10000</v>
      </c>
      <c r="Q10" s="752">
        <f t="shared" si="0"/>
        <v>37143362</v>
      </c>
      <c r="R10" s="749">
        <f>+Q10-'ECP20'!B67</f>
        <v>0</v>
      </c>
    </row>
    <row r="11" spans="1:18" hidden="1">
      <c r="B11" s="753">
        <f>+B10-'Planilla final'!B48</f>
        <v>15514181</v>
      </c>
      <c r="C11" s="753">
        <f>+C10-'Planilla final'!C48</f>
        <v>0</v>
      </c>
      <c r="D11" s="753">
        <f>+D10-'Planilla final'!D48</f>
        <v>0</v>
      </c>
      <c r="E11" s="753">
        <f>+E10-'Planilla final'!E48</f>
        <v>0</v>
      </c>
      <c r="F11" s="753">
        <f>+F10-'Planilla final'!F48</f>
        <v>0</v>
      </c>
      <c r="G11" s="753">
        <f>+G10-'Planilla final'!G48</f>
        <v>0</v>
      </c>
      <c r="H11" s="753">
        <f>+H10-'Planilla final'!H48</f>
        <v>0</v>
      </c>
      <c r="I11" s="753">
        <f>+I10-'Planilla final'!I48</f>
        <v>0</v>
      </c>
      <c r="J11" s="753">
        <f>+J10-'Planilla final'!J48</f>
        <v>0</v>
      </c>
      <c r="K11" s="753">
        <f>+K10-'Planilla final'!K48</f>
        <v>0</v>
      </c>
      <c r="L11" s="753">
        <f>+L10-'Planilla final'!L48</f>
        <v>0</v>
      </c>
      <c r="M11" s="753">
        <f>+M10-'Planilla final'!M48</f>
        <v>0</v>
      </c>
      <c r="N11" s="753">
        <f>+N10-'Planilla final'!N48</f>
        <v>15514181</v>
      </c>
      <c r="O11" s="753">
        <f>+O10-'Planilla final'!O48</f>
        <v>10000</v>
      </c>
      <c r="P11" s="753">
        <f>+P10-'Planilla final'!P48</f>
        <v>10000</v>
      </c>
      <c r="Q11" s="753">
        <f>+Q10-'Planilla final'!Q48</f>
        <v>15514181</v>
      </c>
    </row>
    <row r="12" spans="1:18" hidden="1">
      <c r="A12" s="747" t="s">
        <v>737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4"/>
      <c r="N12" s="754"/>
      <c r="O12" s="754"/>
      <c r="P12" s="754"/>
      <c r="Q12" s="439"/>
    </row>
    <row r="13" spans="1:18" hidden="1">
      <c r="A13" s="564" t="s">
        <v>732</v>
      </c>
      <c r="B13" s="748">
        <v>920</v>
      </c>
      <c r="C13" s="748">
        <v>37142894.460000001</v>
      </c>
      <c r="D13" s="748">
        <v>877313.05</v>
      </c>
      <c r="E13" s="748">
        <v>0</v>
      </c>
      <c r="F13" s="748">
        <v>49015</v>
      </c>
      <c r="G13" s="748">
        <v>330450</v>
      </c>
      <c r="H13" s="748">
        <v>0</v>
      </c>
      <c r="I13" s="748">
        <v>0</v>
      </c>
      <c r="J13" s="748">
        <v>0</v>
      </c>
      <c r="K13" s="748">
        <v>1833417.66</v>
      </c>
      <c r="L13" s="748">
        <v>406799.86</v>
      </c>
      <c r="M13" s="748">
        <v>0</v>
      </c>
      <c r="N13" s="748">
        <f>SUM(B13:M13)</f>
        <v>40640810.029999994</v>
      </c>
      <c r="O13" s="748">
        <f>+'AD ESF'!D140+'AD ESF'!D162</f>
        <v>40639889</v>
      </c>
      <c r="P13" s="748"/>
      <c r="Q13" s="442">
        <f>+N13+P13-O13</f>
        <v>921.02999999374151</v>
      </c>
    </row>
    <row r="14" spans="1:18" ht="30" hidden="1">
      <c r="A14" s="750" t="s">
        <v>738</v>
      </c>
      <c r="B14" s="748">
        <v>6115000</v>
      </c>
      <c r="C14" s="748">
        <v>4797300</v>
      </c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8">
        <f>SUM(B14:M14)</f>
        <v>10912300</v>
      </c>
      <c r="O14" s="748">
        <f>+'AD ESF'!D169+'AD ESF'!D196</f>
        <v>4797299</v>
      </c>
      <c r="P14" s="748"/>
      <c r="Q14" s="442">
        <f>+N14+P14-O14</f>
        <v>6115001</v>
      </c>
    </row>
    <row r="15" spans="1:18" hidden="1">
      <c r="A15" s="751" t="s">
        <v>736</v>
      </c>
      <c r="B15" s="752">
        <f>+B13+B14</f>
        <v>6115920</v>
      </c>
      <c r="C15" s="752">
        <f>+C13+C14</f>
        <v>41940194.460000001</v>
      </c>
      <c r="D15" s="752">
        <f>+'Planilla final'!D49</f>
        <v>877313.05</v>
      </c>
      <c r="E15" s="752">
        <f>+'Planilla final'!E49</f>
        <v>0</v>
      </c>
      <c r="F15" s="752">
        <f>+'Planilla final'!F49</f>
        <v>49015</v>
      </c>
      <c r="G15" s="752">
        <f>+'Planilla final'!G49</f>
        <v>330450</v>
      </c>
      <c r="H15" s="752">
        <f>+'Planilla final'!H49</f>
        <v>0</v>
      </c>
      <c r="I15" s="752">
        <f>+'Planilla final'!I49</f>
        <v>0</v>
      </c>
      <c r="J15" s="752">
        <f>+'Planilla final'!J49</f>
        <v>0</v>
      </c>
      <c r="K15" s="752">
        <f>+'Planilla final'!K49</f>
        <v>1833418</v>
      </c>
      <c r="L15" s="752">
        <f>+'Planilla final'!L49</f>
        <v>406800</v>
      </c>
      <c r="M15" s="752">
        <f>+'Planilla final'!M49</f>
        <v>0</v>
      </c>
      <c r="N15" s="752">
        <f>SUM(B15:M15)</f>
        <v>51553110.509999998</v>
      </c>
      <c r="O15" s="752">
        <f>SUM(O13:O14)</f>
        <v>45437188</v>
      </c>
      <c r="P15" s="752">
        <f>SUM(P13:P14)</f>
        <v>0</v>
      </c>
      <c r="Q15" s="752">
        <f>+N15+P15-O15</f>
        <v>6115922.5099999979</v>
      </c>
      <c r="R15" s="749">
        <f>+Q15-'ECP20'!D67</f>
        <v>1.5099999979138374</v>
      </c>
    </row>
    <row r="16" spans="1:18" hidden="1">
      <c r="B16" s="755"/>
      <c r="C16" s="753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6">
        <f>+'Planilla final'!O49-O15</f>
        <v>0</v>
      </c>
      <c r="P16" s="755">
        <f>+'Planilla final'!P49-P15</f>
        <v>0</v>
      </c>
    </row>
    <row r="17" spans="1:18" hidden="1">
      <c r="A17" s="756" t="s">
        <v>739</v>
      </c>
      <c r="B17" s="754"/>
      <c r="C17" s="754"/>
      <c r="D17" s="754"/>
      <c r="E17" s="754"/>
      <c r="F17" s="754"/>
      <c r="G17" s="754"/>
      <c r="H17" s="754"/>
      <c r="I17" s="754"/>
      <c r="J17" s="754"/>
      <c r="K17" s="754"/>
      <c r="L17" s="754"/>
      <c r="M17" s="754"/>
      <c r="N17" s="754"/>
      <c r="O17" s="754"/>
      <c r="P17" s="754"/>
      <c r="Q17" s="439"/>
    </row>
    <row r="18" spans="1:18" hidden="1">
      <c r="A18" s="443" t="s">
        <v>732</v>
      </c>
      <c r="B18" s="748">
        <v>5222508.5599999996</v>
      </c>
      <c r="C18" s="748">
        <v>0</v>
      </c>
      <c r="D18" s="748">
        <v>0</v>
      </c>
      <c r="E18" s="748">
        <v>74427</v>
      </c>
      <c r="F18" s="748">
        <v>500</v>
      </c>
      <c r="G18" s="748">
        <v>0</v>
      </c>
      <c r="H18" s="748"/>
      <c r="I18" s="748">
        <v>0</v>
      </c>
      <c r="J18" s="748">
        <v>0</v>
      </c>
      <c r="K18" s="748">
        <v>0</v>
      </c>
      <c r="L18" s="748">
        <v>0</v>
      </c>
      <c r="M18" s="748">
        <v>0</v>
      </c>
      <c r="N18" s="748">
        <f>SUM(B18:M18)</f>
        <v>5297435.5599999996</v>
      </c>
      <c r="O18" s="748">
        <f>+'AD ESF'!D138</f>
        <v>74927</v>
      </c>
      <c r="P18" s="748"/>
      <c r="Q18" s="442">
        <f>+N18+P18-O18</f>
        <v>5222508.5599999996</v>
      </c>
    </row>
    <row r="19" spans="1:18" hidden="1">
      <c r="A19" s="443" t="s">
        <v>740</v>
      </c>
      <c r="B19" s="748">
        <v>912853</v>
      </c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>
        <f>SUM(B19:M19)</f>
        <v>912853</v>
      </c>
      <c r="O19" s="748"/>
      <c r="P19" s="748"/>
      <c r="Q19" s="442">
        <f>+N19+P19-O19</f>
        <v>912853</v>
      </c>
    </row>
    <row r="20" spans="1:18" hidden="1">
      <c r="A20" s="403" t="s">
        <v>719</v>
      </c>
      <c r="B20" s="577"/>
      <c r="C20" s="577"/>
      <c r="D20" s="577"/>
      <c r="E20" s="757">
        <v>-74427</v>
      </c>
      <c r="F20" s="577"/>
      <c r="G20" s="577"/>
      <c r="H20" s="757"/>
      <c r="I20" s="577"/>
      <c r="J20" s="577"/>
      <c r="K20" s="577"/>
      <c r="L20" s="577"/>
      <c r="M20" s="577"/>
      <c r="N20" s="748">
        <f>SUM(B20:M20)</f>
        <v>-74427</v>
      </c>
      <c r="O20" s="577"/>
      <c r="P20" s="757">
        <f>+'AD ESF'!E224</f>
        <v>74427</v>
      </c>
      <c r="Q20" s="442">
        <f>+N20+P20-O20</f>
        <v>0</v>
      </c>
    </row>
    <row r="21" spans="1:18" hidden="1">
      <c r="A21" s="758" t="s">
        <v>736</v>
      </c>
      <c r="B21" s="752">
        <f t="shared" ref="B21:Q21" si="1">SUM(B18:B20)</f>
        <v>6135361.5599999996</v>
      </c>
      <c r="C21" s="752">
        <f t="shared" si="1"/>
        <v>0</v>
      </c>
      <c r="D21" s="752">
        <f t="shared" si="1"/>
        <v>0</v>
      </c>
      <c r="E21" s="752">
        <f t="shared" si="1"/>
        <v>0</v>
      </c>
      <c r="F21" s="752">
        <f t="shared" si="1"/>
        <v>500</v>
      </c>
      <c r="G21" s="752">
        <f t="shared" si="1"/>
        <v>0</v>
      </c>
      <c r="H21" s="752">
        <f t="shared" si="1"/>
        <v>0</v>
      </c>
      <c r="I21" s="752">
        <f t="shared" si="1"/>
        <v>0</v>
      </c>
      <c r="J21" s="752">
        <f t="shared" si="1"/>
        <v>0</v>
      </c>
      <c r="K21" s="752">
        <f t="shared" si="1"/>
        <v>0</v>
      </c>
      <c r="L21" s="752">
        <f t="shared" si="1"/>
        <v>0</v>
      </c>
      <c r="M21" s="752">
        <f t="shared" si="1"/>
        <v>0</v>
      </c>
      <c r="N21" s="752">
        <f t="shared" si="1"/>
        <v>6135861.5599999996</v>
      </c>
      <c r="O21" s="752">
        <f t="shared" si="1"/>
        <v>74927</v>
      </c>
      <c r="P21" s="752">
        <f t="shared" si="1"/>
        <v>74427</v>
      </c>
      <c r="Q21" s="752">
        <f t="shared" si="1"/>
        <v>6135361.5599999996</v>
      </c>
      <c r="R21" s="749">
        <f>+Q21-'ECP20'!F67</f>
        <v>0</v>
      </c>
    </row>
    <row r="22" spans="1:18" hidden="1">
      <c r="B22" s="755"/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M22" s="755"/>
      <c r="N22" s="755"/>
      <c r="O22" s="755">
        <f>+O21-'Planilla final'!O50</f>
        <v>-29616</v>
      </c>
      <c r="P22" s="755">
        <f>+P21-'Planilla final'!P50</f>
        <v>74427</v>
      </c>
    </row>
    <row r="23" spans="1:18" hidden="1">
      <c r="A23" s="756" t="s">
        <v>741</v>
      </c>
      <c r="B23" s="754"/>
      <c r="C23" s="754"/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4"/>
      <c r="O23" s="754"/>
      <c r="P23" s="754"/>
      <c r="Q23" s="439"/>
    </row>
    <row r="24" spans="1:18" hidden="1">
      <c r="A24" s="443" t="s">
        <v>732</v>
      </c>
      <c r="B24" s="748">
        <v>34797</v>
      </c>
      <c r="C24" s="748">
        <v>0</v>
      </c>
      <c r="D24" s="748">
        <v>0</v>
      </c>
      <c r="E24" s="748">
        <v>0</v>
      </c>
      <c r="F24" s="748">
        <v>0</v>
      </c>
      <c r="G24" s="748">
        <v>0</v>
      </c>
      <c r="H24" s="748">
        <v>0</v>
      </c>
      <c r="I24" s="748">
        <v>0</v>
      </c>
      <c r="J24" s="748">
        <v>0</v>
      </c>
      <c r="K24" s="748">
        <v>0</v>
      </c>
      <c r="L24" s="748">
        <v>0</v>
      </c>
      <c r="M24" s="748">
        <v>0</v>
      </c>
      <c r="N24" s="748">
        <f>SUM(B24:M24)</f>
        <v>34797</v>
      </c>
      <c r="O24" s="748"/>
      <c r="P24" s="748"/>
      <c r="Q24" s="442">
        <f>+N24+P24-O24</f>
        <v>34797</v>
      </c>
    </row>
    <row r="25" spans="1:18" hidden="1">
      <c r="A25" s="443"/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>
        <f>SUM(B25:M25)</f>
        <v>0</v>
      </c>
      <c r="O25" s="748"/>
      <c r="P25" s="748"/>
      <c r="Q25" s="442">
        <f>+N25+P25-O25</f>
        <v>0</v>
      </c>
    </row>
    <row r="26" spans="1:18" hidden="1">
      <c r="A26" s="758" t="s">
        <v>736</v>
      </c>
      <c r="B26" s="752">
        <f>+'Planilla final'!B51</f>
        <v>34797</v>
      </c>
      <c r="C26" s="752">
        <f>+'Planilla final'!C51</f>
        <v>0</v>
      </c>
      <c r="D26" s="752">
        <f>+'Planilla final'!D51</f>
        <v>0</v>
      </c>
      <c r="E26" s="752">
        <f>+'Planilla final'!E51</f>
        <v>0</v>
      </c>
      <c r="F26" s="752">
        <f>+'Planilla final'!F51</f>
        <v>0</v>
      </c>
      <c r="G26" s="752">
        <f>+'Planilla final'!G51</f>
        <v>0</v>
      </c>
      <c r="H26" s="752">
        <f>+'Planilla final'!H51</f>
        <v>0</v>
      </c>
      <c r="I26" s="752">
        <f>+'Planilla final'!I51</f>
        <v>0</v>
      </c>
      <c r="J26" s="752">
        <f>+'Planilla final'!J51</f>
        <v>0</v>
      </c>
      <c r="K26" s="752">
        <f>+'Planilla final'!K51</f>
        <v>0</v>
      </c>
      <c r="L26" s="752">
        <f>+'Planilla final'!L51</f>
        <v>0</v>
      </c>
      <c r="M26" s="752">
        <f>+'Planilla final'!M51</f>
        <v>0</v>
      </c>
      <c r="N26" s="752">
        <f>SUM(B26:M26)</f>
        <v>34797</v>
      </c>
      <c r="O26" s="752">
        <f>SUM(O24:O25)</f>
        <v>0</v>
      </c>
      <c r="P26" s="752">
        <f>SUM(P24:P25)</f>
        <v>0</v>
      </c>
      <c r="Q26" s="752">
        <f>+N26+P26-O26</f>
        <v>34797</v>
      </c>
      <c r="R26" s="749">
        <f>+Q26-'ECP20'!H67</f>
        <v>0</v>
      </c>
    </row>
    <row r="27" spans="1:18" hidden="1"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>
        <f>+O26-'Planilla final'!O51</f>
        <v>0</v>
      </c>
      <c r="P27" s="755">
        <f>+P26-'Planilla final'!P51</f>
        <v>0</v>
      </c>
    </row>
    <row r="28" spans="1:18" hidden="1">
      <c r="A28" s="756" t="s">
        <v>742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439"/>
    </row>
    <row r="29" spans="1:18" hidden="1">
      <c r="A29" s="443" t="s">
        <v>732</v>
      </c>
      <c r="B29" s="748">
        <v>227072</v>
      </c>
      <c r="C29" s="748">
        <v>0</v>
      </c>
      <c r="D29" s="748">
        <v>0</v>
      </c>
      <c r="E29" s="748">
        <v>0</v>
      </c>
      <c r="F29" s="748">
        <v>0</v>
      </c>
      <c r="G29" s="748">
        <v>109633</v>
      </c>
      <c r="H29" s="748">
        <v>1226</v>
      </c>
      <c r="I29" s="748">
        <v>0</v>
      </c>
      <c r="J29" s="748">
        <v>340</v>
      </c>
      <c r="K29" s="748">
        <v>0</v>
      </c>
      <c r="L29" s="748">
        <v>0</v>
      </c>
      <c r="M29" s="748">
        <v>0</v>
      </c>
      <c r="N29" s="748">
        <f>SUM(B29:M29)</f>
        <v>338271</v>
      </c>
      <c r="O29" s="748">
        <f>+'AD ESF'!D139</f>
        <v>111199</v>
      </c>
      <c r="P29" s="748"/>
      <c r="Q29" s="442">
        <f>+N29+P29-O29</f>
        <v>227072</v>
      </c>
    </row>
    <row r="30" spans="1:18" hidden="1">
      <c r="A30" s="443" t="s">
        <v>719</v>
      </c>
      <c r="B30" s="748"/>
      <c r="C30" s="748"/>
      <c r="D30" s="748"/>
      <c r="E30" s="748"/>
      <c r="F30" s="748"/>
      <c r="G30" s="748"/>
      <c r="H30" s="759">
        <v>-1226</v>
      </c>
      <c r="I30" s="748"/>
      <c r="J30" s="748"/>
      <c r="K30" s="748"/>
      <c r="L30" s="748"/>
      <c r="M30" s="748"/>
      <c r="N30" s="748">
        <f>SUM(B30:M30)</f>
        <v>-1226</v>
      </c>
      <c r="O30" s="748"/>
      <c r="P30" s="748">
        <f>+'AD ESF'!E225</f>
        <v>1226</v>
      </c>
      <c r="Q30" s="442">
        <f>+N30+P30-O30</f>
        <v>0</v>
      </c>
    </row>
    <row r="31" spans="1:18" hidden="1">
      <c r="A31" s="758" t="s">
        <v>736</v>
      </c>
      <c r="B31" s="752">
        <f>+'Planilla final'!B52</f>
        <v>227072</v>
      </c>
      <c r="C31" s="752">
        <f>+'Planilla final'!C52</f>
        <v>0</v>
      </c>
      <c r="D31" s="752">
        <f>+'Planilla final'!D52</f>
        <v>0</v>
      </c>
      <c r="E31" s="752">
        <f>+'Planilla final'!E52</f>
        <v>0</v>
      </c>
      <c r="F31" s="752">
        <f>+'Planilla final'!F52</f>
        <v>0</v>
      </c>
      <c r="G31" s="752">
        <f>+'Planilla final'!G52</f>
        <v>109633</v>
      </c>
      <c r="H31" s="752">
        <f>+'Planilla final'!H52</f>
        <v>0</v>
      </c>
      <c r="I31" s="752">
        <f>+'Planilla final'!I52</f>
        <v>0</v>
      </c>
      <c r="J31" s="752">
        <f>+J29+J30</f>
        <v>340</v>
      </c>
      <c r="K31" s="752">
        <f>+'Planilla final'!K52</f>
        <v>0</v>
      </c>
      <c r="L31" s="752">
        <f>+'Planilla final'!L52</f>
        <v>0</v>
      </c>
      <c r="M31" s="752">
        <f>+'Planilla final'!M52</f>
        <v>0</v>
      </c>
      <c r="N31" s="752">
        <f>SUM(B31:M31)</f>
        <v>337045</v>
      </c>
      <c r="O31" s="752">
        <f>SUM(O29:O30)</f>
        <v>111199</v>
      </c>
      <c r="P31" s="752">
        <f>SUM(P29:P30)</f>
        <v>1226</v>
      </c>
      <c r="Q31" s="752">
        <f>+N31+P31-O31</f>
        <v>227072</v>
      </c>
      <c r="R31" s="749">
        <f>+Q31-'ECP20'!L67</f>
        <v>0</v>
      </c>
    </row>
    <row r="32" spans="1:18" hidden="1"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5">
        <f>+O31-'Planilla final'!O52</f>
        <v>1226</v>
      </c>
      <c r="P32" s="755">
        <f>+P31-'Planilla final'!P52</f>
        <v>1226</v>
      </c>
    </row>
    <row r="33" spans="1:18" hidden="1">
      <c r="A33" s="756" t="s">
        <v>743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439"/>
    </row>
    <row r="34" spans="1:18" hidden="1">
      <c r="A34" s="443" t="s">
        <v>732</v>
      </c>
      <c r="B34" s="748">
        <v>1423943</v>
      </c>
      <c r="C34" s="748">
        <v>0</v>
      </c>
      <c r="D34" s="748">
        <v>0</v>
      </c>
      <c r="E34" s="748">
        <v>0</v>
      </c>
      <c r="F34" s="748">
        <v>0</v>
      </c>
      <c r="G34" s="748">
        <v>0</v>
      </c>
      <c r="H34" s="748">
        <v>0</v>
      </c>
      <c r="I34" s="748">
        <v>0</v>
      </c>
      <c r="J34" s="748">
        <v>0</v>
      </c>
      <c r="K34" s="748">
        <v>0</v>
      </c>
      <c r="L34" s="748">
        <v>0</v>
      </c>
      <c r="M34" s="748">
        <v>0</v>
      </c>
      <c r="N34" s="748">
        <f>SUM(B34:M34)</f>
        <v>1423943</v>
      </c>
      <c r="O34" s="748"/>
      <c r="P34" s="748"/>
      <c r="Q34" s="442">
        <f>+N34+P34-O34</f>
        <v>1423943</v>
      </c>
    </row>
    <row r="35" spans="1:18" hidden="1">
      <c r="A35" s="443" t="s">
        <v>744</v>
      </c>
      <c r="B35" s="748">
        <v>-1099700</v>
      </c>
      <c r="C35" s="748"/>
      <c r="D35" s="748"/>
      <c r="E35" s="748"/>
      <c r="F35" s="748"/>
      <c r="G35" s="748"/>
      <c r="H35" s="748"/>
      <c r="I35" s="748"/>
      <c r="J35" s="748"/>
      <c r="K35" s="748"/>
      <c r="L35" s="748"/>
      <c r="M35" s="748"/>
      <c r="N35" s="748">
        <f>SUM(B35:M35)</f>
        <v>-1099700</v>
      </c>
      <c r="O35" s="748"/>
      <c r="P35" s="748"/>
      <c r="Q35" s="442">
        <f>+N35+P35-O35</f>
        <v>-1099700</v>
      </c>
    </row>
    <row r="36" spans="1:18" hidden="1">
      <c r="A36" s="758" t="s">
        <v>736</v>
      </c>
      <c r="B36" s="752">
        <f>+B34+B35</f>
        <v>324243</v>
      </c>
      <c r="C36" s="752">
        <f>+'Planilla final'!C53</f>
        <v>0</v>
      </c>
      <c r="D36" s="752">
        <f>+'Planilla final'!D53</f>
        <v>0</v>
      </c>
      <c r="E36" s="752">
        <f>+'Planilla final'!E53</f>
        <v>0</v>
      </c>
      <c r="F36" s="752">
        <f>+'Planilla final'!F53</f>
        <v>0</v>
      </c>
      <c r="G36" s="752">
        <f>+'Planilla final'!G53</f>
        <v>0</v>
      </c>
      <c r="H36" s="752">
        <f>+'Planilla final'!H53</f>
        <v>0</v>
      </c>
      <c r="I36" s="752">
        <f>+'Planilla final'!I53</f>
        <v>0</v>
      </c>
      <c r="J36" s="752">
        <f>+'Planilla final'!J53</f>
        <v>0</v>
      </c>
      <c r="K36" s="752">
        <f>+'Planilla final'!K53</f>
        <v>0</v>
      </c>
      <c r="L36" s="752">
        <f>+'Planilla final'!L54</f>
        <v>202047</v>
      </c>
      <c r="M36" s="752">
        <f>+'Planilla final'!M53</f>
        <v>0</v>
      </c>
      <c r="N36" s="752">
        <f>SUM(B36:M36)</f>
        <v>526290</v>
      </c>
      <c r="O36" s="752">
        <f>SUM(O34:O35)</f>
        <v>0</v>
      </c>
      <c r="P36" s="752">
        <f>SUM(P34:P35)</f>
        <v>0</v>
      </c>
      <c r="Q36" s="752">
        <f>+N36+P36-O36</f>
        <v>526290</v>
      </c>
      <c r="R36" s="749">
        <f>+Q36-'ECP20'!J67</f>
        <v>202047</v>
      </c>
    </row>
    <row r="37" spans="1:18" hidden="1">
      <c r="B37" s="755"/>
      <c r="C37" s="755"/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/>
      <c r="O37" s="755">
        <f>+O36-'Planilla final'!O53</f>
        <v>0</v>
      </c>
      <c r="P37" s="755">
        <f>+P36-'Planilla final'!P53</f>
        <v>0</v>
      </c>
    </row>
    <row r="38" spans="1:18" hidden="1">
      <c r="A38" s="756" t="s">
        <v>745</v>
      </c>
      <c r="B38" s="754"/>
      <c r="C38" s="754"/>
      <c r="D38" s="754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439"/>
    </row>
    <row r="39" spans="1:18" hidden="1">
      <c r="A39" s="443" t="s">
        <v>732</v>
      </c>
      <c r="B39" s="748">
        <v>0</v>
      </c>
      <c r="C39" s="748">
        <v>0</v>
      </c>
      <c r="D39" s="748">
        <v>0</v>
      </c>
      <c r="E39" s="748">
        <v>0</v>
      </c>
      <c r="F39" s="748">
        <v>0</v>
      </c>
      <c r="G39" s="748">
        <v>0</v>
      </c>
      <c r="H39" s="748">
        <v>0</v>
      </c>
      <c r="I39" s="748">
        <v>0</v>
      </c>
      <c r="J39" s="748">
        <v>1378712</v>
      </c>
      <c r="K39" s="748">
        <v>0</v>
      </c>
      <c r="L39" s="748">
        <v>274690.03999999998</v>
      </c>
      <c r="M39" s="748">
        <v>0</v>
      </c>
      <c r="N39" s="748">
        <f>SUM(B39:M39)</f>
        <v>1653402.04</v>
      </c>
      <c r="O39" s="748">
        <f>+'AD ESF'!D141+'AD ESF'!D152</f>
        <v>1653402</v>
      </c>
      <c r="P39" s="748"/>
      <c r="Q39" s="442">
        <f>+N39+P39-O39</f>
        <v>4.0000000037252903E-2</v>
      </c>
    </row>
    <row r="40" spans="1:18" hidden="1">
      <c r="A40" s="443" t="s">
        <v>746</v>
      </c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>
        <v>-151290</v>
      </c>
      <c r="M40" s="748"/>
      <c r="N40" s="748">
        <f>SUM(B40:M40)</f>
        <v>-151290</v>
      </c>
      <c r="O40" s="748"/>
      <c r="P40" s="748">
        <f>+'AD ESF'!E177</f>
        <v>151290</v>
      </c>
      <c r="Q40" s="442">
        <f>+N40+P40-O40</f>
        <v>0</v>
      </c>
    </row>
    <row r="41" spans="1:18" hidden="1">
      <c r="A41" s="758" t="s">
        <v>736</v>
      </c>
      <c r="B41" s="752">
        <f t="shared" ref="B41:M41" si="2">SUM(B39:B40)</f>
        <v>0</v>
      </c>
      <c r="C41" s="752">
        <f t="shared" si="2"/>
        <v>0</v>
      </c>
      <c r="D41" s="752">
        <f t="shared" si="2"/>
        <v>0</v>
      </c>
      <c r="E41" s="752">
        <f t="shared" si="2"/>
        <v>0</v>
      </c>
      <c r="F41" s="752">
        <f t="shared" si="2"/>
        <v>0</v>
      </c>
      <c r="G41" s="752">
        <f t="shared" si="2"/>
        <v>0</v>
      </c>
      <c r="H41" s="752">
        <f t="shared" si="2"/>
        <v>0</v>
      </c>
      <c r="I41" s="752">
        <f t="shared" si="2"/>
        <v>0</v>
      </c>
      <c r="J41" s="752">
        <f t="shared" si="2"/>
        <v>1378712</v>
      </c>
      <c r="K41" s="752">
        <f t="shared" si="2"/>
        <v>0</v>
      </c>
      <c r="L41" s="752">
        <f t="shared" si="2"/>
        <v>123400.03999999998</v>
      </c>
      <c r="M41" s="752">
        <f t="shared" si="2"/>
        <v>0</v>
      </c>
      <c r="N41" s="752">
        <f>SUM(B41:M41)</f>
        <v>1502112.04</v>
      </c>
      <c r="O41" s="752">
        <f>SUM(O39:O40)</f>
        <v>1653402</v>
      </c>
      <c r="P41" s="752">
        <f>SUM(P39:P40)</f>
        <v>151290</v>
      </c>
      <c r="Q41" s="752">
        <f>SUM(Q39:Q40)</f>
        <v>4.0000000037252903E-2</v>
      </c>
    </row>
    <row r="42" spans="1:18" hidden="1"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>
        <f>+O41-'Planilla final'!O54</f>
        <v>72643</v>
      </c>
      <c r="P42" s="755">
        <f>+P41-'Planilla final'!P54</f>
        <v>151290</v>
      </c>
    </row>
    <row r="43" spans="1:18" hidden="1">
      <c r="A43" s="756" t="s">
        <v>747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439"/>
    </row>
    <row r="44" spans="1:18" hidden="1">
      <c r="A44" s="443" t="s">
        <v>732</v>
      </c>
      <c r="B44" s="748">
        <v>-3202431</v>
      </c>
      <c r="C44" s="748">
        <v>0</v>
      </c>
      <c r="D44" s="748">
        <v>0</v>
      </c>
      <c r="E44" s="748">
        <v>0</v>
      </c>
      <c r="F44" s="748">
        <v>82150</v>
      </c>
      <c r="G44" s="748">
        <v>0</v>
      </c>
      <c r="H44" s="748">
        <v>0</v>
      </c>
      <c r="I44" s="748">
        <v>0</v>
      </c>
      <c r="J44" s="748">
        <v>0</v>
      </c>
      <c r="K44" s="748">
        <v>0</v>
      </c>
      <c r="L44" s="748">
        <v>-56932</v>
      </c>
      <c r="M44" s="748">
        <v>0</v>
      </c>
      <c r="N44" s="748">
        <f>SUM(B44:M44)</f>
        <v>-3177213</v>
      </c>
      <c r="O44" s="748"/>
      <c r="P44" s="748">
        <f>+'AD ESF'!E144</f>
        <v>-25218</v>
      </c>
      <c r="Q44" s="442">
        <f>+N44+P44-O44</f>
        <v>-3202431</v>
      </c>
      <c r="R44" s="749">
        <f>+Q44-'ECP20'!N47</f>
        <v>0</v>
      </c>
    </row>
    <row r="45" spans="1:18" hidden="1">
      <c r="A45" s="443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>
        <f>SUM(B45:M45)</f>
        <v>0</v>
      </c>
      <c r="O45" s="748"/>
      <c r="P45" s="748"/>
      <c r="Q45" s="442">
        <f>+N45+P45-O45</f>
        <v>0</v>
      </c>
    </row>
    <row r="46" spans="1:18" hidden="1">
      <c r="A46" s="758" t="s">
        <v>736</v>
      </c>
      <c r="B46" s="752">
        <f t="shared" ref="B46:Q46" si="3">SUM(B44:B45)</f>
        <v>-3202431</v>
      </c>
      <c r="C46" s="752">
        <f t="shared" si="3"/>
        <v>0</v>
      </c>
      <c r="D46" s="752">
        <f t="shared" si="3"/>
        <v>0</v>
      </c>
      <c r="E46" s="752">
        <f t="shared" si="3"/>
        <v>0</v>
      </c>
      <c r="F46" s="752">
        <f t="shared" si="3"/>
        <v>82150</v>
      </c>
      <c r="G46" s="752">
        <f t="shared" si="3"/>
        <v>0</v>
      </c>
      <c r="H46" s="752">
        <f t="shared" si="3"/>
        <v>0</v>
      </c>
      <c r="I46" s="752">
        <f t="shared" si="3"/>
        <v>0</v>
      </c>
      <c r="J46" s="752">
        <f t="shared" si="3"/>
        <v>0</v>
      </c>
      <c r="K46" s="752">
        <f t="shared" si="3"/>
        <v>0</v>
      </c>
      <c r="L46" s="752">
        <f t="shared" si="3"/>
        <v>-56932</v>
      </c>
      <c r="M46" s="752">
        <f t="shared" si="3"/>
        <v>0</v>
      </c>
      <c r="N46" s="752">
        <f t="shared" si="3"/>
        <v>-3177213</v>
      </c>
      <c r="O46" s="752">
        <f t="shared" si="3"/>
        <v>0</v>
      </c>
      <c r="P46" s="752">
        <f t="shared" si="3"/>
        <v>-25218</v>
      </c>
      <c r="Q46" s="752">
        <f t="shared" si="3"/>
        <v>-3202431</v>
      </c>
      <c r="R46" s="749">
        <f>+Q46-'ECP20'!N67</f>
        <v>0</v>
      </c>
    </row>
    <row r="47" spans="1:18" ht="15.75" hidden="1" thickBot="1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>
        <f>+O46-'Planilla final'!O55</f>
        <v>-25218</v>
      </c>
      <c r="P47" s="755">
        <f>+P46-'Planilla final'!P55</f>
        <v>-25218</v>
      </c>
    </row>
    <row r="48" spans="1:18">
      <c r="A48" s="864" t="s">
        <v>748</v>
      </c>
      <c r="B48" s="865"/>
      <c r="C48" s="865"/>
      <c r="D48" s="865"/>
      <c r="E48" s="865"/>
      <c r="F48" s="865"/>
      <c r="G48" s="865"/>
      <c r="H48" s="865"/>
      <c r="I48" s="865"/>
      <c r="J48" s="865"/>
      <c r="K48" s="865"/>
      <c r="L48" s="932"/>
      <c r="M48" s="865"/>
      <c r="N48" s="865"/>
      <c r="O48" s="865"/>
      <c r="P48" s="932"/>
      <c r="Q48" s="901"/>
      <c r="R48" s="749"/>
    </row>
    <row r="49" spans="1:19" hidden="1">
      <c r="A49" s="867" t="s">
        <v>732</v>
      </c>
      <c r="B49" s="748">
        <v>42657482</v>
      </c>
      <c r="C49" s="748">
        <v>-4291030</v>
      </c>
      <c r="D49" s="748">
        <v>50053.89</v>
      </c>
      <c r="E49" s="748">
        <v>34764</v>
      </c>
      <c r="F49" s="760">
        <v>-1223180</v>
      </c>
      <c r="G49" s="748">
        <v>-80845</v>
      </c>
      <c r="H49" s="748">
        <v>1762.47</v>
      </c>
      <c r="I49" s="748">
        <v>0</v>
      </c>
      <c r="J49" s="760">
        <v>-201038</v>
      </c>
      <c r="K49" s="748">
        <v>-1012827</v>
      </c>
      <c r="L49" s="933">
        <v>-4780262</v>
      </c>
      <c r="M49" s="748">
        <v>-584524</v>
      </c>
      <c r="N49" s="748">
        <f t="shared" ref="N49:N55" si="4">SUM(B49:M49)</f>
        <v>30570356.359999999</v>
      </c>
      <c r="O49" s="748"/>
      <c r="P49" s="933"/>
      <c r="Q49" s="868">
        <f t="shared" ref="Q49:Q55" si="5">+N49+P49-O49</f>
        <v>30570356.359999999</v>
      </c>
      <c r="R49" s="749">
        <f>+Q49-'ECP20'!P47</f>
        <v>-5984903.7102226019</v>
      </c>
      <c r="S49" s="434"/>
    </row>
    <row r="50" spans="1:19" hidden="1">
      <c r="A50" s="867" t="s">
        <v>749</v>
      </c>
      <c r="B50" s="748">
        <v>-1770198</v>
      </c>
      <c r="C50" s="748"/>
      <c r="D50" s="748"/>
      <c r="E50" s="748"/>
      <c r="F50" s="760"/>
      <c r="G50" s="748"/>
      <c r="H50" s="748"/>
      <c r="I50" s="748"/>
      <c r="J50" s="760"/>
      <c r="K50" s="748"/>
      <c r="L50" s="933"/>
      <c r="M50" s="748"/>
      <c r="N50" s="748">
        <f t="shared" si="4"/>
        <v>-1770198</v>
      </c>
      <c r="O50" s="748"/>
      <c r="P50" s="933"/>
      <c r="Q50" s="868">
        <f t="shared" si="5"/>
        <v>-1770198</v>
      </c>
      <c r="R50" s="749"/>
      <c r="S50" s="434"/>
    </row>
    <row r="51" spans="1:19" ht="30" hidden="1">
      <c r="A51" s="869" t="s">
        <v>735</v>
      </c>
      <c r="B51" s="748">
        <v>-8215675</v>
      </c>
      <c r="C51" s="748"/>
      <c r="D51" s="748"/>
      <c r="E51" s="748"/>
      <c r="F51" s="748"/>
      <c r="G51" s="748"/>
      <c r="H51" s="748"/>
      <c r="I51" s="748"/>
      <c r="J51" s="748"/>
      <c r="K51" s="748"/>
      <c r="L51" s="933"/>
      <c r="M51" s="748"/>
      <c r="N51" s="748">
        <f t="shared" si="4"/>
        <v>-8215675</v>
      </c>
      <c r="O51" s="748"/>
      <c r="P51" s="933"/>
      <c r="Q51" s="868">
        <f t="shared" si="5"/>
        <v>-8215675</v>
      </c>
      <c r="R51" s="749"/>
    </row>
    <row r="52" spans="1:19" hidden="1">
      <c r="A52" s="867" t="s">
        <v>750</v>
      </c>
      <c r="B52" s="748">
        <v>-912853</v>
      </c>
      <c r="C52" s="748"/>
      <c r="D52" s="748"/>
      <c r="E52" s="748"/>
      <c r="F52" s="748"/>
      <c r="G52" s="748"/>
      <c r="H52" s="748"/>
      <c r="I52" s="748"/>
      <c r="J52" s="748"/>
      <c r="K52" s="748"/>
      <c r="L52" s="933"/>
      <c r="M52" s="748"/>
      <c r="N52" s="748">
        <f t="shared" si="4"/>
        <v>-912853</v>
      </c>
      <c r="O52" s="748"/>
      <c r="P52" s="933"/>
      <c r="Q52" s="868">
        <f t="shared" si="5"/>
        <v>-912853</v>
      </c>
    </row>
    <row r="53" spans="1:19" hidden="1">
      <c r="A53" s="867" t="s">
        <v>658</v>
      </c>
      <c r="B53" s="748">
        <v>-5488035</v>
      </c>
      <c r="C53" s="748"/>
      <c r="D53" s="748"/>
      <c r="E53" s="748"/>
      <c r="F53" s="748"/>
      <c r="G53" s="748"/>
      <c r="H53" s="748"/>
      <c r="I53" s="748"/>
      <c r="J53" s="748"/>
      <c r="K53" s="748"/>
      <c r="L53" s="933"/>
      <c r="M53" s="748"/>
      <c r="N53" s="748">
        <f t="shared" si="4"/>
        <v>-5488035</v>
      </c>
      <c r="O53" s="748"/>
      <c r="P53" s="933"/>
      <c r="Q53" s="868">
        <f t="shared" si="5"/>
        <v>-5488035</v>
      </c>
    </row>
    <row r="54" spans="1:19" hidden="1">
      <c r="A54" s="867" t="s">
        <v>719</v>
      </c>
      <c r="B54" s="748"/>
      <c r="C54" s="748">
        <v>37386</v>
      </c>
      <c r="D54" s="748"/>
      <c r="E54" s="748">
        <f>-34764</f>
        <v>-34764</v>
      </c>
      <c r="F54" s="748">
        <v>1173951</v>
      </c>
      <c r="G54" s="748"/>
      <c r="H54" s="748">
        <v>-1762</v>
      </c>
      <c r="I54" s="748"/>
      <c r="J54" s="748"/>
      <c r="K54" s="748">
        <v>-1728</v>
      </c>
      <c r="L54" s="933">
        <v>-78647</v>
      </c>
      <c r="M54" s="748">
        <v>-38152</v>
      </c>
      <c r="N54" s="748">
        <f t="shared" si="4"/>
        <v>1056284</v>
      </c>
      <c r="O54" s="748"/>
      <c r="P54" s="933"/>
      <c r="Q54" s="868">
        <f t="shared" si="5"/>
        <v>1056284</v>
      </c>
    </row>
    <row r="55" spans="1:19" hidden="1">
      <c r="A55" s="867" t="s">
        <v>751</v>
      </c>
      <c r="B55" s="748">
        <v>15216635</v>
      </c>
      <c r="C55" s="748">
        <v>-5325487</v>
      </c>
      <c r="D55" s="748">
        <v>181072</v>
      </c>
      <c r="E55" s="748"/>
      <c r="F55" s="748">
        <v>-44933</v>
      </c>
      <c r="G55" s="748">
        <v>-13474</v>
      </c>
      <c r="H55" s="748"/>
      <c r="I55" s="748"/>
      <c r="J55" s="748">
        <v>-40586</v>
      </c>
      <c r="K55" s="748">
        <v>1063188</v>
      </c>
      <c r="L55" s="933">
        <v>1040435</v>
      </c>
      <c r="M55" s="748">
        <v>-436196</v>
      </c>
      <c r="N55" s="748">
        <f t="shared" si="4"/>
        <v>11640654</v>
      </c>
      <c r="O55" s="748"/>
      <c r="P55" s="933"/>
      <c r="Q55" s="868">
        <f t="shared" si="5"/>
        <v>11640654</v>
      </c>
    </row>
    <row r="56" spans="1:19">
      <c r="A56" s="879" t="s">
        <v>736</v>
      </c>
      <c r="B56" s="754">
        <f t="shared" ref="B56:N56" si="6">SUM(B49:B55)</f>
        <v>41487356</v>
      </c>
      <c r="C56" s="754">
        <f t="shared" si="6"/>
        <v>-9579131</v>
      </c>
      <c r="D56" s="754">
        <f t="shared" si="6"/>
        <v>231125.89</v>
      </c>
      <c r="E56" s="754">
        <f t="shared" si="6"/>
        <v>0</v>
      </c>
      <c r="F56" s="754">
        <f t="shared" si="6"/>
        <v>-94162</v>
      </c>
      <c r="G56" s="754">
        <f t="shared" si="6"/>
        <v>-94319</v>
      </c>
      <c r="H56" s="754">
        <f t="shared" si="6"/>
        <v>0.47000000000002728</v>
      </c>
      <c r="I56" s="754">
        <f t="shared" si="6"/>
        <v>0</v>
      </c>
      <c r="J56" s="754">
        <f t="shared" si="6"/>
        <v>-241624</v>
      </c>
      <c r="K56" s="754">
        <f t="shared" si="6"/>
        <v>48633</v>
      </c>
      <c r="L56" s="934">
        <f>SUM(L49:L55)-673126</f>
        <v>-4491600</v>
      </c>
      <c r="M56" s="754">
        <f t="shared" si="6"/>
        <v>-1058872</v>
      </c>
      <c r="N56" s="754">
        <f t="shared" si="6"/>
        <v>26880533.359999999</v>
      </c>
      <c r="O56" s="754">
        <f>+'AD ESF'!D307</f>
        <v>950362</v>
      </c>
      <c r="P56" s="934">
        <f>+'AD ESF'!E254+'AD ESF'!E263+'AD ESF'!E291</f>
        <v>7517216</v>
      </c>
      <c r="Q56" s="881">
        <f>+N56+P56-O56</f>
        <v>33447387.359999999</v>
      </c>
      <c r="R56" s="749"/>
      <c r="S56" s="955"/>
    </row>
    <row r="57" spans="1:19">
      <c r="A57" s="867" t="s">
        <v>852</v>
      </c>
      <c r="B57" s="748">
        <v>1859768</v>
      </c>
      <c r="C57" s="748"/>
      <c r="D57" s="748"/>
      <c r="E57" s="748"/>
      <c r="F57" s="760"/>
      <c r="G57" s="748"/>
      <c r="H57" s="748"/>
      <c r="I57" s="748"/>
      <c r="J57" s="760"/>
      <c r="K57" s="748"/>
      <c r="L57" s="748"/>
      <c r="M57" s="748"/>
      <c r="N57" s="748">
        <f t="shared" ref="N57:N63" si="7">SUM(B57:M57)</f>
        <v>1859768</v>
      </c>
      <c r="O57" s="748"/>
      <c r="P57" s="748"/>
      <c r="Q57" s="1062">
        <f t="shared" ref="Q57:Q63" si="8">+N57+P57-O57</f>
        <v>1859768</v>
      </c>
      <c r="R57" s="749"/>
      <c r="S57" s="434"/>
    </row>
    <row r="58" spans="1:19">
      <c r="A58" s="867" t="s">
        <v>853</v>
      </c>
      <c r="B58" s="748">
        <v>660505</v>
      </c>
      <c r="C58" s="933"/>
      <c r="E58" s="748"/>
      <c r="F58" s="748"/>
      <c r="G58" s="748"/>
      <c r="H58" s="748"/>
      <c r="I58" s="748"/>
      <c r="J58" s="748"/>
      <c r="K58" s="748"/>
      <c r="M58" s="748"/>
      <c r="N58" s="748">
        <f t="shared" si="7"/>
        <v>660505</v>
      </c>
      <c r="O58" s="748">
        <f>+'AD ESF'!D203</f>
        <v>0</v>
      </c>
      <c r="P58" s="748"/>
      <c r="Q58" s="1062">
        <f t="shared" si="8"/>
        <v>660505</v>
      </c>
    </row>
    <row r="59" spans="1:19" ht="15" customHeight="1">
      <c r="A59" s="869" t="s">
        <v>854</v>
      </c>
      <c r="B59" s="748"/>
      <c r="D59" s="748"/>
      <c r="E59" s="748"/>
      <c r="F59" s="748"/>
      <c r="G59" s="748"/>
      <c r="H59" s="748"/>
      <c r="I59" s="748"/>
      <c r="J59" s="748"/>
      <c r="K59" s="748">
        <v>-373201</v>
      </c>
      <c r="L59" s="748"/>
      <c r="M59" s="748"/>
      <c r="N59" s="748">
        <f t="shared" si="7"/>
        <v>-373201</v>
      </c>
      <c r="O59" s="748"/>
      <c r="P59" s="748"/>
      <c r="Q59" s="1062">
        <f t="shared" si="8"/>
        <v>-373201</v>
      </c>
      <c r="R59" s="749"/>
    </row>
    <row r="60" spans="1:19" ht="15" customHeight="1">
      <c r="A60" s="869" t="s">
        <v>719</v>
      </c>
      <c r="B60" s="748"/>
      <c r="C60" s="748">
        <v>953966</v>
      </c>
      <c r="D60" s="748">
        <v>-116791</v>
      </c>
      <c r="E60" s="748"/>
      <c r="F60" s="748"/>
      <c r="G60" s="748"/>
      <c r="H60" s="748"/>
      <c r="I60" s="748"/>
      <c r="J60" s="748"/>
      <c r="K60" s="748"/>
      <c r="L60" s="748">
        <f>-50758</f>
        <v>-50758</v>
      </c>
      <c r="M60" s="748"/>
      <c r="N60" s="748">
        <f t="shared" si="7"/>
        <v>786417</v>
      </c>
      <c r="O60" s="748"/>
      <c r="P60" s="748"/>
      <c r="Q60" s="1062">
        <f t="shared" si="8"/>
        <v>786417</v>
      </c>
      <c r="R60" s="749"/>
    </row>
    <row r="61" spans="1:19">
      <c r="A61" s="867" t="s">
        <v>750</v>
      </c>
      <c r="B61" s="748"/>
      <c r="C61" s="748"/>
      <c r="D61" s="748"/>
      <c r="E61" s="748"/>
      <c r="F61" s="748"/>
      <c r="G61" s="748"/>
      <c r="H61" s="748"/>
      <c r="I61" s="748"/>
      <c r="J61" s="748"/>
      <c r="K61" s="748"/>
      <c r="L61" s="933">
        <v>-104043</v>
      </c>
      <c r="M61" s="748"/>
      <c r="N61" s="748">
        <f t="shared" si="7"/>
        <v>-104043</v>
      </c>
      <c r="O61" s="748"/>
      <c r="P61" s="748">
        <f>+'AD ESF'!E285</f>
        <v>104043</v>
      </c>
      <c r="Q61" s="1062">
        <f t="shared" si="8"/>
        <v>0</v>
      </c>
    </row>
    <row r="62" spans="1:19">
      <c r="A62" s="867" t="s">
        <v>832</v>
      </c>
      <c r="B62" s="748"/>
      <c r="C62" s="748"/>
      <c r="D62" s="748">
        <v>2534340</v>
      </c>
      <c r="E62" s="748"/>
      <c r="F62" s="748"/>
      <c r="G62" s="748"/>
      <c r="H62" s="748"/>
      <c r="I62" s="748"/>
      <c r="J62" s="748"/>
      <c r="K62" s="748"/>
      <c r="L62" s="748"/>
      <c r="M62" s="748"/>
      <c r="N62" s="748">
        <f t="shared" si="7"/>
        <v>2534340</v>
      </c>
      <c r="O62" s="748">
        <f>+'AD ESF'!D275</f>
        <v>2534340</v>
      </c>
      <c r="P62" s="748"/>
      <c r="Q62" s="1062">
        <f t="shared" si="8"/>
        <v>0</v>
      </c>
    </row>
    <row r="63" spans="1:19">
      <c r="A63" s="867" t="s">
        <v>751</v>
      </c>
      <c r="B63" s="748">
        <f>+'Planilla final'!B76</f>
        <v>19151165</v>
      </c>
      <c r="C63" s="748">
        <f>+'Planilla final'!C76</f>
        <v>-3188003</v>
      </c>
      <c r="D63" s="748">
        <f>+'Planilla final'!D76</f>
        <v>399181.97999999992</v>
      </c>
      <c r="E63" s="748">
        <f>+'Planilla final'!E76</f>
        <v>0</v>
      </c>
      <c r="F63" s="748">
        <f>+'Planilla final'!F76</f>
        <v>0</v>
      </c>
      <c r="G63" s="748">
        <f>+'Planilla final'!G76</f>
        <v>331439.17</v>
      </c>
      <c r="H63" s="748">
        <f>+'Planilla final'!H76</f>
        <v>0</v>
      </c>
      <c r="I63" s="748">
        <f>+'Planilla final'!I76</f>
        <v>0</v>
      </c>
      <c r="J63" s="748">
        <f>+'Planilla final'!J76</f>
        <v>-40586.1</v>
      </c>
      <c r="K63" s="748">
        <f>+'Planilla final'!K76</f>
        <v>150815</v>
      </c>
      <c r="L63" s="748">
        <f>+'Planilla final'!L76</f>
        <v>155307</v>
      </c>
      <c r="M63" s="748">
        <f>+'Planilla final'!M76</f>
        <v>-93297</v>
      </c>
      <c r="N63" s="748">
        <f t="shared" si="7"/>
        <v>16866022.050000001</v>
      </c>
      <c r="O63" s="748">
        <f>+'Planilla final'!O76</f>
        <v>902562</v>
      </c>
      <c r="P63" s="748">
        <f>+'Planilla final'!P76+'AD ESF'!E270</f>
        <v>2069001</v>
      </c>
      <c r="Q63" s="1063">
        <f t="shared" si="8"/>
        <v>18032461.050000001</v>
      </c>
      <c r="R63" s="1019"/>
    </row>
    <row r="64" spans="1:19" ht="15.75" thickBot="1">
      <c r="A64" s="870" t="s">
        <v>829</v>
      </c>
      <c r="B64" s="871">
        <f t="shared" ref="B64:Q64" si="9">SUM(B56:B63)</f>
        <v>63158794</v>
      </c>
      <c r="C64" s="871">
        <f t="shared" si="9"/>
        <v>-11813168</v>
      </c>
      <c r="D64" s="871">
        <f t="shared" si="9"/>
        <v>3047856.87</v>
      </c>
      <c r="E64" s="871">
        <f t="shared" si="9"/>
        <v>0</v>
      </c>
      <c r="F64" s="871">
        <f t="shared" si="9"/>
        <v>-94162</v>
      </c>
      <c r="G64" s="871">
        <f t="shared" si="9"/>
        <v>237120.16999999998</v>
      </c>
      <c r="H64" s="871">
        <f t="shared" si="9"/>
        <v>0.47000000000002728</v>
      </c>
      <c r="I64" s="871">
        <f t="shared" si="9"/>
        <v>0</v>
      </c>
      <c r="J64" s="871">
        <f t="shared" si="9"/>
        <v>-282210.09999999998</v>
      </c>
      <c r="K64" s="871">
        <f t="shared" si="9"/>
        <v>-173753</v>
      </c>
      <c r="L64" s="871">
        <f t="shared" si="9"/>
        <v>-4491094</v>
      </c>
      <c r="M64" s="871">
        <f t="shared" si="9"/>
        <v>-1152169</v>
      </c>
      <c r="N64" s="871">
        <f t="shared" si="9"/>
        <v>49110341.409999996</v>
      </c>
      <c r="O64" s="871">
        <f t="shared" si="9"/>
        <v>4387264</v>
      </c>
      <c r="P64" s="871">
        <f t="shared" si="9"/>
        <v>9690260</v>
      </c>
      <c r="Q64" s="872">
        <f t="shared" si="9"/>
        <v>54413337.409999996</v>
      </c>
      <c r="R64" s="1019">
        <f>+Q64-'ECP20'!P84</f>
        <v>-2308.6025545746088</v>
      </c>
      <c r="S64" s="1026"/>
    </row>
    <row r="65" spans="1:1024" ht="15.75" thickBot="1">
      <c r="B65" s="761">
        <f>+'Planilla final'!B56+'Planilla final'!B57-B64</f>
        <v>0</v>
      </c>
      <c r="C65" s="761">
        <f>+'Planilla final'!C56+'Planilla final'!C57-C64</f>
        <v>0</v>
      </c>
      <c r="D65" s="761">
        <f>+'Planilla final'!D56+'Planilla final'!D57-D64</f>
        <v>-9.0000000316649675E-2</v>
      </c>
      <c r="E65" s="761">
        <f>+'Planilla final'!E56+'Planilla final'!E57-E64</f>
        <v>0</v>
      </c>
      <c r="F65" s="761">
        <f>+'Planilla final'!F56+'Planilla final'!F57-F64</f>
        <v>-0.88999999989755452</v>
      </c>
      <c r="G65" s="761">
        <f>+'Planilla final'!G56+'Planilla final'!G57-G64</f>
        <v>-0.16999999998370185</v>
      </c>
      <c r="H65" s="761">
        <f>+'Planilla final'!H56+'Planilla final'!H57-H64</f>
        <v>-0.47000000000002728</v>
      </c>
      <c r="I65" s="761">
        <f>+'Planilla final'!I56+'Planilla final'!I57-I64</f>
        <v>0</v>
      </c>
      <c r="J65" s="761">
        <f>+'Planilla final'!J56+'Planilla final'!J57-J64</f>
        <v>-0.27000000001862645</v>
      </c>
      <c r="K65" s="761">
        <f>+'Planilla final'!K56+'Planilla final'!K57-K64</f>
        <v>-1</v>
      </c>
      <c r="L65" s="761">
        <f>+'Planilla final'!L56+'Planilla final'!L57-L64</f>
        <v>673127</v>
      </c>
      <c r="M65" s="761">
        <f>+'Planilla final'!M56+'Planilla final'!M57-M64</f>
        <v>-2</v>
      </c>
      <c r="N65" s="761">
        <f>+'Planilla final'!N56+'Planilla final'!N57-N64</f>
        <v>-3.8900000005960464</v>
      </c>
      <c r="O65" s="761">
        <f>+'Planilla final'!O56-O64</f>
        <v>-902562</v>
      </c>
      <c r="P65" s="761">
        <f>+'Planilla final'!P56-P64</f>
        <v>-2069001</v>
      </c>
      <c r="Q65" s="1064">
        <f>+'Planilla final'!Q56+'Planilla final'!Q57-Q64</f>
        <v>-3.8900000005960464</v>
      </c>
      <c r="S65" s="434"/>
    </row>
    <row r="66" spans="1:1024">
      <c r="A66" s="864" t="s">
        <v>752</v>
      </c>
      <c r="B66" s="873"/>
      <c r="C66" s="873"/>
      <c r="D66" s="873"/>
      <c r="E66" s="873"/>
      <c r="F66" s="873"/>
      <c r="G66" s="873"/>
      <c r="H66" s="873"/>
      <c r="I66" s="873"/>
      <c r="J66" s="873"/>
      <c r="K66" s="873"/>
      <c r="L66" s="873"/>
      <c r="M66" s="873"/>
      <c r="N66" s="873"/>
      <c r="O66" s="865"/>
      <c r="P66" s="865"/>
      <c r="Q66" s="866"/>
      <c r="R66" s="749"/>
    </row>
    <row r="67" spans="1:1024" hidden="1">
      <c r="A67" s="867" t="s">
        <v>732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8"/>
      <c r="Q67" s="868">
        <f t="shared" ref="Q67:Q74" si="10">+N67+P67-O67</f>
        <v>0</v>
      </c>
      <c r="R67" s="749"/>
    </row>
    <row r="68" spans="1:1024" hidden="1">
      <c r="A68" s="867" t="s">
        <v>753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5"/>
      <c r="P68" s="748"/>
      <c r="Q68" s="868">
        <f t="shared" si="10"/>
        <v>0</v>
      </c>
      <c r="R68" s="749"/>
    </row>
    <row r="69" spans="1:1024" ht="30" hidden="1">
      <c r="A69" s="869" t="s">
        <v>754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8"/>
      <c r="P69" s="748"/>
      <c r="Q69" s="868">
        <f t="shared" si="10"/>
        <v>0</v>
      </c>
    </row>
    <row r="70" spans="1:1024" hidden="1">
      <c r="A70" s="867" t="s">
        <v>723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8"/>
      <c r="P70" s="748"/>
      <c r="Q70" s="868">
        <f t="shared" si="10"/>
        <v>0</v>
      </c>
    </row>
    <row r="71" spans="1:1024">
      <c r="A71" s="879" t="s">
        <v>736</v>
      </c>
      <c r="B71" s="880"/>
      <c r="C71" s="880"/>
      <c r="D71" s="880"/>
      <c r="E71" s="880">
        <f t="shared" ref="E71:N71" si="11">SUM(E67:E70)</f>
        <v>0</v>
      </c>
      <c r="F71" s="880">
        <f t="shared" si="11"/>
        <v>0</v>
      </c>
      <c r="G71" s="880">
        <f t="shared" si="11"/>
        <v>0</v>
      </c>
      <c r="H71" s="880">
        <f t="shared" si="11"/>
        <v>0</v>
      </c>
      <c r="I71" s="880">
        <f t="shared" si="11"/>
        <v>0</v>
      </c>
      <c r="J71" s="880">
        <f t="shared" si="11"/>
        <v>0</v>
      </c>
      <c r="K71" s="880">
        <f t="shared" si="11"/>
        <v>0</v>
      </c>
      <c r="L71" s="880">
        <f t="shared" si="11"/>
        <v>0</v>
      </c>
      <c r="M71" s="880">
        <f t="shared" si="11"/>
        <v>0</v>
      </c>
      <c r="N71" s="880">
        <f t="shared" si="11"/>
        <v>0</v>
      </c>
      <c r="O71" s="754">
        <f>+'AD ESF'!D264</f>
        <v>0</v>
      </c>
      <c r="P71" s="754">
        <f>+'AD ESF'!E264</f>
        <v>7602059</v>
      </c>
      <c r="Q71" s="881">
        <f t="shared" si="10"/>
        <v>7602059</v>
      </c>
    </row>
    <row r="72" spans="1:1024">
      <c r="A72" s="867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5">
        <f>+'AD ESF'!D192</f>
        <v>0</v>
      </c>
      <c r="P72" s="748"/>
      <c r="Q72" s="868">
        <f t="shared" si="10"/>
        <v>0</v>
      </c>
      <c r="R72" s="749"/>
    </row>
    <row r="73" spans="1:1024" ht="30">
      <c r="A73" s="869" t="s">
        <v>754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8">
        <f>+'AD ESF'!D269</f>
        <v>698311</v>
      </c>
      <c r="P73" s="748"/>
      <c r="Q73" s="868">
        <f t="shared" si="10"/>
        <v>-698311</v>
      </c>
      <c r="R73" s="749"/>
    </row>
    <row r="74" spans="1:1024">
      <c r="A74" s="867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8"/>
      <c r="P74" s="748"/>
      <c r="Q74" s="868">
        <f t="shared" si="10"/>
        <v>0</v>
      </c>
    </row>
    <row r="75" spans="1:1024" ht="15.75" thickBot="1">
      <c r="A75" s="870" t="s">
        <v>829</v>
      </c>
      <c r="B75" s="874"/>
      <c r="C75" s="874"/>
      <c r="D75" s="874"/>
      <c r="E75" s="874">
        <f t="shared" ref="E75:N75" si="12">SUM(E71:E74)</f>
        <v>0</v>
      </c>
      <c r="F75" s="874">
        <f t="shared" si="12"/>
        <v>0</v>
      </c>
      <c r="G75" s="874">
        <f t="shared" si="12"/>
        <v>0</v>
      </c>
      <c r="H75" s="874">
        <f t="shared" si="12"/>
        <v>0</v>
      </c>
      <c r="I75" s="874">
        <f t="shared" si="12"/>
        <v>0</v>
      </c>
      <c r="J75" s="874">
        <f t="shared" si="12"/>
        <v>0</v>
      </c>
      <c r="K75" s="874">
        <f t="shared" si="12"/>
        <v>0</v>
      </c>
      <c r="L75" s="874">
        <f t="shared" si="12"/>
        <v>0</v>
      </c>
      <c r="M75" s="874">
        <f t="shared" si="12"/>
        <v>0</v>
      </c>
      <c r="N75" s="874">
        <f t="shared" si="12"/>
        <v>0</v>
      </c>
      <c r="O75" s="871">
        <f>SUM(O71:O74)</f>
        <v>698311</v>
      </c>
      <c r="P75" s="871">
        <f>SUM(P71:P74)</f>
        <v>7602059</v>
      </c>
      <c r="Q75" s="872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5"/>
      <c r="P76" s="755">
        <f>+P71-'Planilla final'!P58</f>
        <v>0</v>
      </c>
      <c r="Q76" s="447">
        <f>+Q75-'ECP20'!R84</f>
        <v>-0.12611738033592701</v>
      </c>
    </row>
    <row r="77" spans="1:1024">
      <c r="A77" s="875" t="s">
        <v>755</v>
      </c>
      <c r="B77" s="865"/>
      <c r="C77" s="865"/>
      <c r="D77" s="865"/>
      <c r="E77" s="865"/>
      <c r="F77" s="865"/>
      <c r="G77" s="865"/>
      <c r="H77" s="865"/>
      <c r="I77" s="865"/>
      <c r="J77" s="865"/>
      <c r="K77" s="865"/>
      <c r="L77" s="865"/>
      <c r="M77" s="865"/>
      <c r="N77" s="865"/>
      <c r="O77" s="865"/>
      <c r="P77" s="865"/>
      <c r="Q77" s="866"/>
    </row>
    <row r="78" spans="1:1024" hidden="1">
      <c r="A78" s="876" t="s">
        <v>732</v>
      </c>
      <c r="B78" s="748">
        <f t="shared" ref="B78:M78" si="13">+B6+B13+B18+B24+B29+B34+B44+B49+B39+B67</f>
        <v>81406978.560000002</v>
      </c>
      <c r="C78" s="748">
        <f t="shared" si="13"/>
        <v>32856864.460000001</v>
      </c>
      <c r="D78" s="748">
        <f t="shared" si="13"/>
        <v>2032366.94</v>
      </c>
      <c r="E78" s="748">
        <f t="shared" si="13"/>
        <v>119191</v>
      </c>
      <c r="F78" s="748">
        <f t="shared" si="13"/>
        <v>-1090515</v>
      </c>
      <c r="G78" s="748">
        <f t="shared" si="13"/>
        <v>360238</v>
      </c>
      <c r="H78" s="748">
        <f t="shared" si="13"/>
        <v>7988.47</v>
      </c>
      <c r="I78" s="748">
        <f t="shared" si="13"/>
        <v>10000</v>
      </c>
      <c r="J78" s="748">
        <f t="shared" si="13"/>
        <v>1178814</v>
      </c>
      <c r="K78" s="748">
        <f t="shared" si="13"/>
        <v>821390.65999999992</v>
      </c>
      <c r="L78" s="748">
        <f t="shared" si="13"/>
        <v>-494304.10000000015</v>
      </c>
      <c r="M78" s="748">
        <f t="shared" si="13"/>
        <v>-574524</v>
      </c>
      <c r="N78" s="748">
        <f>SUM(B78:M78)</f>
        <v>116634488.99000001</v>
      </c>
      <c r="O78" s="748"/>
      <c r="P78" s="748"/>
      <c r="Q78" s="877">
        <f>+P78+N78-O78</f>
        <v>116634488.99000001</v>
      </c>
      <c r="R78" s="749">
        <f>+Q78-'ECP20'!T47</f>
        <v>33656338.940000013</v>
      </c>
    </row>
    <row r="79" spans="1:1024" hidden="1">
      <c r="A79" s="867" t="s">
        <v>749</v>
      </c>
      <c r="B79" s="748">
        <v>-1770198</v>
      </c>
      <c r="C79" s="748"/>
      <c r="D79" s="748"/>
      <c r="E79" s="748"/>
      <c r="F79" s="760"/>
      <c r="G79" s="748"/>
      <c r="H79" s="748"/>
      <c r="I79" s="748"/>
      <c r="J79" s="760"/>
      <c r="K79" s="748"/>
      <c r="L79" s="748"/>
      <c r="M79" s="748"/>
      <c r="N79" s="748">
        <f>SUM(B79:M79)</f>
        <v>-1770198</v>
      </c>
      <c r="O79" s="748"/>
      <c r="P79" s="748"/>
      <c r="Q79" s="868">
        <f>+N79+P79-O79</f>
        <v>-1770198</v>
      </c>
      <c r="R79" s="749"/>
      <c r="S79" s="434"/>
    </row>
    <row r="80" spans="1:1024" s="888" customFormat="1" hidden="1">
      <c r="A80" s="884" t="s">
        <v>756</v>
      </c>
      <c r="B80" s="882"/>
      <c r="C80" s="882">
        <f t="shared" ref="C80:M80" si="14">+C14</f>
        <v>4797300</v>
      </c>
      <c r="D80" s="882">
        <f t="shared" si="14"/>
        <v>0</v>
      </c>
      <c r="E80" s="882">
        <f t="shared" si="14"/>
        <v>0</v>
      </c>
      <c r="F80" s="882">
        <f t="shared" si="14"/>
        <v>0</v>
      </c>
      <c r="G80" s="882">
        <f t="shared" si="14"/>
        <v>0</v>
      </c>
      <c r="H80" s="882">
        <f t="shared" si="14"/>
        <v>0</v>
      </c>
      <c r="I80" s="882">
        <f t="shared" si="14"/>
        <v>0</v>
      </c>
      <c r="J80" s="882">
        <f t="shared" si="14"/>
        <v>0</v>
      </c>
      <c r="K80" s="882">
        <f t="shared" si="14"/>
        <v>0</v>
      </c>
      <c r="L80" s="882">
        <f t="shared" si="14"/>
        <v>0</v>
      </c>
      <c r="M80" s="882">
        <f t="shared" si="14"/>
        <v>0</v>
      </c>
      <c r="N80" s="882">
        <f>SUM(B80:M80)</f>
        <v>4797300</v>
      </c>
      <c r="O80" s="882"/>
      <c r="P80" s="882"/>
      <c r="Q80" s="885">
        <f>+P80+N80-O80</f>
        <v>4797300</v>
      </c>
      <c r="R80" s="886"/>
      <c r="S80" s="887"/>
      <c r="T80" s="887"/>
      <c r="U80" s="887"/>
      <c r="V80" s="887"/>
      <c r="W80" s="887"/>
      <c r="X80" s="887"/>
      <c r="Y80" s="887"/>
      <c r="Z80" s="887"/>
      <c r="AA80" s="887"/>
      <c r="AB80" s="887"/>
      <c r="AC80" s="887"/>
      <c r="AD80" s="887"/>
      <c r="AE80" s="887"/>
      <c r="AF80" s="887"/>
      <c r="AG80" s="887"/>
      <c r="AH80" s="887"/>
      <c r="AI80" s="887"/>
      <c r="AJ80" s="887"/>
      <c r="AK80" s="887"/>
      <c r="AL80" s="887"/>
      <c r="AM80" s="887"/>
      <c r="AN80" s="887"/>
      <c r="AO80" s="887"/>
      <c r="AP80" s="887"/>
      <c r="AQ80" s="887"/>
      <c r="AR80" s="887"/>
      <c r="AS80" s="887"/>
      <c r="AT80" s="887"/>
      <c r="AU80" s="887"/>
      <c r="AV80" s="887"/>
      <c r="AW80" s="887"/>
      <c r="AX80" s="887"/>
      <c r="AY80" s="887"/>
      <c r="AZ80" s="887"/>
      <c r="BA80" s="887"/>
      <c r="BB80" s="887"/>
      <c r="BC80" s="887"/>
      <c r="BD80" s="887"/>
      <c r="BE80" s="887"/>
      <c r="BF80" s="887"/>
      <c r="BG80" s="887"/>
      <c r="BH80" s="887"/>
      <c r="BI80" s="887"/>
      <c r="BJ80" s="887"/>
      <c r="BK80" s="887"/>
      <c r="BL80" s="887"/>
      <c r="BM80" s="887"/>
      <c r="BN80" s="887"/>
      <c r="BO80" s="887"/>
      <c r="BP80" s="887"/>
      <c r="BQ80" s="887"/>
      <c r="BR80" s="887"/>
      <c r="BS80" s="887"/>
      <c r="BT80" s="887"/>
      <c r="BU80" s="887"/>
      <c r="BV80" s="887"/>
      <c r="BW80" s="887"/>
      <c r="BX80" s="887"/>
      <c r="BY80" s="887"/>
      <c r="BZ80" s="887"/>
      <c r="CA80" s="887"/>
      <c r="CB80" s="887"/>
      <c r="CC80" s="887"/>
      <c r="CD80" s="887"/>
      <c r="CE80" s="887"/>
      <c r="CF80" s="887"/>
      <c r="CG80" s="887"/>
      <c r="CH80" s="887"/>
      <c r="CI80" s="887"/>
      <c r="CJ80" s="887"/>
      <c r="CK80" s="887"/>
      <c r="CL80" s="887"/>
      <c r="CM80" s="887"/>
      <c r="CN80" s="887"/>
      <c r="CO80" s="887"/>
      <c r="CP80" s="887"/>
      <c r="CQ80" s="887"/>
      <c r="CR80" s="887"/>
      <c r="CS80" s="887"/>
      <c r="CT80" s="887"/>
      <c r="CU80" s="887"/>
      <c r="CV80" s="887"/>
      <c r="CW80" s="887"/>
      <c r="CX80" s="887"/>
      <c r="CY80" s="887"/>
      <c r="CZ80" s="887"/>
      <c r="DA80" s="887"/>
      <c r="DB80" s="887"/>
      <c r="DC80" s="887"/>
      <c r="DD80" s="887"/>
      <c r="DE80" s="887"/>
      <c r="DF80" s="887"/>
      <c r="DG80" s="887"/>
      <c r="DH80" s="887"/>
      <c r="DI80" s="887"/>
      <c r="DJ80" s="887"/>
      <c r="DK80" s="887"/>
      <c r="DL80" s="887"/>
      <c r="DM80" s="887"/>
      <c r="DN80" s="887"/>
      <c r="DO80" s="887"/>
      <c r="DP80" s="887"/>
      <c r="DQ80" s="887"/>
      <c r="DR80" s="887"/>
      <c r="DS80" s="887"/>
      <c r="DT80" s="887"/>
      <c r="DU80" s="887"/>
      <c r="DV80" s="887"/>
      <c r="DW80" s="887"/>
      <c r="DX80" s="887"/>
      <c r="DY80" s="887"/>
      <c r="DZ80" s="887"/>
      <c r="EA80" s="887"/>
      <c r="EB80" s="887"/>
      <c r="EC80" s="887"/>
      <c r="ED80" s="887"/>
      <c r="EE80" s="887"/>
      <c r="EF80" s="887"/>
      <c r="EG80" s="887"/>
      <c r="EH80" s="887"/>
      <c r="EI80" s="887"/>
      <c r="EJ80" s="887"/>
      <c r="EK80" s="887"/>
      <c r="EL80" s="887"/>
      <c r="EM80" s="887"/>
      <c r="EN80" s="887"/>
      <c r="EO80" s="887"/>
      <c r="EP80" s="887"/>
      <c r="EQ80" s="887"/>
      <c r="ER80" s="887"/>
      <c r="ES80" s="887"/>
      <c r="ET80" s="887"/>
      <c r="EU80" s="887"/>
      <c r="EV80" s="887"/>
      <c r="EW80" s="887"/>
      <c r="EX80" s="887"/>
      <c r="EY80" s="887"/>
      <c r="EZ80" s="887"/>
      <c r="FA80" s="887"/>
      <c r="FB80" s="887"/>
      <c r="FC80" s="887"/>
      <c r="FD80" s="887"/>
      <c r="FE80" s="887"/>
      <c r="FF80" s="887"/>
      <c r="FG80" s="887"/>
      <c r="FH80" s="887"/>
      <c r="FI80" s="887"/>
      <c r="FJ80" s="887"/>
      <c r="FK80" s="887"/>
      <c r="FL80" s="887"/>
      <c r="FM80" s="887"/>
      <c r="FN80" s="887"/>
      <c r="FO80" s="887"/>
      <c r="FP80" s="887"/>
      <c r="FQ80" s="887"/>
      <c r="FR80" s="887"/>
      <c r="FS80" s="887"/>
      <c r="FT80" s="887"/>
      <c r="FU80" s="887"/>
      <c r="FV80" s="887"/>
      <c r="FW80" s="887"/>
      <c r="FX80" s="887"/>
      <c r="FY80" s="887"/>
      <c r="FZ80" s="887"/>
      <c r="GA80" s="887"/>
      <c r="GB80" s="887"/>
      <c r="GC80" s="887"/>
      <c r="GD80" s="887"/>
      <c r="GE80" s="887"/>
      <c r="GF80" s="887"/>
      <c r="GG80" s="887"/>
      <c r="GH80" s="887"/>
      <c r="GI80" s="887"/>
      <c r="GJ80" s="887"/>
      <c r="GK80" s="887"/>
      <c r="GL80" s="887"/>
      <c r="GM80" s="887"/>
      <c r="GN80" s="887"/>
      <c r="GO80" s="887"/>
      <c r="GP80" s="887"/>
      <c r="GQ80" s="887"/>
      <c r="GR80" s="887"/>
      <c r="GS80" s="887"/>
      <c r="GT80" s="887"/>
      <c r="GU80" s="887"/>
      <c r="GV80" s="887"/>
      <c r="GW80" s="887"/>
      <c r="GX80" s="887"/>
      <c r="GY80" s="887"/>
      <c r="GZ80" s="887"/>
      <c r="HA80" s="887"/>
      <c r="HB80" s="887"/>
      <c r="HC80" s="887"/>
      <c r="HD80" s="887"/>
      <c r="HE80" s="887"/>
      <c r="HF80" s="887"/>
      <c r="HG80" s="887"/>
      <c r="HH80" s="887"/>
      <c r="HI80" s="887"/>
      <c r="HJ80" s="887"/>
      <c r="HK80" s="887"/>
      <c r="HL80" s="887"/>
      <c r="HM80" s="887"/>
      <c r="HN80" s="887"/>
      <c r="HO80" s="887"/>
      <c r="HP80" s="887"/>
      <c r="HQ80" s="887"/>
      <c r="HR80" s="887"/>
      <c r="HS80" s="887"/>
      <c r="HT80" s="887"/>
      <c r="HU80" s="887"/>
      <c r="HV80" s="887"/>
      <c r="HW80" s="887"/>
      <c r="HX80" s="887"/>
      <c r="HY80" s="887"/>
      <c r="HZ80" s="887"/>
      <c r="IA80" s="887"/>
      <c r="IB80" s="887"/>
      <c r="IC80" s="887"/>
      <c r="ID80" s="887"/>
      <c r="IE80" s="887"/>
      <c r="IF80" s="887"/>
      <c r="IG80" s="887"/>
      <c r="IH80" s="887"/>
      <c r="II80" s="887"/>
      <c r="IJ80" s="887"/>
      <c r="IK80" s="887"/>
      <c r="IL80" s="887"/>
      <c r="IM80" s="887"/>
      <c r="IN80" s="887"/>
      <c r="IO80" s="887"/>
      <c r="IP80" s="887"/>
      <c r="IQ80" s="887"/>
      <c r="IR80" s="887"/>
      <c r="IS80" s="887"/>
      <c r="IT80" s="887"/>
      <c r="IU80" s="887"/>
      <c r="IV80" s="887"/>
      <c r="IW80" s="887"/>
      <c r="IX80" s="887"/>
      <c r="IY80" s="887"/>
      <c r="IZ80" s="887"/>
      <c r="JA80" s="887"/>
      <c r="JB80" s="887"/>
      <c r="JC80" s="887"/>
      <c r="JD80" s="887"/>
      <c r="JE80" s="887"/>
      <c r="JF80" s="887"/>
      <c r="JG80" s="887"/>
      <c r="JH80" s="887"/>
      <c r="JI80" s="887"/>
      <c r="JJ80" s="887"/>
      <c r="JK80" s="887"/>
      <c r="JL80" s="887"/>
      <c r="JM80" s="887"/>
      <c r="JN80" s="887"/>
      <c r="JO80" s="887"/>
      <c r="JP80" s="887"/>
      <c r="JQ80" s="887"/>
      <c r="JR80" s="887"/>
      <c r="JS80" s="887"/>
      <c r="JT80" s="887"/>
      <c r="JU80" s="887"/>
      <c r="JV80" s="887"/>
      <c r="JW80" s="887"/>
      <c r="JX80" s="887"/>
      <c r="JY80" s="887"/>
      <c r="JZ80" s="887"/>
      <c r="KA80" s="887"/>
      <c r="KB80" s="887"/>
      <c r="KC80" s="887"/>
      <c r="KD80" s="887"/>
      <c r="KE80" s="887"/>
      <c r="KF80" s="887"/>
      <c r="KG80" s="887"/>
      <c r="KH80" s="887"/>
      <c r="KI80" s="887"/>
      <c r="KJ80" s="887"/>
      <c r="KK80" s="887"/>
      <c r="KL80" s="887"/>
      <c r="KM80" s="887"/>
      <c r="KN80" s="887"/>
      <c r="KO80" s="887"/>
      <c r="KP80" s="887"/>
      <c r="KQ80" s="887"/>
      <c r="KR80" s="887"/>
      <c r="KS80" s="887"/>
      <c r="KT80" s="887"/>
      <c r="KU80" s="887"/>
      <c r="KV80" s="887"/>
      <c r="KW80" s="887"/>
      <c r="KX80" s="887"/>
      <c r="KY80" s="887"/>
      <c r="KZ80" s="887"/>
      <c r="LA80" s="887"/>
      <c r="LB80" s="887"/>
      <c r="LC80" s="887"/>
      <c r="LD80" s="887"/>
      <c r="LE80" s="887"/>
      <c r="LF80" s="887"/>
      <c r="LG80" s="887"/>
      <c r="LH80" s="887"/>
      <c r="LI80" s="887"/>
      <c r="LJ80" s="887"/>
      <c r="LK80" s="887"/>
      <c r="LL80" s="887"/>
      <c r="LM80" s="887"/>
      <c r="LN80" s="887"/>
      <c r="LO80" s="887"/>
      <c r="LP80" s="887"/>
      <c r="LQ80" s="887"/>
      <c r="LR80" s="887"/>
      <c r="LS80" s="887"/>
      <c r="LT80" s="887"/>
      <c r="LU80" s="887"/>
      <c r="LV80" s="887"/>
      <c r="LW80" s="887"/>
      <c r="LX80" s="887"/>
      <c r="LY80" s="887"/>
      <c r="LZ80" s="887"/>
      <c r="MA80" s="887"/>
      <c r="MB80" s="887"/>
      <c r="MC80" s="887"/>
      <c r="MD80" s="887"/>
      <c r="ME80" s="887"/>
      <c r="MF80" s="887"/>
      <c r="MG80" s="887"/>
      <c r="MH80" s="887"/>
      <c r="MI80" s="887"/>
      <c r="MJ80" s="887"/>
      <c r="MK80" s="887"/>
      <c r="ML80" s="887"/>
      <c r="MM80" s="887"/>
      <c r="MN80" s="887"/>
      <c r="MO80" s="887"/>
      <c r="MP80" s="887"/>
      <c r="MQ80" s="887"/>
      <c r="MR80" s="887"/>
      <c r="MS80" s="887"/>
      <c r="MT80" s="887"/>
      <c r="MU80" s="887"/>
      <c r="MV80" s="887"/>
      <c r="MW80" s="887"/>
      <c r="MX80" s="887"/>
      <c r="MY80" s="887"/>
      <c r="MZ80" s="887"/>
      <c r="NA80" s="887"/>
      <c r="NB80" s="887"/>
      <c r="NC80" s="887"/>
      <c r="ND80" s="887"/>
      <c r="NE80" s="887"/>
      <c r="NF80" s="887"/>
      <c r="NG80" s="887"/>
      <c r="NH80" s="887"/>
      <c r="NI80" s="887"/>
      <c r="NJ80" s="887"/>
      <c r="NK80" s="887"/>
      <c r="NL80" s="887"/>
      <c r="NM80" s="887"/>
      <c r="NN80" s="887"/>
      <c r="NO80" s="887"/>
      <c r="NP80" s="887"/>
      <c r="NQ80" s="887"/>
      <c r="NR80" s="887"/>
      <c r="NS80" s="887"/>
      <c r="NT80" s="887"/>
      <c r="NU80" s="887"/>
      <c r="NV80" s="887"/>
      <c r="NW80" s="887"/>
      <c r="NX80" s="887"/>
      <c r="NY80" s="887"/>
      <c r="NZ80" s="887"/>
      <c r="OA80" s="887"/>
      <c r="OB80" s="887"/>
      <c r="OC80" s="887"/>
      <c r="OD80" s="887"/>
      <c r="OE80" s="887"/>
      <c r="OF80" s="887"/>
      <c r="OG80" s="887"/>
      <c r="OH80" s="887"/>
      <c r="OI80" s="887"/>
      <c r="OJ80" s="887"/>
      <c r="OK80" s="887"/>
      <c r="OL80" s="887"/>
      <c r="OM80" s="887"/>
      <c r="ON80" s="887"/>
      <c r="OO80" s="887"/>
      <c r="OP80" s="887"/>
      <c r="OQ80" s="887"/>
      <c r="OR80" s="887"/>
      <c r="OS80" s="887"/>
      <c r="OT80" s="887"/>
      <c r="OU80" s="887"/>
      <c r="OV80" s="887"/>
      <c r="OW80" s="887"/>
      <c r="OX80" s="887"/>
      <c r="OY80" s="887"/>
      <c r="OZ80" s="887"/>
      <c r="PA80" s="887"/>
      <c r="PB80" s="887"/>
      <c r="PC80" s="887"/>
      <c r="PD80" s="887"/>
      <c r="PE80" s="887"/>
      <c r="PF80" s="887"/>
      <c r="PG80" s="887"/>
      <c r="PH80" s="887"/>
      <c r="PI80" s="887"/>
      <c r="PJ80" s="887"/>
      <c r="PK80" s="887"/>
      <c r="PL80" s="887"/>
      <c r="PM80" s="887"/>
      <c r="PN80" s="887"/>
      <c r="PO80" s="887"/>
      <c r="PP80" s="887"/>
      <c r="PQ80" s="887"/>
      <c r="PR80" s="887"/>
      <c r="PS80" s="887"/>
      <c r="PT80" s="887"/>
      <c r="PU80" s="887"/>
      <c r="PV80" s="887"/>
      <c r="PW80" s="887"/>
      <c r="PX80" s="887"/>
      <c r="PY80" s="887"/>
      <c r="PZ80" s="887"/>
      <c r="QA80" s="887"/>
      <c r="QB80" s="887"/>
      <c r="QC80" s="887"/>
      <c r="QD80" s="887"/>
      <c r="QE80" s="887"/>
      <c r="QF80" s="887"/>
      <c r="QG80" s="887"/>
      <c r="QH80" s="887"/>
      <c r="QI80" s="887"/>
      <c r="QJ80" s="887"/>
      <c r="QK80" s="887"/>
      <c r="QL80" s="887"/>
      <c r="QM80" s="887"/>
      <c r="QN80" s="887"/>
      <c r="QO80" s="887"/>
      <c r="QP80" s="887"/>
      <c r="QQ80" s="887"/>
      <c r="QR80" s="887"/>
      <c r="QS80" s="887"/>
      <c r="QT80" s="887"/>
      <c r="QU80" s="887"/>
      <c r="QV80" s="887"/>
      <c r="QW80" s="887"/>
      <c r="QX80" s="887"/>
      <c r="QY80" s="887"/>
      <c r="QZ80" s="887"/>
      <c r="RA80" s="887"/>
      <c r="RB80" s="887"/>
      <c r="RC80" s="887"/>
      <c r="RD80" s="887"/>
      <c r="RE80" s="887"/>
      <c r="RF80" s="887"/>
      <c r="RG80" s="887"/>
      <c r="RH80" s="887"/>
      <c r="RI80" s="887"/>
      <c r="RJ80" s="887"/>
      <c r="RK80" s="887"/>
      <c r="RL80" s="887"/>
      <c r="RM80" s="887"/>
      <c r="RN80" s="887"/>
      <c r="RO80" s="887"/>
      <c r="RP80" s="887"/>
      <c r="RQ80" s="887"/>
      <c r="RR80" s="887"/>
      <c r="RS80" s="887"/>
      <c r="RT80" s="887"/>
      <c r="RU80" s="887"/>
      <c r="RV80" s="887"/>
      <c r="RW80" s="887"/>
      <c r="RX80" s="887"/>
      <c r="RY80" s="887"/>
      <c r="RZ80" s="887"/>
      <c r="SA80" s="887"/>
      <c r="SB80" s="887"/>
      <c r="SC80" s="887"/>
      <c r="SD80" s="887"/>
      <c r="SE80" s="887"/>
      <c r="SF80" s="887"/>
      <c r="SG80" s="887"/>
      <c r="SH80" s="887"/>
      <c r="SI80" s="887"/>
      <c r="SJ80" s="887"/>
      <c r="SK80" s="887"/>
      <c r="SL80" s="887"/>
      <c r="SM80" s="887"/>
      <c r="SN80" s="887"/>
      <c r="SO80" s="887"/>
      <c r="SP80" s="887"/>
      <c r="SQ80" s="887"/>
      <c r="SR80" s="887"/>
      <c r="SS80" s="887"/>
      <c r="ST80" s="887"/>
      <c r="SU80" s="887"/>
      <c r="SV80" s="887"/>
      <c r="SW80" s="887"/>
      <c r="SX80" s="887"/>
      <c r="SY80" s="887"/>
      <c r="SZ80" s="887"/>
      <c r="TA80" s="887"/>
      <c r="TB80" s="887"/>
      <c r="TC80" s="887"/>
      <c r="TD80" s="887"/>
      <c r="TE80" s="887"/>
      <c r="TF80" s="887"/>
      <c r="TG80" s="887"/>
      <c r="TH80" s="887"/>
      <c r="TI80" s="887"/>
      <c r="TJ80" s="887"/>
      <c r="TK80" s="887"/>
      <c r="TL80" s="887"/>
      <c r="TM80" s="887"/>
      <c r="TN80" s="887"/>
      <c r="TO80" s="887"/>
      <c r="TP80" s="887"/>
      <c r="TQ80" s="887"/>
      <c r="TR80" s="887"/>
      <c r="TS80" s="887"/>
      <c r="TT80" s="887"/>
      <c r="TU80" s="887"/>
      <c r="TV80" s="887"/>
      <c r="TW80" s="887"/>
      <c r="TX80" s="887"/>
      <c r="TY80" s="887"/>
      <c r="TZ80" s="887"/>
      <c r="UA80" s="887"/>
      <c r="UB80" s="887"/>
      <c r="UC80" s="887"/>
      <c r="UD80" s="887"/>
      <c r="UE80" s="887"/>
      <c r="UF80" s="887"/>
      <c r="UG80" s="887"/>
      <c r="UH80" s="887"/>
      <c r="UI80" s="887"/>
      <c r="UJ80" s="887"/>
      <c r="UK80" s="887"/>
      <c r="UL80" s="887"/>
      <c r="UM80" s="887"/>
      <c r="UN80" s="887"/>
      <c r="UO80" s="887"/>
      <c r="UP80" s="887"/>
      <c r="UQ80" s="887"/>
      <c r="UR80" s="887"/>
      <c r="US80" s="887"/>
      <c r="UT80" s="887"/>
      <c r="UU80" s="887"/>
      <c r="UV80" s="887"/>
      <c r="UW80" s="887"/>
      <c r="UX80" s="887"/>
      <c r="UY80" s="887"/>
      <c r="UZ80" s="887"/>
      <c r="VA80" s="887"/>
      <c r="VB80" s="887"/>
      <c r="VC80" s="887"/>
      <c r="VD80" s="887"/>
      <c r="VE80" s="887"/>
      <c r="VF80" s="887"/>
      <c r="VG80" s="887"/>
      <c r="VH80" s="887"/>
      <c r="VI80" s="887"/>
      <c r="VJ80" s="887"/>
      <c r="VK80" s="887"/>
      <c r="VL80" s="887"/>
      <c r="VM80" s="887"/>
      <c r="VN80" s="887"/>
      <c r="VO80" s="887"/>
      <c r="VP80" s="887"/>
      <c r="VQ80" s="887"/>
      <c r="VR80" s="887"/>
      <c r="VS80" s="887"/>
      <c r="VT80" s="887"/>
      <c r="VU80" s="887"/>
      <c r="VV80" s="887"/>
      <c r="VW80" s="887"/>
      <c r="VX80" s="887"/>
      <c r="VY80" s="887"/>
      <c r="VZ80" s="887"/>
      <c r="WA80" s="887"/>
      <c r="WB80" s="887"/>
      <c r="WC80" s="887"/>
      <c r="WD80" s="887"/>
      <c r="WE80" s="887"/>
      <c r="WF80" s="887"/>
      <c r="WG80" s="887"/>
      <c r="WH80" s="887"/>
      <c r="WI80" s="887"/>
      <c r="WJ80" s="887"/>
      <c r="WK80" s="887"/>
      <c r="WL80" s="887"/>
      <c r="WM80" s="887"/>
      <c r="WN80" s="887"/>
      <c r="WO80" s="887"/>
      <c r="WP80" s="887"/>
      <c r="WQ80" s="887"/>
      <c r="WR80" s="887"/>
      <c r="WS80" s="887"/>
      <c r="WT80" s="887"/>
      <c r="WU80" s="887"/>
      <c r="WV80" s="887"/>
      <c r="WW80" s="887"/>
      <c r="WX80" s="887"/>
      <c r="WY80" s="887"/>
      <c r="WZ80" s="887"/>
      <c r="XA80" s="887"/>
      <c r="XB80" s="887"/>
      <c r="XC80" s="887"/>
      <c r="XD80" s="887"/>
      <c r="XE80" s="887"/>
      <c r="XF80" s="887"/>
      <c r="XG80" s="887"/>
      <c r="XH80" s="887"/>
      <c r="XI80" s="887"/>
      <c r="XJ80" s="887"/>
      <c r="XK80" s="887"/>
      <c r="XL80" s="887"/>
      <c r="XM80" s="887"/>
      <c r="XN80" s="887"/>
      <c r="XO80" s="887"/>
      <c r="XP80" s="887"/>
      <c r="XQ80" s="887"/>
      <c r="XR80" s="887"/>
      <c r="XS80" s="887"/>
      <c r="XT80" s="887"/>
      <c r="XU80" s="887"/>
      <c r="XV80" s="887"/>
      <c r="XW80" s="887"/>
      <c r="XX80" s="887"/>
      <c r="XY80" s="887"/>
      <c r="XZ80" s="887"/>
      <c r="YA80" s="887"/>
      <c r="YB80" s="887"/>
      <c r="YC80" s="887"/>
      <c r="YD80" s="887"/>
      <c r="YE80" s="887"/>
      <c r="YF80" s="887"/>
      <c r="YG80" s="887"/>
      <c r="YH80" s="887"/>
      <c r="YI80" s="887"/>
      <c r="YJ80" s="887"/>
      <c r="YK80" s="887"/>
      <c r="YL80" s="887"/>
      <c r="YM80" s="887"/>
      <c r="YN80" s="887"/>
      <c r="YO80" s="887"/>
      <c r="YP80" s="887"/>
      <c r="YQ80" s="887"/>
      <c r="YR80" s="887"/>
      <c r="YS80" s="887"/>
      <c r="YT80" s="887"/>
      <c r="YU80" s="887"/>
      <c r="YV80" s="887"/>
      <c r="YW80" s="887"/>
      <c r="YX80" s="887"/>
      <c r="YY80" s="887"/>
      <c r="YZ80" s="887"/>
      <c r="ZA80" s="887"/>
      <c r="ZB80" s="887"/>
      <c r="ZC80" s="887"/>
      <c r="ZD80" s="887"/>
      <c r="ZE80" s="887"/>
      <c r="ZF80" s="887"/>
      <c r="ZG80" s="887"/>
      <c r="ZH80" s="887"/>
      <c r="ZI80" s="887"/>
      <c r="ZJ80" s="887"/>
      <c r="ZK80" s="887"/>
      <c r="ZL80" s="887"/>
      <c r="ZM80" s="887"/>
      <c r="ZN80" s="887"/>
      <c r="ZO80" s="887"/>
      <c r="ZP80" s="887"/>
      <c r="ZQ80" s="887"/>
      <c r="ZR80" s="887"/>
      <c r="ZS80" s="887"/>
      <c r="ZT80" s="887"/>
      <c r="ZU80" s="887"/>
      <c r="ZV80" s="887"/>
      <c r="ZW80" s="887"/>
      <c r="ZX80" s="887"/>
      <c r="ZY80" s="887"/>
      <c r="ZZ80" s="887"/>
      <c r="AAA80" s="887"/>
      <c r="AAB80" s="887"/>
      <c r="AAC80" s="887"/>
      <c r="AAD80" s="887"/>
      <c r="AAE80" s="887"/>
      <c r="AAF80" s="887"/>
      <c r="AAG80" s="887"/>
      <c r="AAH80" s="887"/>
      <c r="AAI80" s="887"/>
      <c r="AAJ80" s="887"/>
      <c r="AAK80" s="887"/>
      <c r="AAL80" s="887"/>
      <c r="AAM80" s="887"/>
      <c r="AAN80" s="887"/>
      <c r="AAO80" s="887"/>
      <c r="AAP80" s="887"/>
      <c r="AAQ80" s="887"/>
      <c r="AAR80" s="887"/>
      <c r="AAS80" s="887"/>
      <c r="AAT80" s="887"/>
      <c r="AAU80" s="887"/>
      <c r="AAV80" s="887"/>
      <c r="AAW80" s="887"/>
      <c r="AAX80" s="887"/>
      <c r="AAY80" s="887"/>
      <c r="AAZ80" s="887"/>
      <c r="ABA80" s="887"/>
      <c r="ABB80" s="887"/>
      <c r="ABC80" s="887"/>
      <c r="ABD80" s="887"/>
      <c r="ABE80" s="887"/>
      <c r="ABF80" s="887"/>
      <c r="ABG80" s="887"/>
      <c r="ABH80" s="887"/>
      <c r="ABI80" s="887"/>
      <c r="ABJ80" s="887"/>
      <c r="ABK80" s="887"/>
      <c r="ABL80" s="887"/>
      <c r="ABM80" s="887"/>
      <c r="ABN80" s="887"/>
      <c r="ABO80" s="887"/>
      <c r="ABP80" s="887"/>
      <c r="ABQ80" s="887"/>
      <c r="ABR80" s="887"/>
      <c r="ABS80" s="887"/>
      <c r="ABT80" s="887"/>
      <c r="ABU80" s="887"/>
      <c r="ABV80" s="887"/>
      <c r="ABW80" s="887"/>
      <c r="ABX80" s="887"/>
      <c r="ABY80" s="887"/>
      <c r="ABZ80" s="887"/>
      <c r="ACA80" s="887"/>
      <c r="ACB80" s="887"/>
      <c r="ACC80" s="887"/>
      <c r="ACD80" s="887"/>
      <c r="ACE80" s="887"/>
      <c r="ACF80" s="887"/>
      <c r="ACG80" s="887"/>
      <c r="ACH80" s="887"/>
      <c r="ACI80" s="887"/>
      <c r="ACJ80" s="887"/>
      <c r="ACK80" s="887"/>
      <c r="ACL80" s="887"/>
      <c r="ACM80" s="887"/>
      <c r="ACN80" s="887"/>
      <c r="ACO80" s="887"/>
      <c r="ACP80" s="887"/>
      <c r="ACQ80" s="887"/>
      <c r="ACR80" s="887"/>
      <c r="ACS80" s="887"/>
      <c r="ACT80" s="887"/>
      <c r="ACU80" s="887"/>
      <c r="ACV80" s="887"/>
      <c r="ACW80" s="887"/>
      <c r="ACX80" s="887"/>
      <c r="ACY80" s="887"/>
      <c r="ACZ80" s="887"/>
      <c r="ADA80" s="887"/>
      <c r="ADB80" s="887"/>
      <c r="ADC80" s="887"/>
      <c r="ADD80" s="887"/>
      <c r="ADE80" s="887"/>
      <c r="ADF80" s="887"/>
      <c r="ADG80" s="887"/>
      <c r="ADH80" s="887"/>
      <c r="ADI80" s="887"/>
      <c r="ADJ80" s="887"/>
      <c r="ADK80" s="887"/>
      <c r="ADL80" s="887"/>
      <c r="ADM80" s="887"/>
      <c r="ADN80" s="887"/>
      <c r="ADO80" s="887"/>
      <c r="ADP80" s="887"/>
      <c r="ADQ80" s="887"/>
      <c r="ADR80" s="887"/>
      <c r="ADS80" s="887"/>
      <c r="ADT80" s="887"/>
      <c r="ADU80" s="887"/>
      <c r="ADV80" s="887"/>
      <c r="ADW80" s="887"/>
      <c r="ADX80" s="887"/>
      <c r="ADY80" s="887"/>
      <c r="ADZ80" s="887"/>
      <c r="AEA80" s="887"/>
      <c r="AEB80" s="887"/>
      <c r="AEC80" s="887"/>
      <c r="AED80" s="887"/>
      <c r="AEE80" s="887"/>
      <c r="AEF80" s="887"/>
      <c r="AEG80" s="887"/>
      <c r="AEH80" s="887"/>
      <c r="AEI80" s="887"/>
      <c r="AEJ80" s="887"/>
      <c r="AEK80" s="887"/>
      <c r="AEL80" s="887"/>
      <c r="AEM80" s="887"/>
      <c r="AEN80" s="887"/>
      <c r="AEO80" s="887"/>
      <c r="AEP80" s="887"/>
      <c r="AEQ80" s="887"/>
      <c r="AER80" s="887"/>
      <c r="AES80" s="887"/>
      <c r="AET80" s="887"/>
      <c r="AEU80" s="887"/>
      <c r="AEV80" s="887"/>
      <c r="AEW80" s="887"/>
      <c r="AEX80" s="887"/>
      <c r="AEY80" s="887"/>
      <c r="AEZ80" s="887"/>
      <c r="AFA80" s="887"/>
      <c r="AFB80" s="887"/>
      <c r="AFC80" s="887"/>
      <c r="AFD80" s="887"/>
      <c r="AFE80" s="887"/>
      <c r="AFF80" s="887"/>
      <c r="AFG80" s="887"/>
      <c r="AFH80" s="887"/>
      <c r="AFI80" s="887"/>
      <c r="AFJ80" s="887"/>
      <c r="AFK80" s="887"/>
      <c r="AFL80" s="887"/>
      <c r="AFM80" s="887"/>
      <c r="AFN80" s="887"/>
      <c r="AFO80" s="887"/>
      <c r="AFP80" s="887"/>
      <c r="AFQ80" s="887"/>
      <c r="AFR80" s="887"/>
      <c r="AFS80" s="887"/>
      <c r="AFT80" s="887"/>
      <c r="AFU80" s="887"/>
      <c r="AFV80" s="887"/>
      <c r="AFW80" s="887"/>
      <c r="AFX80" s="887"/>
      <c r="AFY80" s="887"/>
      <c r="AFZ80" s="887"/>
      <c r="AGA80" s="887"/>
      <c r="AGB80" s="887"/>
      <c r="AGC80" s="887"/>
      <c r="AGD80" s="887"/>
      <c r="AGE80" s="887"/>
      <c r="AGF80" s="887"/>
      <c r="AGG80" s="887"/>
      <c r="AGH80" s="887"/>
      <c r="AGI80" s="887"/>
      <c r="AGJ80" s="887"/>
      <c r="AGK80" s="887"/>
      <c r="AGL80" s="887"/>
      <c r="AGM80" s="887"/>
      <c r="AGN80" s="887"/>
      <c r="AGO80" s="887"/>
      <c r="AGP80" s="887"/>
      <c r="AGQ80" s="887"/>
      <c r="AGR80" s="887"/>
      <c r="AGS80" s="887"/>
      <c r="AGT80" s="887"/>
      <c r="AGU80" s="887"/>
      <c r="AGV80" s="887"/>
      <c r="AGW80" s="887"/>
      <c r="AGX80" s="887"/>
      <c r="AGY80" s="887"/>
      <c r="AGZ80" s="887"/>
      <c r="AHA80" s="887"/>
      <c r="AHB80" s="887"/>
      <c r="AHC80" s="887"/>
      <c r="AHD80" s="887"/>
      <c r="AHE80" s="887"/>
      <c r="AHF80" s="887"/>
      <c r="AHG80" s="887"/>
      <c r="AHH80" s="887"/>
      <c r="AHI80" s="887"/>
      <c r="AHJ80" s="887"/>
      <c r="AHK80" s="887"/>
      <c r="AHL80" s="887"/>
      <c r="AHM80" s="887"/>
      <c r="AHN80" s="887"/>
      <c r="AHO80" s="887"/>
      <c r="AHP80" s="887"/>
      <c r="AHQ80" s="887"/>
      <c r="AHR80" s="887"/>
      <c r="AHS80" s="887"/>
      <c r="AHT80" s="887"/>
      <c r="AHU80" s="887"/>
      <c r="AHV80" s="887"/>
      <c r="AHW80" s="887"/>
      <c r="AHX80" s="887"/>
      <c r="AHY80" s="887"/>
      <c r="AHZ80" s="887"/>
      <c r="AIA80" s="887"/>
      <c r="AIB80" s="887"/>
      <c r="AIC80" s="887"/>
      <c r="AID80" s="887"/>
      <c r="AIE80" s="887"/>
      <c r="AIF80" s="887"/>
      <c r="AIG80" s="887"/>
      <c r="AIH80" s="887"/>
      <c r="AII80" s="887"/>
      <c r="AIJ80" s="887"/>
      <c r="AIK80" s="887"/>
      <c r="AIL80" s="887"/>
      <c r="AIM80" s="887"/>
      <c r="AIN80" s="887"/>
      <c r="AIO80" s="887"/>
      <c r="AIP80" s="887"/>
      <c r="AIQ80" s="887"/>
      <c r="AIR80" s="887"/>
      <c r="AIS80" s="887"/>
      <c r="AIT80" s="887"/>
      <c r="AIU80" s="887"/>
      <c r="AIV80" s="887"/>
      <c r="AIW80" s="887"/>
      <c r="AIX80" s="887"/>
      <c r="AIY80" s="887"/>
      <c r="AIZ80" s="887"/>
      <c r="AJA80" s="887"/>
      <c r="AJB80" s="887"/>
      <c r="AJC80" s="887"/>
      <c r="AJD80" s="887"/>
      <c r="AJE80" s="887"/>
      <c r="AJF80" s="887"/>
      <c r="AJG80" s="887"/>
      <c r="AJH80" s="887"/>
      <c r="AJI80" s="887"/>
      <c r="AJJ80" s="887"/>
      <c r="AJK80" s="887"/>
      <c r="AJL80" s="887"/>
      <c r="AJM80" s="887"/>
      <c r="AJN80" s="887"/>
      <c r="AJO80" s="887"/>
      <c r="AJP80" s="887"/>
      <c r="AJQ80" s="887"/>
      <c r="AJR80" s="887"/>
      <c r="AJS80" s="887"/>
      <c r="AJT80" s="887"/>
      <c r="AJU80" s="887"/>
      <c r="AJV80" s="887"/>
      <c r="AJW80" s="887"/>
      <c r="AJX80" s="887"/>
      <c r="AJY80" s="887"/>
      <c r="AJZ80" s="887"/>
      <c r="AKA80" s="887"/>
      <c r="AKB80" s="887"/>
      <c r="AKC80" s="887"/>
      <c r="AKD80" s="887"/>
      <c r="AKE80" s="887"/>
      <c r="AKF80" s="887"/>
      <c r="AKG80" s="887"/>
      <c r="AKH80" s="887"/>
      <c r="AKI80" s="887"/>
      <c r="AKJ80" s="887"/>
      <c r="AKK80" s="887"/>
      <c r="AKL80" s="887"/>
      <c r="AKM80" s="887"/>
      <c r="AKN80" s="887"/>
      <c r="AKO80" s="887"/>
      <c r="AKP80" s="887"/>
      <c r="AKQ80" s="887"/>
      <c r="AKR80" s="887"/>
      <c r="AKS80" s="887"/>
      <c r="AKT80" s="887"/>
      <c r="AKU80" s="887"/>
      <c r="AKV80" s="887"/>
      <c r="AKW80" s="887"/>
      <c r="AKX80" s="887"/>
      <c r="AKY80" s="887"/>
      <c r="AKZ80" s="887"/>
      <c r="ALA80" s="887"/>
      <c r="ALB80" s="887"/>
      <c r="ALC80" s="887"/>
      <c r="ALD80" s="887"/>
      <c r="ALE80" s="887"/>
      <c r="ALF80" s="887"/>
      <c r="ALG80" s="887"/>
      <c r="ALH80" s="887"/>
      <c r="ALI80" s="887"/>
      <c r="ALJ80" s="887"/>
      <c r="ALK80" s="887"/>
      <c r="ALL80" s="887"/>
      <c r="ALM80" s="887"/>
      <c r="ALN80" s="887"/>
      <c r="ALO80" s="887"/>
      <c r="ALP80" s="887"/>
      <c r="ALQ80" s="887"/>
      <c r="ALR80" s="887"/>
      <c r="ALS80" s="887"/>
      <c r="ALT80" s="887"/>
      <c r="ALU80" s="887"/>
      <c r="ALV80" s="887"/>
      <c r="ALW80" s="887"/>
      <c r="ALX80" s="887"/>
      <c r="ALY80" s="887"/>
      <c r="ALZ80" s="887"/>
      <c r="AMA80" s="887"/>
      <c r="AMB80" s="887"/>
      <c r="AMC80" s="887"/>
      <c r="AMD80" s="887"/>
      <c r="AME80" s="887"/>
      <c r="AMF80" s="887"/>
      <c r="AMG80" s="887"/>
      <c r="AMH80" s="887"/>
      <c r="AMI80" s="887"/>
      <c r="AMJ80" s="887"/>
    </row>
    <row r="81" spans="1:19" hidden="1">
      <c r="A81" s="876" t="s">
        <v>733</v>
      </c>
      <c r="B81" s="748"/>
      <c r="C81" s="748">
        <f t="shared" ref="C81:N81" si="15">+C7</f>
        <v>0</v>
      </c>
      <c r="D81" s="748">
        <f t="shared" si="15"/>
        <v>0</v>
      </c>
      <c r="E81" s="748">
        <f t="shared" si="15"/>
        <v>-3200</v>
      </c>
      <c r="F81" s="748">
        <f t="shared" si="15"/>
        <v>0</v>
      </c>
      <c r="G81" s="748">
        <f t="shared" si="15"/>
        <v>0</v>
      </c>
      <c r="H81" s="748">
        <f t="shared" si="15"/>
        <v>0</v>
      </c>
      <c r="I81" s="748">
        <f t="shared" si="15"/>
        <v>0</v>
      </c>
      <c r="J81" s="748">
        <f t="shared" si="15"/>
        <v>0</v>
      </c>
      <c r="K81" s="748">
        <f t="shared" si="15"/>
        <v>0</v>
      </c>
      <c r="L81" s="748">
        <f t="shared" si="15"/>
        <v>0</v>
      </c>
      <c r="M81" s="748">
        <f t="shared" si="15"/>
        <v>0</v>
      </c>
      <c r="N81" s="748">
        <f t="shared" si="15"/>
        <v>-6118200</v>
      </c>
      <c r="O81" s="748"/>
      <c r="P81" s="748"/>
      <c r="Q81" s="877">
        <f>+P81+N81-O81</f>
        <v>-6118200</v>
      </c>
    </row>
    <row r="82" spans="1:19" hidden="1">
      <c r="A82" s="876" t="s">
        <v>658</v>
      </c>
      <c r="B82" s="748">
        <f t="shared" ref="B82:M82" si="16">+B53</f>
        <v>-5488035</v>
      </c>
      <c r="C82" s="748">
        <f t="shared" si="16"/>
        <v>0</v>
      </c>
      <c r="D82" s="748">
        <f t="shared" si="16"/>
        <v>0</v>
      </c>
      <c r="E82" s="748">
        <f t="shared" si="16"/>
        <v>0</v>
      </c>
      <c r="F82" s="748">
        <f t="shared" si="16"/>
        <v>0</v>
      </c>
      <c r="G82" s="748">
        <f t="shared" si="16"/>
        <v>0</v>
      </c>
      <c r="H82" s="748">
        <f t="shared" si="16"/>
        <v>0</v>
      </c>
      <c r="I82" s="748">
        <f t="shared" si="16"/>
        <v>0</v>
      </c>
      <c r="J82" s="748">
        <f t="shared" si="16"/>
        <v>0</v>
      </c>
      <c r="K82" s="748">
        <f t="shared" si="16"/>
        <v>0</v>
      </c>
      <c r="L82" s="748">
        <f t="shared" si="16"/>
        <v>0</v>
      </c>
      <c r="M82" s="748">
        <f t="shared" si="16"/>
        <v>0</v>
      </c>
      <c r="N82" s="748">
        <f t="shared" ref="N82:N89" si="17">SUM(B82:M82)</f>
        <v>-5488035</v>
      </c>
      <c r="O82" s="748"/>
      <c r="P82" s="748"/>
      <c r="Q82" s="877">
        <f>+P82+N82-O82</f>
        <v>-5488035</v>
      </c>
    </row>
    <row r="83" spans="1:19" hidden="1">
      <c r="A83" s="876" t="s">
        <v>757</v>
      </c>
      <c r="B83" s="748">
        <f>+B54</f>
        <v>0</v>
      </c>
      <c r="C83" s="748">
        <f>+C54</f>
        <v>37386</v>
      </c>
      <c r="D83" s="748">
        <f>+D54</f>
        <v>0</v>
      </c>
      <c r="E83" s="748">
        <f>+E54+E20+E8</f>
        <v>-115991</v>
      </c>
      <c r="F83" s="748">
        <f>+F54</f>
        <v>1173951</v>
      </c>
      <c r="G83" s="748">
        <f>+G54</f>
        <v>0</v>
      </c>
      <c r="H83" s="748">
        <f>H30+H54</f>
        <v>-2988</v>
      </c>
      <c r="I83" s="748">
        <f>+I54</f>
        <v>0</v>
      </c>
      <c r="J83" s="748">
        <f>+J54</f>
        <v>0</v>
      </c>
      <c r="K83" s="748">
        <f>+K54</f>
        <v>-1728</v>
      </c>
      <c r="L83" s="748">
        <f>+L40</f>
        <v>-151290</v>
      </c>
      <c r="M83" s="748">
        <f>+M54</f>
        <v>-38152</v>
      </c>
      <c r="N83" s="748">
        <f t="shared" si="17"/>
        <v>901188</v>
      </c>
      <c r="O83" s="748"/>
      <c r="P83" s="748"/>
      <c r="Q83" s="877">
        <f>+P83+N83-O83</f>
        <v>901188</v>
      </c>
    </row>
    <row r="84" spans="1:19" ht="30" hidden="1">
      <c r="A84" s="878" t="s">
        <v>754</v>
      </c>
      <c r="B84" s="748">
        <f t="shared" ref="B84:M84" si="18">+B55+B35</f>
        <v>14116935</v>
      </c>
      <c r="C84" s="748">
        <f t="shared" si="18"/>
        <v>-5325487</v>
      </c>
      <c r="D84" s="748">
        <f t="shared" si="18"/>
        <v>181072</v>
      </c>
      <c r="E84" s="748">
        <f t="shared" si="18"/>
        <v>0</v>
      </c>
      <c r="F84" s="748">
        <f t="shared" si="18"/>
        <v>-44933</v>
      </c>
      <c r="G84" s="748">
        <f t="shared" si="18"/>
        <v>-13474</v>
      </c>
      <c r="H84" s="748">
        <f t="shared" si="18"/>
        <v>0</v>
      </c>
      <c r="I84" s="748">
        <f t="shared" si="18"/>
        <v>0</v>
      </c>
      <c r="J84" s="748">
        <f t="shared" si="18"/>
        <v>-40586</v>
      </c>
      <c r="K84" s="748">
        <f t="shared" si="18"/>
        <v>1063188</v>
      </c>
      <c r="L84" s="748">
        <f t="shared" si="18"/>
        <v>1040435</v>
      </c>
      <c r="M84" s="748">
        <f t="shared" si="18"/>
        <v>-436196</v>
      </c>
      <c r="N84" s="748">
        <f t="shared" si="17"/>
        <v>10540954</v>
      </c>
      <c r="O84" s="748"/>
      <c r="P84" s="748"/>
      <c r="Q84" s="877">
        <f>+P84+N84-O84</f>
        <v>10540954</v>
      </c>
    </row>
    <row r="85" spans="1:19">
      <c r="A85" s="879" t="s">
        <v>736</v>
      </c>
      <c r="B85" s="754">
        <f t="shared" ref="B85:M85" si="19">SUM(B78:B84)</f>
        <v>88265680.560000002</v>
      </c>
      <c r="C85" s="754">
        <f t="shared" si="19"/>
        <v>32366063.460000001</v>
      </c>
      <c r="D85" s="754">
        <f t="shared" si="19"/>
        <v>2213438.94</v>
      </c>
      <c r="E85" s="754">
        <f t="shared" si="19"/>
        <v>0</v>
      </c>
      <c r="F85" s="754">
        <f t="shared" si="19"/>
        <v>38503</v>
      </c>
      <c r="G85" s="754">
        <f t="shared" si="19"/>
        <v>346764</v>
      </c>
      <c r="H85" s="754">
        <f t="shared" si="19"/>
        <v>5000.47</v>
      </c>
      <c r="I85" s="754">
        <f t="shared" si="19"/>
        <v>10000</v>
      </c>
      <c r="J85" s="754">
        <f t="shared" si="19"/>
        <v>1138228</v>
      </c>
      <c r="K85" s="754">
        <f t="shared" si="19"/>
        <v>1882850.66</v>
      </c>
      <c r="L85" s="754">
        <f t="shared" si="19"/>
        <v>394840.89999999991</v>
      </c>
      <c r="M85" s="754">
        <f t="shared" si="19"/>
        <v>-1048872</v>
      </c>
      <c r="N85" s="754">
        <f t="shared" si="17"/>
        <v>125612497.99000001</v>
      </c>
      <c r="O85" s="754">
        <f>+'Planilla final'!O59-'Planilla final'!O57-O90</f>
        <v>53706354</v>
      </c>
      <c r="P85" s="754">
        <f>+'Planilla final'!P59-'Planilla final'!P57</f>
        <v>15223318</v>
      </c>
      <c r="Q85" s="881">
        <f>+N85+P85-O85</f>
        <v>87129461.99000001</v>
      </c>
      <c r="R85" s="902">
        <f>+Q85-'ECP20'!T67</f>
        <v>-1371434.5299999863</v>
      </c>
      <c r="S85" s="749">
        <f>+O85-P85</f>
        <v>38483036</v>
      </c>
    </row>
    <row r="86" spans="1:19">
      <c r="A86" s="867" t="s">
        <v>853</v>
      </c>
      <c r="B86" s="748">
        <f>+B58</f>
        <v>660505</v>
      </c>
      <c r="C86" s="748"/>
      <c r="D86" s="748"/>
      <c r="E86" s="748"/>
      <c r="F86" s="760"/>
      <c r="G86" s="748"/>
      <c r="H86" s="748"/>
      <c r="I86" s="748"/>
      <c r="J86" s="760"/>
      <c r="K86" s="748"/>
      <c r="L86" s="748">
        <v>0</v>
      </c>
      <c r="M86" s="748"/>
      <c r="N86" s="748">
        <f>SUM(B86:M86)</f>
        <v>660505</v>
      </c>
      <c r="O86" s="748"/>
      <c r="P86" s="748"/>
      <c r="Q86" s="1027">
        <f t="shared" ref="Q86" si="20">+N86+P86-O86</f>
        <v>660505</v>
      </c>
      <c r="R86" s="749"/>
      <c r="S86" s="434">
        <f>+S85-37706078</f>
        <v>776958</v>
      </c>
    </row>
    <row r="87" spans="1:19">
      <c r="A87" s="867" t="s">
        <v>842</v>
      </c>
      <c r="B87" s="748">
        <v>-21629181</v>
      </c>
      <c r="C87" s="748"/>
      <c r="D87" s="748"/>
      <c r="E87" s="748"/>
      <c r="F87" s="760"/>
      <c r="G87" s="748"/>
      <c r="H87" s="748"/>
      <c r="I87" s="748"/>
      <c r="J87" s="760"/>
      <c r="K87" s="748"/>
      <c r="L87" s="748"/>
      <c r="M87" s="748"/>
      <c r="N87" s="748">
        <f t="shared" si="17"/>
        <v>-21629181</v>
      </c>
      <c r="O87" s="748"/>
      <c r="P87" s="748"/>
      <c r="Q87" s="1029">
        <f>+N87+P87-O87</f>
        <v>-21629181</v>
      </c>
      <c r="R87" s="749"/>
      <c r="S87" s="434"/>
    </row>
    <row r="88" spans="1:19">
      <c r="A88" s="876" t="s">
        <v>880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>
        <f>+K59</f>
        <v>-373201</v>
      </c>
      <c r="L88" s="748"/>
      <c r="M88" s="748"/>
      <c r="N88" s="748">
        <f t="shared" si="17"/>
        <v>-373201</v>
      </c>
      <c r="O88" s="748"/>
      <c r="P88" s="748"/>
      <c r="Q88" s="1027">
        <f>+P88+N88-O88</f>
        <v>-373201</v>
      </c>
    </row>
    <row r="89" spans="1:19">
      <c r="A89" s="876" t="s">
        <v>852</v>
      </c>
      <c r="B89" s="748">
        <f>+B57</f>
        <v>1859768</v>
      </c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>
        <f t="shared" si="17"/>
        <v>1859768</v>
      </c>
      <c r="O89" s="748"/>
      <c r="P89" s="748"/>
      <c r="Q89" s="1027">
        <f>+P89+N89-O89</f>
        <v>1859768</v>
      </c>
    </row>
    <row r="90" spans="1:19">
      <c r="A90" s="876" t="s">
        <v>832</v>
      </c>
      <c r="B90" s="748"/>
      <c r="C90" s="748"/>
      <c r="D90" s="748">
        <f>+D62</f>
        <v>2534340</v>
      </c>
      <c r="E90" s="748"/>
      <c r="F90" s="748"/>
      <c r="G90" s="748"/>
      <c r="H90" s="748"/>
      <c r="I90" s="748"/>
      <c r="J90" s="748"/>
      <c r="K90" s="748"/>
      <c r="L90" s="748"/>
      <c r="M90" s="748"/>
      <c r="N90" s="748">
        <f>SUM(B90:M90)</f>
        <v>2534340</v>
      </c>
      <c r="O90" s="748">
        <f>+O62</f>
        <v>2534340</v>
      </c>
      <c r="P90" s="748"/>
      <c r="Q90" s="1027">
        <f>+P90+N90-O90</f>
        <v>0</v>
      </c>
    </row>
    <row r="91" spans="1:19">
      <c r="A91" s="876" t="s">
        <v>719</v>
      </c>
      <c r="C91" s="748">
        <f>+C60</f>
        <v>953966</v>
      </c>
      <c r="D91" s="748">
        <f>+D60</f>
        <v>-116791</v>
      </c>
      <c r="E91" s="748"/>
      <c r="F91" s="748"/>
      <c r="G91" s="748"/>
      <c r="H91" s="748"/>
      <c r="I91" s="748"/>
      <c r="J91" s="748"/>
      <c r="K91" s="748"/>
      <c r="L91" s="748">
        <f>+L60</f>
        <v>-50758</v>
      </c>
      <c r="M91" s="748"/>
      <c r="N91" s="748">
        <f>SUM(B91:M91)</f>
        <v>786417</v>
      </c>
      <c r="O91" s="748"/>
      <c r="P91" s="748"/>
      <c r="Q91" s="1027">
        <f>+P91+N91-O91</f>
        <v>786417</v>
      </c>
    </row>
    <row r="92" spans="1:19" ht="15" customHeight="1">
      <c r="A92" s="883" t="s">
        <v>833</v>
      </c>
      <c r="B92" s="882">
        <f>+B63</f>
        <v>19151165</v>
      </c>
      <c r="C92" s="748">
        <f t="shared" ref="C92:M92" si="21">+C63+C42</f>
        <v>-3188003</v>
      </c>
      <c r="D92" s="748">
        <f t="shared" si="21"/>
        <v>399181.97999999992</v>
      </c>
      <c r="E92" s="748">
        <f t="shared" si="21"/>
        <v>0</v>
      </c>
      <c r="F92" s="748">
        <f t="shared" si="21"/>
        <v>0</v>
      </c>
      <c r="G92" s="748">
        <f t="shared" si="21"/>
        <v>331439.17</v>
      </c>
      <c r="H92" s="748">
        <f t="shared" si="21"/>
        <v>0</v>
      </c>
      <c r="I92" s="748">
        <f t="shared" si="21"/>
        <v>0</v>
      </c>
      <c r="J92" s="748">
        <f t="shared" si="21"/>
        <v>-40586.1</v>
      </c>
      <c r="K92" s="748">
        <f t="shared" si="21"/>
        <v>150815</v>
      </c>
      <c r="L92" s="748">
        <f t="shared" si="21"/>
        <v>155307</v>
      </c>
      <c r="M92" s="748">
        <f t="shared" si="21"/>
        <v>-93297</v>
      </c>
      <c r="N92" s="748">
        <f>SUM(B92:M92)</f>
        <v>16866022.050000001</v>
      </c>
      <c r="O92" s="748">
        <f>+O63</f>
        <v>902562</v>
      </c>
      <c r="P92" s="748">
        <f>+P63</f>
        <v>2069001</v>
      </c>
      <c r="Q92" s="1027">
        <f>+P92+N92-O92</f>
        <v>18032461.050000001</v>
      </c>
    </row>
    <row r="93" spans="1:19" ht="15.75" thickBot="1">
      <c r="A93" s="870" t="s">
        <v>829</v>
      </c>
      <c r="B93" s="871">
        <f t="shared" ref="B93:M93" si="22">SUM(B85:B92)</f>
        <v>88307937.560000002</v>
      </c>
      <c r="C93" s="871">
        <f t="shared" si="22"/>
        <v>30132026.460000001</v>
      </c>
      <c r="D93" s="871">
        <f t="shared" si="22"/>
        <v>5030169.919999999</v>
      </c>
      <c r="E93" s="871">
        <f t="shared" si="22"/>
        <v>0</v>
      </c>
      <c r="F93" s="871">
        <f t="shared" si="22"/>
        <v>38503</v>
      </c>
      <c r="G93" s="871">
        <f t="shared" si="22"/>
        <v>678203.16999999993</v>
      </c>
      <c r="H93" s="871">
        <f t="shared" si="22"/>
        <v>5000.47</v>
      </c>
      <c r="I93" s="871">
        <f t="shared" si="22"/>
        <v>10000</v>
      </c>
      <c r="J93" s="871">
        <f t="shared" si="22"/>
        <v>1097641.8999999999</v>
      </c>
      <c r="K93" s="871">
        <f t="shared" si="22"/>
        <v>1660464.66</v>
      </c>
      <c r="L93" s="871">
        <f t="shared" si="22"/>
        <v>499389.89999999991</v>
      </c>
      <c r="M93" s="871">
        <f t="shared" si="22"/>
        <v>-1142169</v>
      </c>
      <c r="N93" s="871">
        <f>SUM(B93:M93)</f>
        <v>126317168.04000002</v>
      </c>
      <c r="O93" s="871">
        <f>SUM(O85:O92)</f>
        <v>57143256</v>
      </c>
      <c r="P93" s="871">
        <f>SUM(P85:P92)</f>
        <v>17292319</v>
      </c>
      <c r="Q93" s="872">
        <f>SUM(Q85:Q92)</f>
        <v>86466231.040000007</v>
      </c>
      <c r="R93" s="749">
        <f>+Q93-'Planilla final'!Q59</f>
        <v>3.2000000029802322</v>
      </c>
      <c r="S93" s="434">
        <f>+R85-R93</f>
        <v>-1371437.7299999893</v>
      </c>
    </row>
    <row r="94" spans="1:19">
      <c r="A94" s="744"/>
      <c r="B94" s="749">
        <f>+B93-'Planilla final'!B59</f>
        <v>-0.43999999761581421</v>
      </c>
      <c r="C94" s="749">
        <f>+C93-'Planilla final'!C59</f>
        <v>0.46000000089406967</v>
      </c>
      <c r="D94" s="749">
        <f>+D93-'Planilla final'!D59</f>
        <v>8.9999998919665813E-2</v>
      </c>
      <c r="E94" s="749">
        <f>+E93-'Planilla final'!E59</f>
        <v>0</v>
      </c>
      <c r="F94" s="749">
        <f>+F93-'Planilla final'!F59</f>
        <v>0.43999999988591298</v>
      </c>
      <c r="G94" s="749">
        <f>+G93-'Planilla final'!G59</f>
        <v>0.16999999992549419</v>
      </c>
      <c r="H94" s="749">
        <f>+H93-'Planilla final'!H59</f>
        <v>0.47000000000025466</v>
      </c>
      <c r="I94" s="749">
        <f>+I93-'Planilla final'!I59</f>
        <v>0</v>
      </c>
      <c r="J94" s="749">
        <f>+J93-'Planilla final'!J59</f>
        <v>0.45000000018626451</v>
      </c>
      <c r="K94" s="749">
        <f>+K93-'Planilla final'!K59</f>
        <v>0.65999999991618097</v>
      </c>
      <c r="L94" s="749">
        <f>+L93-'Planilla final'!L59</f>
        <v>-1.1000000000931323</v>
      </c>
      <c r="M94" s="749">
        <f>+M93-'Planilla final'!M59</f>
        <v>2</v>
      </c>
      <c r="N94" s="749">
        <f>+N93-'Planilla final'!N59</f>
        <v>3.2000000178813934</v>
      </c>
      <c r="O94" s="749">
        <f>+O93-'Planilla final'!O59</f>
        <v>0</v>
      </c>
      <c r="P94" s="749">
        <f>+P93-'Planilla final'!P59</f>
        <v>0</v>
      </c>
      <c r="Q94" s="1019">
        <f>+Q93-'Planilla final'!Q59</f>
        <v>3.2000000029802322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8"/>
  <sheetViews>
    <sheetView showGridLines="0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C58" sqref="C5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hidden="1" customWidth="1" outlineLevel="1"/>
    <col min="11" max="11" width="12.42578125" style="407" hidden="1" customWidth="1" outlineLevel="1"/>
    <col min="12" max="18" width="11.42578125" style="407" hidden="1" customWidth="1" outlineLevel="1"/>
    <col min="19" max="20" width="9.7109375" style="407" hidden="1" customWidth="1" outlineLevel="1"/>
    <col min="21" max="21" width="11.42578125" style="407" hidden="1" customWidth="1" outlineLevel="1"/>
    <col min="22" max="22" width="12" style="407" hidden="1" customWidth="1" outlineLevel="1"/>
    <col min="23" max="24" width="11.42578125" style="407" hidden="1" customWidth="1" outlineLevel="1"/>
    <col min="25" max="25" width="12.140625" style="407" hidden="1" customWidth="1" outlineLevel="1"/>
    <col min="26" max="26" width="1.28515625" style="407" customWidth="1" outlineLevel="1"/>
    <col min="27" max="27" width="13.42578125" style="407" bestFit="1" customWidth="1"/>
    <col min="28" max="1027" width="11.42578125" style="407"/>
  </cols>
  <sheetData>
    <row r="1" spans="1:27">
      <c r="A1" s="762" t="s">
        <v>390</v>
      </c>
      <c r="B1" s="762"/>
      <c r="C1" s="762"/>
      <c r="D1" s="1041"/>
      <c r="AA1" s="762"/>
    </row>
    <row r="2" spans="1:27">
      <c r="A2" s="763" t="s">
        <v>758</v>
      </c>
      <c r="B2" s="764"/>
      <c r="C2" s="764"/>
      <c r="D2" s="1042"/>
      <c r="E2" s="765"/>
      <c r="F2" s="765"/>
      <c r="G2" s="765"/>
      <c r="H2" s="765"/>
      <c r="I2" s="765"/>
      <c r="AA2" s="764"/>
    </row>
    <row r="3" spans="1:27">
      <c r="A3" s="763" t="s">
        <v>456</v>
      </c>
      <c r="B3" s="764"/>
      <c r="C3" s="764"/>
      <c r="D3" s="1042"/>
      <c r="E3" s="765"/>
      <c r="F3" s="765"/>
      <c r="G3" s="765"/>
      <c r="H3" s="765"/>
      <c r="I3" s="765"/>
      <c r="AA3" s="764"/>
    </row>
    <row r="4" spans="1:27" ht="24" customHeight="1">
      <c r="A4" s="765"/>
      <c r="B4" s="766" t="s">
        <v>759</v>
      </c>
      <c r="C4" s="767">
        <v>2020</v>
      </c>
      <c r="D4" s="766"/>
      <c r="E4" s="767">
        <v>2019</v>
      </c>
      <c r="F4" s="767"/>
      <c r="G4" s="767">
        <v>2018</v>
      </c>
      <c r="H4" s="768">
        <v>2017</v>
      </c>
      <c r="I4" s="767">
        <v>2016</v>
      </c>
      <c r="J4" s="769" t="s">
        <v>501</v>
      </c>
      <c r="K4" s="770" t="s">
        <v>760</v>
      </c>
      <c r="L4" s="459" t="s">
        <v>831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761</v>
      </c>
      <c r="S4" s="459" t="s">
        <v>245</v>
      </c>
      <c r="T4" s="459" t="s">
        <v>247</v>
      </c>
      <c r="U4" s="459" t="s">
        <v>762</v>
      </c>
      <c r="V4" s="459" t="s">
        <v>259</v>
      </c>
      <c r="W4" s="459" t="s">
        <v>18</v>
      </c>
      <c r="X4" s="459" t="s">
        <v>19</v>
      </c>
      <c r="Y4" s="459" t="s">
        <v>763</v>
      </c>
      <c r="Z4" s="769"/>
      <c r="AA4" s="767">
        <v>2019</v>
      </c>
    </row>
    <row r="5" spans="1:27" hidden="1">
      <c r="A5" s="763" t="s">
        <v>764</v>
      </c>
      <c r="B5" s="771"/>
      <c r="C5" s="771"/>
      <c r="D5" s="771"/>
      <c r="E5" s="763"/>
      <c r="F5" s="763"/>
      <c r="G5" s="763"/>
      <c r="H5" s="765"/>
      <c r="I5" s="765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  <c r="AA5" s="771"/>
    </row>
    <row r="6" spans="1:27" hidden="1">
      <c r="A6" s="765" t="s">
        <v>765</v>
      </c>
      <c r="B6" s="771"/>
      <c r="C6" s="969">
        <f>+'ESF20'!Q49</f>
        <v>25294583.178671967</v>
      </c>
      <c r="D6" s="771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27023893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29661783.050000008</v>
      </c>
      <c r="W6" s="408">
        <f>+'Planilla final'!O71</f>
        <v>0</v>
      </c>
      <c r="X6" s="408">
        <f>+'Planilla final'!P71</f>
        <v>0</v>
      </c>
      <c r="Y6" s="408">
        <f>+V6+X6-W6</f>
        <v>29661783.050000008</v>
      </c>
      <c r="Z6" s="408"/>
      <c r="AA6" s="969"/>
    </row>
    <row r="7" spans="1:27" hidden="1">
      <c r="A7" s="772" t="s">
        <v>766</v>
      </c>
      <c r="B7" s="773"/>
      <c r="C7" s="969"/>
      <c r="D7" s="773"/>
      <c r="E7" s="475"/>
      <c r="F7" s="475"/>
      <c r="G7" s="774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0">SUM(J7:U7)</f>
        <v>0</v>
      </c>
      <c r="W7" s="408"/>
      <c r="X7" s="408"/>
      <c r="Y7" s="408"/>
      <c r="Z7" s="408"/>
      <c r="AA7" s="969"/>
    </row>
    <row r="8" spans="1:27" hidden="1">
      <c r="A8" s="775" t="s">
        <v>767</v>
      </c>
      <c r="B8" s="773">
        <v>8</v>
      </c>
      <c r="C8" s="969">
        <f t="shared" ref="C8:C19" si="1">+Y8</f>
        <v>179838</v>
      </c>
      <c r="D8" s="773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177231</v>
      </c>
      <c r="K8" s="408"/>
      <c r="L8" s="408"/>
      <c r="M8" s="408"/>
      <c r="N8" s="408"/>
      <c r="O8" s="408"/>
      <c r="P8" s="408"/>
      <c r="Q8" s="408"/>
      <c r="R8" s="408"/>
      <c r="S8" s="408"/>
      <c r="T8" s="1053">
        <v>2607</v>
      </c>
      <c r="U8" s="408"/>
      <c r="V8" s="408">
        <f t="shared" si="0"/>
        <v>179838</v>
      </c>
      <c r="W8" s="408"/>
      <c r="X8" s="408"/>
      <c r="Y8" s="408">
        <f t="shared" ref="Y8:Y14" si="2">+V8+W8-X8</f>
        <v>179838</v>
      </c>
      <c r="Z8" s="408"/>
      <c r="AA8" s="969"/>
    </row>
    <row r="9" spans="1:27" hidden="1">
      <c r="A9" s="775" t="s">
        <v>768</v>
      </c>
      <c r="B9" s="773">
        <v>10</v>
      </c>
      <c r="C9" s="969">
        <f t="shared" si="1"/>
        <v>0</v>
      </c>
      <c r="D9" s="773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969"/>
    </row>
    <row r="10" spans="1:27" hidden="1">
      <c r="A10" s="775" t="s">
        <v>769</v>
      </c>
      <c r="B10" s="773">
        <v>12</v>
      </c>
      <c r="C10" s="969">
        <f t="shared" si="1"/>
        <v>19635020</v>
      </c>
      <c r="D10" s="773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17423605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19635020</v>
      </c>
      <c r="W10" s="408"/>
      <c r="X10" s="408"/>
      <c r="Y10" s="408">
        <f t="shared" si="2"/>
        <v>19635020</v>
      </c>
      <c r="Z10" s="408"/>
      <c r="AA10" s="969"/>
    </row>
    <row r="11" spans="1:27" hidden="1">
      <c r="A11" s="775" t="s">
        <v>770</v>
      </c>
      <c r="B11" s="773">
        <v>13</v>
      </c>
      <c r="C11" s="969">
        <f t="shared" si="1"/>
        <v>39210</v>
      </c>
      <c r="D11" s="773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969"/>
    </row>
    <row r="12" spans="1:27" hidden="1">
      <c r="A12" s="775" t="s">
        <v>771</v>
      </c>
      <c r="B12" s="773">
        <v>17</v>
      </c>
      <c r="C12" s="969">
        <f t="shared" si="1"/>
        <v>1808437</v>
      </c>
      <c r="D12" s="773"/>
      <c r="E12" s="776">
        <v>1484293</v>
      </c>
      <c r="F12" s="776"/>
      <c r="G12" s="475">
        <v>0</v>
      </c>
      <c r="H12" s="475"/>
      <c r="I12" s="475"/>
      <c r="J12" s="408">
        <v>1808437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1808437</v>
      </c>
      <c r="W12" s="408"/>
      <c r="X12" s="408"/>
      <c r="Y12" s="408">
        <f t="shared" si="2"/>
        <v>1808437</v>
      </c>
      <c r="Z12" s="408"/>
      <c r="AA12" s="969"/>
    </row>
    <row r="13" spans="1:27" hidden="1">
      <c r="A13" s="775" t="s">
        <v>772</v>
      </c>
      <c r="B13" s="773"/>
      <c r="C13" s="969">
        <f t="shared" si="1"/>
        <v>0</v>
      </c>
      <c r="D13" s="773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2"/>
        <v>0</v>
      </c>
      <c r="Z13" s="408"/>
      <c r="AA13" s="969"/>
    </row>
    <row r="14" spans="1:27" hidden="1">
      <c r="A14" s="775" t="s">
        <v>773</v>
      </c>
      <c r="B14" s="773">
        <v>14</v>
      </c>
      <c r="C14" s="969">
        <f t="shared" si="1"/>
        <v>2380394</v>
      </c>
      <c r="D14" s="773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2380394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2380394</v>
      </c>
      <c r="W14" s="408"/>
      <c r="X14" s="408"/>
      <c r="Y14" s="408">
        <f t="shared" si="2"/>
        <v>2380394</v>
      </c>
      <c r="Z14" s="408"/>
      <c r="AA14" s="969"/>
    </row>
    <row r="15" spans="1:27" hidden="1">
      <c r="A15" s="775" t="s">
        <v>774</v>
      </c>
      <c r="B15" s="773">
        <v>16</v>
      </c>
      <c r="C15" s="969">
        <f t="shared" si="1"/>
        <v>468128</v>
      </c>
      <c r="D15" s="773"/>
      <c r="E15" s="1046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969"/>
    </row>
    <row r="16" spans="1:27" hidden="1">
      <c r="A16" s="775" t="s">
        <v>775</v>
      </c>
      <c r="B16" s="773"/>
      <c r="C16" s="969">
        <f>-'ERI20'!D18</f>
        <v>4837640</v>
      </c>
      <c r="D16" s="773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4768922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4837640</v>
      </c>
      <c r="W16" s="408"/>
      <c r="X16" s="408"/>
      <c r="Y16" s="408">
        <f>+V16+W16-X16</f>
        <v>4837640</v>
      </c>
      <c r="Z16" s="408"/>
      <c r="AA16" s="969"/>
    </row>
    <row r="17" spans="1:1027" hidden="1">
      <c r="A17" s="775" t="s">
        <v>776</v>
      </c>
      <c r="B17" s="773">
        <v>25</v>
      </c>
      <c r="C17" s="1050">
        <f>+Y17+'ESF20'!C56</f>
        <v>-893979</v>
      </c>
      <c r="D17" s="773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f>323473+321399</f>
        <v>644872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649755</v>
      </c>
      <c r="W17" s="408"/>
      <c r="X17" s="408"/>
      <c r="Y17" s="408">
        <f>+V17+W17-X17</f>
        <v>649755</v>
      </c>
      <c r="Z17" s="408"/>
      <c r="AA17" s="1050"/>
    </row>
    <row r="18" spans="1:1027" hidden="1">
      <c r="A18" s="775" t="s">
        <v>777</v>
      </c>
      <c r="B18" s="773"/>
      <c r="C18" s="1040">
        <f>+'ESF20'!R24</f>
        <v>11250279</v>
      </c>
      <c r="D18" s="773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1030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08"/>
      <c r="AA18" s="1040"/>
    </row>
    <row r="19" spans="1:1027" hidden="1">
      <c r="A19" s="775" t="s">
        <v>778</v>
      </c>
      <c r="B19" s="773"/>
      <c r="C19" s="969">
        <f t="shared" si="1"/>
        <v>2260361</v>
      </c>
      <c r="D19" s="773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>
        <f>+'ESF20'!Q43</f>
        <v>2260361</v>
      </c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2260361</v>
      </c>
      <c r="W19" s="408"/>
      <c r="X19" s="408"/>
      <c r="Y19" s="408">
        <f>+V19+W19-X19</f>
        <v>2260361</v>
      </c>
      <c r="Z19" s="408"/>
      <c r="AA19" s="969"/>
    </row>
    <row r="20" spans="1:1027" hidden="1">
      <c r="A20" s="1055" t="s">
        <v>842</v>
      </c>
      <c r="B20" s="1056"/>
      <c r="C20" s="1040">
        <f>+'ESF20'!Q39</f>
        <v>-21629181</v>
      </c>
      <c r="D20" s="773"/>
      <c r="E20" s="475">
        <v>0</v>
      </c>
      <c r="F20" s="475"/>
      <c r="G20" s="475">
        <v>-261500</v>
      </c>
      <c r="H20" s="475"/>
      <c r="I20" s="475">
        <v>0</v>
      </c>
      <c r="J20" s="408">
        <v>0</v>
      </c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08"/>
      <c r="AA20" s="1040"/>
    </row>
    <row r="21" spans="1:1027" s="974" customFormat="1" hidden="1">
      <c r="A21" s="970"/>
      <c r="B21" s="971"/>
      <c r="C21" s="972">
        <f t="shared" ref="C21:D21" si="3">+SUM(C6:C20)</f>
        <v>45630730.178671971</v>
      </c>
      <c r="D21" s="973">
        <f t="shared" si="3"/>
        <v>0</v>
      </c>
      <c r="E21" s="972">
        <v>59056147</v>
      </c>
      <c r="F21" s="973"/>
      <c r="G21" s="972">
        <f t="shared" ref="G21:Y21" si="4">+SUM(G6:G20)</f>
        <v>44975312</v>
      </c>
      <c r="H21" s="973">
        <f t="shared" si="4"/>
        <v>36458920.04999999</v>
      </c>
      <c r="I21" s="973">
        <f t="shared" si="4"/>
        <v>42491899</v>
      </c>
      <c r="J21" s="973">
        <f t="shared" si="4"/>
        <v>56526925</v>
      </c>
      <c r="K21" s="973">
        <f t="shared" si="4"/>
        <v>-1393593</v>
      </c>
      <c r="L21" s="973">
        <f t="shared" si="4"/>
        <v>618606.98</v>
      </c>
      <c r="M21" s="973">
        <f t="shared" si="4"/>
        <v>0</v>
      </c>
      <c r="N21" s="973">
        <f t="shared" si="4"/>
        <v>0</v>
      </c>
      <c r="O21" s="973">
        <f t="shared" si="4"/>
        <v>331439.17</v>
      </c>
      <c r="P21" s="973">
        <f t="shared" si="4"/>
        <v>0</v>
      </c>
      <c r="Q21" s="973">
        <f t="shared" si="4"/>
        <v>0</v>
      </c>
      <c r="R21" s="973">
        <f t="shared" si="4"/>
        <v>-9.9999999998544808E-2</v>
      </c>
      <c r="S21" s="973">
        <f t="shared" si="4"/>
        <v>367451</v>
      </c>
      <c r="T21" s="973">
        <f t="shared" si="4"/>
        <v>257266</v>
      </c>
      <c r="U21" s="973">
        <f t="shared" si="4"/>
        <v>-93297</v>
      </c>
      <c r="V21" s="973">
        <f t="shared" si="4"/>
        <v>61452438.050000012</v>
      </c>
      <c r="W21" s="973">
        <f t="shared" si="4"/>
        <v>0</v>
      </c>
      <c r="X21" s="973"/>
      <c r="Y21" s="973">
        <f t="shared" si="4"/>
        <v>61920566.050000012</v>
      </c>
      <c r="Z21" s="973"/>
      <c r="AA21" s="972"/>
      <c r="AB21" s="939"/>
      <c r="AC21" s="939"/>
      <c r="AD21" s="939"/>
      <c r="AE21" s="939"/>
      <c r="AF21" s="939"/>
      <c r="AG21" s="939"/>
      <c r="AH21" s="939"/>
      <c r="AI21" s="939"/>
      <c r="AJ21" s="939"/>
      <c r="AK21" s="939"/>
      <c r="AL21" s="939"/>
      <c r="AM21" s="939"/>
      <c r="AN21" s="939"/>
      <c r="AO21" s="939"/>
      <c r="AP21" s="939"/>
      <c r="AQ21" s="939"/>
      <c r="AR21" s="939"/>
      <c r="AS21" s="939"/>
      <c r="AT21" s="939"/>
      <c r="AU21" s="939"/>
      <c r="AV21" s="939"/>
      <c r="AW21" s="939"/>
      <c r="AX21" s="939"/>
      <c r="AY21" s="939"/>
      <c r="AZ21" s="939"/>
      <c r="BA21" s="939"/>
      <c r="BB21" s="939"/>
      <c r="BC21" s="939"/>
      <c r="BD21" s="939"/>
      <c r="BE21" s="939"/>
      <c r="BF21" s="939"/>
      <c r="BG21" s="939"/>
      <c r="BH21" s="939"/>
      <c r="BI21" s="939"/>
      <c r="BJ21" s="939"/>
      <c r="BK21" s="939"/>
      <c r="BL21" s="939"/>
      <c r="BM21" s="939"/>
      <c r="BN21" s="939"/>
      <c r="BO21" s="939"/>
      <c r="BP21" s="939"/>
      <c r="BQ21" s="939"/>
      <c r="BR21" s="939"/>
      <c r="BS21" s="939"/>
      <c r="BT21" s="939"/>
      <c r="BU21" s="939"/>
      <c r="BV21" s="939"/>
      <c r="BW21" s="939"/>
      <c r="BX21" s="939"/>
      <c r="BY21" s="939"/>
      <c r="BZ21" s="939"/>
      <c r="CA21" s="939"/>
      <c r="CB21" s="939"/>
      <c r="CC21" s="939"/>
      <c r="CD21" s="939"/>
      <c r="CE21" s="939"/>
      <c r="CF21" s="939"/>
      <c r="CG21" s="939"/>
      <c r="CH21" s="939"/>
      <c r="CI21" s="939"/>
      <c r="CJ21" s="939"/>
      <c r="CK21" s="939"/>
      <c r="CL21" s="939"/>
      <c r="CM21" s="939"/>
      <c r="CN21" s="939"/>
      <c r="CO21" s="939"/>
      <c r="CP21" s="939"/>
      <c r="CQ21" s="939"/>
      <c r="CR21" s="939"/>
      <c r="CS21" s="939"/>
      <c r="CT21" s="939"/>
      <c r="CU21" s="939"/>
      <c r="CV21" s="939"/>
      <c r="CW21" s="939"/>
      <c r="CX21" s="939"/>
      <c r="CY21" s="939"/>
      <c r="CZ21" s="939"/>
      <c r="DA21" s="939"/>
      <c r="DB21" s="939"/>
      <c r="DC21" s="939"/>
      <c r="DD21" s="939"/>
      <c r="DE21" s="939"/>
      <c r="DF21" s="939"/>
      <c r="DG21" s="939"/>
      <c r="DH21" s="939"/>
      <c r="DI21" s="939"/>
      <c r="DJ21" s="939"/>
      <c r="DK21" s="939"/>
      <c r="DL21" s="939"/>
      <c r="DM21" s="939"/>
      <c r="DN21" s="939"/>
      <c r="DO21" s="939"/>
      <c r="DP21" s="939"/>
      <c r="DQ21" s="939"/>
      <c r="DR21" s="939"/>
      <c r="DS21" s="939"/>
      <c r="DT21" s="939"/>
      <c r="DU21" s="939"/>
      <c r="DV21" s="939"/>
      <c r="DW21" s="939"/>
      <c r="DX21" s="939"/>
      <c r="DY21" s="939"/>
      <c r="DZ21" s="939"/>
      <c r="EA21" s="939"/>
      <c r="EB21" s="939"/>
      <c r="EC21" s="939"/>
      <c r="ED21" s="939"/>
      <c r="EE21" s="939"/>
      <c r="EF21" s="939"/>
      <c r="EG21" s="939"/>
      <c r="EH21" s="939"/>
      <c r="EI21" s="939"/>
      <c r="EJ21" s="939"/>
      <c r="EK21" s="939"/>
      <c r="EL21" s="939"/>
      <c r="EM21" s="939"/>
      <c r="EN21" s="939"/>
      <c r="EO21" s="939"/>
      <c r="EP21" s="939"/>
      <c r="EQ21" s="939"/>
      <c r="ER21" s="939"/>
      <c r="ES21" s="939"/>
      <c r="ET21" s="939"/>
      <c r="EU21" s="939"/>
      <c r="EV21" s="939"/>
      <c r="EW21" s="939"/>
      <c r="EX21" s="939"/>
      <c r="EY21" s="939"/>
      <c r="EZ21" s="939"/>
      <c r="FA21" s="939"/>
      <c r="FB21" s="939"/>
      <c r="FC21" s="939"/>
      <c r="FD21" s="939"/>
      <c r="FE21" s="939"/>
      <c r="FF21" s="939"/>
      <c r="FG21" s="939"/>
      <c r="FH21" s="939"/>
      <c r="FI21" s="939"/>
      <c r="FJ21" s="939"/>
      <c r="FK21" s="939"/>
      <c r="FL21" s="939"/>
      <c r="FM21" s="939"/>
      <c r="FN21" s="939"/>
      <c r="FO21" s="939"/>
      <c r="FP21" s="939"/>
      <c r="FQ21" s="939"/>
      <c r="FR21" s="939"/>
      <c r="FS21" s="939"/>
      <c r="FT21" s="939"/>
      <c r="FU21" s="939"/>
      <c r="FV21" s="939"/>
      <c r="FW21" s="939"/>
      <c r="FX21" s="939"/>
      <c r="FY21" s="939"/>
      <c r="FZ21" s="939"/>
      <c r="GA21" s="939"/>
      <c r="GB21" s="939"/>
      <c r="GC21" s="939"/>
      <c r="GD21" s="939"/>
      <c r="GE21" s="939"/>
      <c r="GF21" s="939"/>
      <c r="GG21" s="939"/>
      <c r="GH21" s="939"/>
      <c r="GI21" s="939"/>
      <c r="GJ21" s="939"/>
      <c r="GK21" s="939"/>
      <c r="GL21" s="939"/>
      <c r="GM21" s="939"/>
      <c r="GN21" s="939"/>
      <c r="GO21" s="939"/>
      <c r="GP21" s="939"/>
      <c r="GQ21" s="939"/>
      <c r="GR21" s="939"/>
      <c r="GS21" s="939"/>
      <c r="GT21" s="939"/>
      <c r="GU21" s="939"/>
      <c r="GV21" s="939"/>
      <c r="GW21" s="939"/>
      <c r="GX21" s="939"/>
      <c r="GY21" s="939"/>
      <c r="GZ21" s="939"/>
      <c r="HA21" s="939"/>
      <c r="HB21" s="939"/>
      <c r="HC21" s="939"/>
      <c r="HD21" s="939"/>
      <c r="HE21" s="939"/>
      <c r="HF21" s="939"/>
      <c r="HG21" s="939"/>
      <c r="HH21" s="939"/>
      <c r="HI21" s="939"/>
      <c r="HJ21" s="939"/>
      <c r="HK21" s="939"/>
      <c r="HL21" s="939"/>
      <c r="HM21" s="939"/>
      <c r="HN21" s="939"/>
      <c r="HO21" s="939"/>
      <c r="HP21" s="939"/>
      <c r="HQ21" s="939"/>
      <c r="HR21" s="939"/>
      <c r="HS21" s="939"/>
      <c r="HT21" s="939"/>
      <c r="HU21" s="939"/>
      <c r="HV21" s="939"/>
      <c r="HW21" s="939"/>
      <c r="HX21" s="939"/>
      <c r="HY21" s="939"/>
      <c r="HZ21" s="939"/>
      <c r="IA21" s="939"/>
      <c r="IB21" s="939"/>
      <c r="IC21" s="939"/>
      <c r="ID21" s="939"/>
      <c r="IE21" s="939"/>
      <c r="IF21" s="939"/>
      <c r="IG21" s="939"/>
      <c r="IH21" s="939"/>
      <c r="II21" s="939"/>
      <c r="IJ21" s="939"/>
      <c r="IK21" s="939"/>
      <c r="IL21" s="939"/>
      <c r="IM21" s="939"/>
      <c r="IN21" s="939"/>
      <c r="IO21" s="939"/>
      <c r="IP21" s="939"/>
      <c r="IQ21" s="939"/>
      <c r="IR21" s="939"/>
      <c r="IS21" s="939"/>
      <c r="IT21" s="939"/>
      <c r="IU21" s="939"/>
      <c r="IV21" s="939"/>
      <c r="IW21" s="939"/>
      <c r="IX21" s="939"/>
      <c r="IY21" s="939"/>
      <c r="IZ21" s="939"/>
      <c r="JA21" s="939"/>
      <c r="JB21" s="939"/>
      <c r="JC21" s="939"/>
      <c r="JD21" s="939"/>
      <c r="JE21" s="939"/>
      <c r="JF21" s="939"/>
      <c r="JG21" s="939"/>
      <c r="JH21" s="939"/>
      <c r="JI21" s="939"/>
      <c r="JJ21" s="939"/>
      <c r="JK21" s="939"/>
      <c r="JL21" s="939"/>
      <c r="JM21" s="939"/>
      <c r="JN21" s="939"/>
      <c r="JO21" s="939"/>
      <c r="JP21" s="939"/>
      <c r="JQ21" s="939"/>
      <c r="JR21" s="939"/>
      <c r="JS21" s="939"/>
      <c r="JT21" s="939"/>
      <c r="JU21" s="939"/>
      <c r="JV21" s="939"/>
      <c r="JW21" s="939"/>
      <c r="JX21" s="939"/>
      <c r="JY21" s="939"/>
      <c r="JZ21" s="939"/>
      <c r="KA21" s="939"/>
      <c r="KB21" s="939"/>
      <c r="KC21" s="939"/>
      <c r="KD21" s="939"/>
      <c r="KE21" s="939"/>
      <c r="KF21" s="939"/>
      <c r="KG21" s="939"/>
      <c r="KH21" s="939"/>
      <c r="KI21" s="939"/>
      <c r="KJ21" s="939"/>
      <c r="KK21" s="939"/>
      <c r="KL21" s="939"/>
      <c r="KM21" s="939"/>
      <c r="KN21" s="939"/>
      <c r="KO21" s="939"/>
      <c r="KP21" s="939"/>
      <c r="KQ21" s="939"/>
      <c r="KR21" s="939"/>
      <c r="KS21" s="939"/>
      <c r="KT21" s="939"/>
      <c r="KU21" s="939"/>
      <c r="KV21" s="939"/>
      <c r="KW21" s="939"/>
      <c r="KX21" s="939"/>
      <c r="KY21" s="939"/>
      <c r="KZ21" s="939"/>
      <c r="LA21" s="939"/>
      <c r="LB21" s="939"/>
      <c r="LC21" s="939"/>
      <c r="LD21" s="939"/>
      <c r="LE21" s="939"/>
      <c r="LF21" s="939"/>
      <c r="LG21" s="939"/>
      <c r="LH21" s="939"/>
      <c r="LI21" s="939"/>
      <c r="LJ21" s="939"/>
      <c r="LK21" s="939"/>
      <c r="LL21" s="939"/>
      <c r="LM21" s="939"/>
      <c r="LN21" s="939"/>
      <c r="LO21" s="939"/>
      <c r="LP21" s="939"/>
      <c r="LQ21" s="939"/>
      <c r="LR21" s="939"/>
      <c r="LS21" s="939"/>
      <c r="LT21" s="939"/>
      <c r="LU21" s="939"/>
      <c r="LV21" s="939"/>
      <c r="LW21" s="939"/>
      <c r="LX21" s="939"/>
      <c r="LY21" s="939"/>
      <c r="LZ21" s="939"/>
      <c r="MA21" s="939"/>
      <c r="MB21" s="939"/>
      <c r="MC21" s="939"/>
      <c r="MD21" s="939"/>
      <c r="ME21" s="939"/>
      <c r="MF21" s="939"/>
      <c r="MG21" s="939"/>
      <c r="MH21" s="939"/>
      <c r="MI21" s="939"/>
      <c r="MJ21" s="939"/>
      <c r="MK21" s="939"/>
      <c r="ML21" s="939"/>
      <c r="MM21" s="939"/>
      <c r="MN21" s="939"/>
      <c r="MO21" s="939"/>
      <c r="MP21" s="939"/>
      <c r="MQ21" s="939"/>
      <c r="MR21" s="939"/>
      <c r="MS21" s="939"/>
      <c r="MT21" s="939"/>
      <c r="MU21" s="939"/>
      <c r="MV21" s="939"/>
      <c r="MW21" s="939"/>
      <c r="MX21" s="939"/>
      <c r="MY21" s="939"/>
      <c r="MZ21" s="939"/>
      <c r="NA21" s="939"/>
      <c r="NB21" s="939"/>
      <c r="NC21" s="939"/>
      <c r="ND21" s="939"/>
      <c r="NE21" s="939"/>
      <c r="NF21" s="939"/>
      <c r="NG21" s="939"/>
      <c r="NH21" s="939"/>
      <c r="NI21" s="939"/>
      <c r="NJ21" s="939"/>
      <c r="NK21" s="939"/>
      <c r="NL21" s="939"/>
      <c r="NM21" s="939"/>
      <c r="NN21" s="939"/>
      <c r="NO21" s="939"/>
      <c r="NP21" s="939"/>
      <c r="NQ21" s="939"/>
      <c r="NR21" s="939"/>
      <c r="NS21" s="939"/>
      <c r="NT21" s="939"/>
      <c r="NU21" s="939"/>
      <c r="NV21" s="939"/>
      <c r="NW21" s="939"/>
      <c r="NX21" s="939"/>
      <c r="NY21" s="939"/>
      <c r="NZ21" s="939"/>
      <c r="OA21" s="939"/>
      <c r="OB21" s="939"/>
      <c r="OC21" s="939"/>
      <c r="OD21" s="939"/>
      <c r="OE21" s="939"/>
      <c r="OF21" s="939"/>
      <c r="OG21" s="939"/>
      <c r="OH21" s="939"/>
      <c r="OI21" s="939"/>
      <c r="OJ21" s="939"/>
      <c r="OK21" s="939"/>
      <c r="OL21" s="939"/>
      <c r="OM21" s="939"/>
      <c r="ON21" s="939"/>
      <c r="OO21" s="939"/>
      <c r="OP21" s="939"/>
      <c r="OQ21" s="939"/>
      <c r="OR21" s="939"/>
      <c r="OS21" s="939"/>
      <c r="OT21" s="939"/>
      <c r="OU21" s="939"/>
      <c r="OV21" s="939"/>
      <c r="OW21" s="939"/>
      <c r="OX21" s="939"/>
      <c r="OY21" s="939"/>
      <c r="OZ21" s="939"/>
      <c r="PA21" s="939"/>
      <c r="PB21" s="939"/>
      <c r="PC21" s="939"/>
      <c r="PD21" s="939"/>
      <c r="PE21" s="939"/>
      <c r="PF21" s="939"/>
      <c r="PG21" s="939"/>
      <c r="PH21" s="939"/>
      <c r="PI21" s="939"/>
      <c r="PJ21" s="939"/>
      <c r="PK21" s="939"/>
      <c r="PL21" s="939"/>
      <c r="PM21" s="939"/>
      <c r="PN21" s="939"/>
      <c r="PO21" s="939"/>
      <c r="PP21" s="939"/>
      <c r="PQ21" s="939"/>
      <c r="PR21" s="939"/>
      <c r="PS21" s="939"/>
      <c r="PT21" s="939"/>
      <c r="PU21" s="939"/>
      <c r="PV21" s="939"/>
      <c r="PW21" s="939"/>
      <c r="PX21" s="939"/>
      <c r="PY21" s="939"/>
      <c r="PZ21" s="939"/>
      <c r="QA21" s="939"/>
      <c r="QB21" s="939"/>
      <c r="QC21" s="939"/>
      <c r="QD21" s="939"/>
      <c r="QE21" s="939"/>
      <c r="QF21" s="939"/>
      <c r="QG21" s="939"/>
      <c r="QH21" s="939"/>
      <c r="QI21" s="939"/>
      <c r="QJ21" s="939"/>
      <c r="QK21" s="939"/>
      <c r="QL21" s="939"/>
      <c r="QM21" s="939"/>
      <c r="QN21" s="939"/>
      <c r="QO21" s="939"/>
      <c r="QP21" s="939"/>
      <c r="QQ21" s="939"/>
      <c r="QR21" s="939"/>
      <c r="QS21" s="939"/>
      <c r="QT21" s="939"/>
      <c r="QU21" s="939"/>
      <c r="QV21" s="939"/>
      <c r="QW21" s="939"/>
      <c r="QX21" s="939"/>
      <c r="QY21" s="939"/>
      <c r="QZ21" s="939"/>
      <c r="RA21" s="939"/>
      <c r="RB21" s="939"/>
      <c r="RC21" s="939"/>
      <c r="RD21" s="939"/>
      <c r="RE21" s="939"/>
      <c r="RF21" s="939"/>
      <c r="RG21" s="939"/>
      <c r="RH21" s="939"/>
      <c r="RI21" s="939"/>
      <c r="RJ21" s="939"/>
      <c r="RK21" s="939"/>
      <c r="RL21" s="939"/>
      <c r="RM21" s="939"/>
      <c r="RN21" s="939"/>
      <c r="RO21" s="939"/>
      <c r="RP21" s="939"/>
      <c r="RQ21" s="939"/>
      <c r="RR21" s="939"/>
      <c r="RS21" s="939"/>
      <c r="RT21" s="939"/>
      <c r="RU21" s="939"/>
      <c r="RV21" s="939"/>
      <c r="RW21" s="939"/>
      <c r="RX21" s="939"/>
      <c r="RY21" s="939"/>
      <c r="RZ21" s="939"/>
      <c r="SA21" s="939"/>
      <c r="SB21" s="939"/>
      <c r="SC21" s="939"/>
      <c r="SD21" s="939"/>
      <c r="SE21" s="939"/>
      <c r="SF21" s="939"/>
      <c r="SG21" s="939"/>
      <c r="SH21" s="939"/>
      <c r="SI21" s="939"/>
      <c r="SJ21" s="939"/>
      <c r="SK21" s="939"/>
      <c r="SL21" s="939"/>
      <c r="SM21" s="939"/>
      <c r="SN21" s="939"/>
      <c r="SO21" s="939"/>
      <c r="SP21" s="939"/>
      <c r="SQ21" s="939"/>
      <c r="SR21" s="939"/>
      <c r="SS21" s="939"/>
      <c r="ST21" s="939"/>
      <c r="SU21" s="939"/>
      <c r="SV21" s="939"/>
      <c r="SW21" s="939"/>
      <c r="SX21" s="939"/>
      <c r="SY21" s="939"/>
      <c r="SZ21" s="939"/>
      <c r="TA21" s="939"/>
      <c r="TB21" s="939"/>
      <c r="TC21" s="939"/>
      <c r="TD21" s="939"/>
      <c r="TE21" s="939"/>
      <c r="TF21" s="939"/>
      <c r="TG21" s="939"/>
      <c r="TH21" s="939"/>
      <c r="TI21" s="939"/>
      <c r="TJ21" s="939"/>
      <c r="TK21" s="939"/>
      <c r="TL21" s="939"/>
      <c r="TM21" s="939"/>
      <c r="TN21" s="939"/>
      <c r="TO21" s="939"/>
      <c r="TP21" s="939"/>
      <c r="TQ21" s="939"/>
      <c r="TR21" s="939"/>
      <c r="TS21" s="939"/>
      <c r="TT21" s="939"/>
      <c r="TU21" s="939"/>
      <c r="TV21" s="939"/>
      <c r="TW21" s="939"/>
      <c r="TX21" s="939"/>
      <c r="TY21" s="939"/>
      <c r="TZ21" s="939"/>
      <c r="UA21" s="939"/>
      <c r="UB21" s="939"/>
      <c r="UC21" s="939"/>
      <c r="UD21" s="939"/>
      <c r="UE21" s="939"/>
      <c r="UF21" s="939"/>
      <c r="UG21" s="939"/>
      <c r="UH21" s="939"/>
      <c r="UI21" s="939"/>
      <c r="UJ21" s="939"/>
      <c r="UK21" s="939"/>
      <c r="UL21" s="939"/>
      <c r="UM21" s="939"/>
      <c r="UN21" s="939"/>
      <c r="UO21" s="939"/>
      <c r="UP21" s="939"/>
      <c r="UQ21" s="939"/>
      <c r="UR21" s="939"/>
      <c r="US21" s="939"/>
      <c r="UT21" s="939"/>
      <c r="UU21" s="939"/>
      <c r="UV21" s="939"/>
      <c r="UW21" s="939"/>
      <c r="UX21" s="939"/>
      <c r="UY21" s="939"/>
      <c r="UZ21" s="939"/>
      <c r="VA21" s="939"/>
      <c r="VB21" s="939"/>
      <c r="VC21" s="939"/>
      <c r="VD21" s="939"/>
      <c r="VE21" s="939"/>
      <c r="VF21" s="939"/>
      <c r="VG21" s="939"/>
      <c r="VH21" s="939"/>
      <c r="VI21" s="939"/>
      <c r="VJ21" s="939"/>
      <c r="VK21" s="939"/>
      <c r="VL21" s="939"/>
      <c r="VM21" s="939"/>
      <c r="VN21" s="939"/>
      <c r="VO21" s="939"/>
      <c r="VP21" s="939"/>
      <c r="VQ21" s="939"/>
      <c r="VR21" s="939"/>
      <c r="VS21" s="939"/>
      <c r="VT21" s="939"/>
      <c r="VU21" s="939"/>
      <c r="VV21" s="939"/>
      <c r="VW21" s="939"/>
      <c r="VX21" s="939"/>
      <c r="VY21" s="939"/>
      <c r="VZ21" s="939"/>
      <c r="WA21" s="939"/>
      <c r="WB21" s="939"/>
      <c r="WC21" s="939"/>
      <c r="WD21" s="939"/>
      <c r="WE21" s="939"/>
      <c r="WF21" s="939"/>
      <c r="WG21" s="939"/>
      <c r="WH21" s="939"/>
      <c r="WI21" s="939"/>
      <c r="WJ21" s="939"/>
      <c r="WK21" s="939"/>
      <c r="WL21" s="939"/>
      <c r="WM21" s="939"/>
      <c r="WN21" s="939"/>
      <c r="WO21" s="939"/>
      <c r="WP21" s="939"/>
      <c r="WQ21" s="939"/>
      <c r="WR21" s="939"/>
      <c r="WS21" s="939"/>
      <c r="WT21" s="939"/>
      <c r="WU21" s="939"/>
      <c r="WV21" s="939"/>
      <c r="WW21" s="939"/>
      <c r="WX21" s="939"/>
      <c r="WY21" s="939"/>
      <c r="WZ21" s="939"/>
      <c r="XA21" s="939"/>
      <c r="XB21" s="939"/>
      <c r="XC21" s="939"/>
      <c r="XD21" s="939"/>
      <c r="XE21" s="939"/>
      <c r="XF21" s="939"/>
      <c r="XG21" s="939"/>
      <c r="XH21" s="939"/>
      <c r="XI21" s="939"/>
      <c r="XJ21" s="939"/>
      <c r="XK21" s="939"/>
      <c r="XL21" s="939"/>
      <c r="XM21" s="939"/>
      <c r="XN21" s="939"/>
      <c r="XO21" s="939"/>
      <c r="XP21" s="939"/>
      <c r="XQ21" s="939"/>
      <c r="XR21" s="939"/>
      <c r="XS21" s="939"/>
      <c r="XT21" s="939"/>
      <c r="XU21" s="939"/>
      <c r="XV21" s="939"/>
      <c r="XW21" s="939"/>
      <c r="XX21" s="939"/>
      <c r="XY21" s="939"/>
      <c r="XZ21" s="939"/>
      <c r="YA21" s="939"/>
      <c r="YB21" s="939"/>
      <c r="YC21" s="939"/>
      <c r="YD21" s="939"/>
      <c r="YE21" s="939"/>
      <c r="YF21" s="939"/>
      <c r="YG21" s="939"/>
      <c r="YH21" s="939"/>
      <c r="YI21" s="939"/>
      <c r="YJ21" s="939"/>
      <c r="YK21" s="939"/>
      <c r="YL21" s="939"/>
      <c r="YM21" s="939"/>
      <c r="YN21" s="939"/>
      <c r="YO21" s="939"/>
      <c r="YP21" s="939"/>
      <c r="YQ21" s="939"/>
      <c r="YR21" s="939"/>
      <c r="YS21" s="939"/>
      <c r="YT21" s="939"/>
      <c r="YU21" s="939"/>
      <c r="YV21" s="939"/>
      <c r="YW21" s="939"/>
      <c r="YX21" s="939"/>
      <c r="YY21" s="939"/>
      <c r="YZ21" s="939"/>
      <c r="ZA21" s="939"/>
      <c r="ZB21" s="939"/>
      <c r="ZC21" s="939"/>
      <c r="ZD21" s="939"/>
      <c r="ZE21" s="939"/>
      <c r="ZF21" s="939"/>
      <c r="ZG21" s="939"/>
      <c r="ZH21" s="939"/>
      <c r="ZI21" s="939"/>
      <c r="ZJ21" s="939"/>
      <c r="ZK21" s="939"/>
      <c r="ZL21" s="939"/>
      <c r="ZM21" s="939"/>
      <c r="ZN21" s="939"/>
      <c r="ZO21" s="939"/>
      <c r="ZP21" s="939"/>
      <c r="ZQ21" s="939"/>
      <c r="ZR21" s="939"/>
      <c r="ZS21" s="939"/>
      <c r="ZT21" s="939"/>
      <c r="ZU21" s="939"/>
      <c r="ZV21" s="939"/>
      <c r="ZW21" s="939"/>
      <c r="ZX21" s="939"/>
      <c r="ZY21" s="939"/>
      <c r="ZZ21" s="939"/>
      <c r="AAA21" s="939"/>
      <c r="AAB21" s="939"/>
      <c r="AAC21" s="939"/>
      <c r="AAD21" s="939"/>
      <c r="AAE21" s="939"/>
      <c r="AAF21" s="939"/>
      <c r="AAG21" s="939"/>
      <c r="AAH21" s="939"/>
      <c r="AAI21" s="939"/>
      <c r="AAJ21" s="939"/>
      <c r="AAK21" s="939"/>
      <c r="AAL21" s="939"/>
      <c r="AAM21" s="939"/>
      <c r="AAN21" s="939"/>
      <c r="AAO21" s="939"/>
      <c r="AAP21" s="939"/>
      <c r="AAQ21" s="939"/>
      <c r="AAR21" s="939"/>
      <c r="AAS21" s="939"/>
      <c r="AAT21" s="939"/>
      <c r="AAU21" s="939"/>
      <c r="AAV21" s="939"/>
      <c r="AAW21" s="939"/>
      <c r="AAX21" s="939"/>
      <c r="AAY21" s="939"/>
      <c r="AAZ21" s="939"/>
      <c r="ABA21" s="939"/>
      <c r="ABB21" s="939"/>
      <c r="ABC21" s="939"/>
      <c r="ABD21" s="939"/>
      <c r="ABE21" s="939"/>
      <c r="ABF21" s="939"/>
      <c r="ABG21" s="939"/>
      <c r="ABH21" s="939"/>
      <c r="ABI21" s="939"/>
      <c r="ABJ21" s="939"/>
      <c r="ABK21" s="939"/>
      <c r="ABL21" s="939"/>
      <c r="ABM21" s="939"/>
      <c r="ABN21" s="939"/>
      <c r="ABO21" s="939"/>
      <c r="ABP21" s="939"/>
      <c r="ABQ21" s="939"/>
      <c r="ABR21" s="939"/>
      <c r="ABS21" s="939"/>
      <c r="ABT21" s="939"/>
      <c r="ABU21" s="939"/>
      <c r="ABV21" s="939"/>
      <c r="ABW21" s="939"/>
      <c r="ABX21" s="939"/>
      <c r="ABY21" s="939"/>
      <c r="ABZ21" s="939"/>
      <c r="ACA21" s="939"/>
      <c r="ACB21" s="939"/>
      <c r="ACC21" s="939"/>
      <c r="ACD21" s="939"/>
      <c r="ACE21" s="939"/>
      <c r="ACF21" s="939"/>
      <c r="ACG21" s="939"/>
      <c r="ACH21" s="939"/>
      <c r="ACI21" s="939"/>
      <c r="ACJ21" s="939"/>
      <c r="ACK21" s="939"/>
      <c r="ACL21" s="939"/>
      <c r="ACM21" s="939"/>
      <c r="ACN21" s="939"/>
      <c r="ACO21" s="939"/>
      <c r="ACP21" s="939"/>
      <c r="ACQ21" s="939"/>
      <c r="ACR21" s="939"/>
      <c r="ACS21" s="939"/>
      <c r="ACT21" s="939"/>
      <c r="ACU21" s="939"/>
      <c r="ACV21" s="939"/>
      <c r="ACW21" s="939"/>
      <c r="ACX21" s="939"/>
      <c r="ACY21" s="939"/>
      <c r="ACZ21" s="939"/>
      <c r="ADA21" s="939"/>
      <c r="ADB21" s="939"/>
      <c r="ADC21" s="939"/>
      <c r="ADD21" s="939"/>
      <c r="ADE21" s="939"/>
      <c r="ADF21" s="939"/>
      <c r="ADG21" s="939"/>
      <c r="ADH21" s="939"/>
      <c r="ADI21" s="939"/>
      <c r="ADJ21" s="939"/>
      <c r="ADK21" s="939"/>
      <c r="ADL21" s="939"/>
      <c r="ADM21" s="939"/>
      <c r="ADN21" s="939"/>
      <c r="ADO21" s="939"/>
      <c r="ADP21" s="939"/>
      <c r="ADQ21" s="939"/>
      <c r="ADR21" s="939"/>
      <c r="ADS21" s="939"/>
      <c r="ADT21" s="939"/>
      <c r="ADU21" s="939"/>
      <c r="ADV21" s="939"/>
      <c r="ADW21" s="939"/>
      <c r="ADX21" s="939"/>
      <c r="ADY21" s="939"/>
      <c r="ADZ21" s="939"/>
      <c r="AEA21" s="939"/>
      <c r="AEB21" s="939"/>
      <c r="AEC21" s="939"/>
      <c r="AED21" s="939"/>
      <c r="AEE21" s="939"/>
      <c r="AEF21" s="939"/>
      <c r="AEG21" s="939"/>
      <c r="AEH21" s="939"/>
      <c r="AEI21" s="939"/>
      <c r="AEJ21" s="939"/>
      <c r="AEK21" s="939"/>
      <c r="AEL21" s="939"/>
      <c r="AEM21" s="939"/>
      <c r="AEN21" s="939"/>
      <c r="AEO21" s="939"/>
      <c r="AEP21" s="939"/>
      <c r="AEQ21" s="939"/>
      <c r="AER21" s="939"/>
      <c r="AES21" s="939"/>
      <c r="AET21" s="939"/>
      <c r="AEU21" s="939"/>
      <c r="AEV21" s="939"/>
      <c r="AEW21" s="939"/>
      <c r="AEX21" s="939"/>
      <c r="AEY21" s="939"/>
      <c r="AEZ21" s="939"/>
      <c r="AFA21" s="939"/>
      <c r="AFB21" s="939"/>
      <c r="AFC21" s="939"/>
      <c r="AFD21" s="939"/>
      <c r="AFE21" s="939"/>
      <c r="AFF21" s="939"/>
      <c r="AFG21" s="939"/>
      <c r="AFH21" s="939"/>
      <c r="AFI21" s="939"/>
      <c r="AFJ21" s="939"/>
      <c r="AFK21" s="939"/>
      <c r="AFL21" s="939"/>
      <c r="AFM21" s="939"/>
      <c r="AFN21" s="939"/>
      <c r="AFO21" s="939"/>
      <c r="AFP21" s="939"/>
      <c r="AFQ21" s="939"/>
      <c r="AFR21" s="939"/>
      <c r="AFS21" s="939"/>
      <c r="AFT21" s="939"/>
      <c r="AFU21" s="939"/>
      <c r="AFV21" s="939"/>
      <c r="AFW21" s="939"/>
      <c r="AFX21" s="939"/>
      <c r="AFY21" s="939"/>
      <c r="AFZ21" s="939"/>
      <c r="AGA21" s="939"/>
      <c r="AGB21" s="939"/>
      <c r="AGC21" s="939"/>
      <c r="AGD21" s="939"/>
      <c r="AGE21" s="939"/>
      <c r="AGF21" s="939"/>
      <c r="AGG21" s="939"/>
      <c r="AGH21" s="939"/>
      <c r="AGI21" s="939"/>
      <c r="AGJ21" s="939"/>
      <c r="AGK21" s="939"/>
      <c r="AGL21" s="939"/>
      <c r="AGM21" s="939"/>
      <c r="AGN21" s="939"/>
      <c r="AGO21" s="939"/>
      <c r="AGP21" s="939"/>
      <c r="AGQ21" s="939"/>
      <c r="AGR21" s="939"/>
      <c r="AGS21" s="939"/>
      <c r="AGT21" s="939"/>
      <c r="AGU21" s="939"/>
      <c r="AGV21" s="939"/>
      <c r="AGW21" s="939"/>
      <c r="AGX21" s="939"/>
      <c r="AGY21" s="939"/>
      <c r="AGZ21" s="939"/>
      <c r="AHA21" s="939"/>
      <c r="AHB21" s="939"/>
      <c r="AHC21" s="939"/>
      <c r="AHD21" s="939"/>
      <c r="AHE21" s="939"/>
      <c r="AHF21" s="939"/>
      <c r="AHG21" s="939"/>
      <c r="AHH21" s="939"/>
      <c r="AHI21" s="939"/>
      <c r="AHJ21" s="939"/>
      <c r="AHK21" s="939"/>
      <c r="AHL21" s="939"/>
      <c r="AHM21" s="939"/>
      <c r="AHN21" s="939"/>
      <c r="AHO21" s="939"/>
      <c r="AHP21" s="939"/>
      <c r="AHQ21" s="939"/>
      <c r="AHR21" s="939"/>
      <c r="AHS21" s="939"/>
      <c r="AHT21" s="939"/>
      <c r="AHU21" s="939"/>
      <c r="AHV21" s="939"/>
      <c r="AHW21" s="939"/>
      <c r="AHX21" s="939"/>
      <c r="AHY21" s="939"/>
      <c r="AHZ21" s="939"/>
      <c r="AIA21" s="939"/>
      <c r="AIB21" s="939"/>
      <c r="AIC21" s="939"/>
      <c r="AID21" s="939"/>
      <c r="AIE21" s="939"/>
      <c r="AIF21" s="939"/>
      <c r="AIG21" s="939"/>
      <c r="AIH21" s="939"/>
      <c r="AII21" s="939"/>
      <c r="AIJ21" s="939"/>
      <c r="AIK21" s="939"/>
      <c r="AIL21" s="939"/>
      <c r="AIM21" s="939"/>
      <c r="AIN21" s="939"/>
      <c r="AIO21" s="939"/>
      <c r="AIP21" s="939"/>
      <c r="AIQ21" s="939"/>
      <c r="AIR21" s="939"/>
      <c r="AIS21" s="939"/>
      <c r="AIT21" s="939"/>
      <c r="AIU21" s="939"/>
      <c r="AIV21" s="939"/>
      <c r="AIW21" s="939"/>
      <c r="AIX21" s="939"/>
      <c r="AIY21" s="939"/>
      <c r="AIZ21" s="939"/>
      <c r="AJA21" s="939"/>
      <c r="AJB21" s="939"/>
      <c r="AJC21" s="939"/>
      <c r="AJD21" s="939"/>
      <c r="AJE21" s="939"/>
      <c r="AJF21" s="939"/>
      <c r="AJG21" s="939"/>
      <c r="AJH21" s="939"/>
      <c r="AJI21" s="939"/>
      <c r="AJJ21" s="939"/>
      <c r="AJK21" s="939"/>
      <c r="AJL21" s="939"/>
      <c r="AJM21" s="939"/>
      <c r="AJN21" s="939"/>
      <c r="AJO21" s="939"/>
      <c r="AJP21" s="939"/>
      <c r="AJQ21" s="939"/>
      <c r="AJR21" s="939"/>
      <c r="AJS21" s="939"/>
      <c r="AJT21" s="939"/>
      <c r="AJU21" s="939"/>
      <c r="AJV21" s="939"/>
      <c r="AJW21" s="939"/>
      <c r="AJX21" s="939"/>
      <c r="AJY21" s="939"/>
      <c r="AJZ21" s="939"/>
      <c r="AKA21" s="939"/>
      <c r="AKB21" s="939"/>
      <c r="AKC21" s="939"/>
      <c r="AKD21" s="939"/>
      <c r="AKE21" s="939"/>
      <c r="AKF21" s="939"/>
      <c r="AKG21" s="939"/>
      <c r="AKH21" s="939"/>
      <c r="AKI21" s="939"/>
      <c r="AKJ21" s="939"/>
      <c r="AKK21" s="939"/>
      <c r="AKL21" s="939"/>
      <c r="AKM21" s="939"/>
      <c r="AKN21" s="939"/>
      <c r="AKO21" s="939"/>
      <c r="AKP21" s="939"/>
      <c r="AKQ21" s="939"/>
      <c r="AKR21" s="939"/>
      <c r="AKS21" s="939"/>
      <c r="AKT21" s="939"/>
      <c r="AKU21" s="939"/>
      <c r="AKV21" s="939"/>
      <c r="AKW21" s="939"/>
      <c r="AKX21" s="939"/>
      <c r="AKY21" s="939"/>
      <c r="AKZ21" s="939"/>
      <c r="ALA21" s="939"/>
      <c r="ALB21" s="939"/>
      <c r="ALC21" s="939"/>
      <c r="ALD21" s="939"/>
      <c r="ALE21" s="939"/>
      <c r="ALF21" s="939"/>
      <c r="ALG21" s="939"/>
      <c r="ALH21" s="939"/>
      <c r="ALI21" s="939"/>
      <c r="ALJ21" s="939"/>
      <c r="ALK21" s="939"/>
      <c r="ALL21" s="939"/>
      <c r="ALM21" s="939"/>
      <c r="ALN21" s="939"/>
      <c r="ALO21" s="939"/>
      <c r="ALP21" s="939"/>
      <c r="ALQ21" s="939"/>
      <c r="ALR21" s="939"/>
      <c r="ALS21" s="939"/>
      <c r="ALT21" s="939"/>
      <c r="ALU21" s="939"/>
      <c r="ALV21" s="939"/>
      <c r="ALW21" s="939"/>
      <c r="ALX21" s="939"/>
      <c r="ALY21" s="939"/>
      <c r="ALZ21" s="939"/>
      <c r="AMA21" s="939"/>
      <c r="AMB21" s="939"/>
      <c r="AMC21" s="939"/>
      <c r="AMD21" s="939"/>
      <c r="AME21" s="939"/>
      <c r="AMF21" s="939"/>
      <c r="AMG21" s="939"/>
      <c r="AMH21" s="939"/>
      <c r="AMI21" s="939"/>
      <c r="AMJ21" s="939"/>
      <c r="AMK21" s="939"/>
      <c r="AML21" s="939"/>
      <c r="AMM21" s="939"/>
    </row>
    <row r="22" spans="1:1027" hidden="1">
      <c r="A22" s="772" t="s">
        <v>779</v>
      </c>
      <c r="B22" s="773"/>
      <c r="C22" s="773"/>
      <c r="D22" s="773"/>
      <c r="E22" s="774"/>
      <c r="F22" s="774"/>
      <c r="G22" s="774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  <c r="AA22" s="773"/>
    </row>
    <row r="23" spans="1:1027" hidden="1">
      <c r="A23" s="775" t="s">
        <v>38</v>
      </c>
      <c r="B23" s="773"/>
      <c r="C23" s="1036">
        <f>+'ESF20'!C84</f>
        <v>-4903357.74</v>
      </c>
      <c r="D23" s="773"/>
      <c r="E23" s="774">
        <v>-1804677</v>
      </c>
      <c r="F23" s="774"/>
      <c r="G23" s="774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  <c r="AA23" s="1036"/>
    </row>
    <row r="24" spans="1:1027" hidden="1">
      <c r="A24" s="775" t="s">
        <v>126</v>
      </c>
      <c r="B24" s="773"/>
      <c r="C24" s="1036">
        <f>+'ESF20'!D19+'ESF20'!D9</f>
        <v>-3342632.1499999985</v>
      </c>
      <c r="D24" s="773"/>
      <c r="E24" s="774">
        <v>2402819</v>
      </c>
      <c r="F24" s="774"/>
      <c r="G24" s="774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  <c r="AA24" s="1036"/>
    </row>
    <row r="25" spans="1:1027" hidden="1">
      <c r="A25" s="775" t="s">
        <v>42</v>
      </c>
      <c r="B25" s="773"/>
      <c r="C25" s="1037">
        <f>+'ESF20'!D11+'ESF20'!D18</f>
        <v>6930447</v>
      </c>
      <c r="D25" s="773"/>
      <c r="E25" s="740">
        <v>-12472591</v>
      </c>
      <c r="F25" s="740"/>
      <c r="G25" s="740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1037"/>
    </row>
    <row r="26" spans="1:1027" hidden="1">
      <c r="A26" s="775" t="s">
        <v>43</v>
      </c>
      <c r="B26" s="773"/>
      <c r="C26" s="1036">
        <f>+'ESF20'!D10</f>
        <v>-5308932.76</v>
      </c>
      <c r="D26" s="773"/>
      <c r="E26" s="774">
        <v>228775</v>
      </c>
      <c r="F26" s="774"/>
      <c r="G26" s="774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1036"/>
    </row>
    <row r="27" spans="1:1027" hidden="1">
      <c r="A27" s="775" t="s">
        <v>45</v>
      </c>
      <c r="B27" s="773"/>
      <c r="C27" s="1036">
        <f>+'ESF20'!D12</f>
        <v>-1008270</v>
      </c>
      <c r="D27" s="773"/>
      <c r="E27" s="774">
        <v>-233386</v>
      </c>
      <c r="F27" s="774"/>
      <c r="G27" s="774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  <c r="AA27" s="1036"/>
    </row>
    <row r="28" spans="1:1027" hidden="1">
      <c r="A28" s="775" t="s">
        <v>46</v>
      </c>
      <c r="B28" s="773"/>
      <c r="C28" s="1038">
        <f>+'ESF20'!D13</f>
        <v>462096.62000000104</v>
      </c>
      <c r="D28" s="773"/>
      <c r="E28" s="774">
        <v>-4708564</v>
      </c>
      <c r="F28" s="774"/>
      <c r="G28" s="774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1038"/>
    </row>
    <row r="29" spans="1:1027" hidden="1">
      <c r="A29" s="775" t="s">
        <v>518</v>
      </c>
      <c r="B29" s="773"/>
      <c r="C29" s="1039"/>
      <c r="D29" s="773"/>
      <c r="E29" s="774">
        <v>0</v>
      </c>
      <c r="F29" s="774"/>
      <c r="G29" s="774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1039"/>
    </row>
    <row r="30" spans="1:1027" hidden="1">
      <c r="A30" s="775" t="s">
        <v>61</v>
      </c>
      <c r="B30" s="773"/>
      <c r="C30" s="1036">
        <f>+'ESF20'!D14+'ESF20'!D25</f>
        <v>-2149319.1799999997</v>
      </c>
      <c r="D30" s="773"/>
      <c r="E30" s="774">
        <v>3067865</v>
      </c>
      <c r="F30" s="774"/>
      <c r="G30" s="774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1036"/>
    </row>
    <row r="31" spans="1:1027" hidden="1">
      <c r="A31" s="775" t="s">
        <v>67</v>
      </c>
      <c r="B31" s="773"/>
      <c r="C31" s="1037">
        <f>+'ESF20'!R8</f>
        <v>3714995</v>
      </c>
      <c r="D31" s="773"/>
      <c r="E31" s="774">
        <v>3444203</v>
      </c>
      <c r="F31" s="774"/>
      <c r="G31" s="774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1037"/>
    </row>
    <row r="32" spans="1:1027" hidden="1">
      <c r="A32" s="775" t="s">
        <v>139</v>
      </c>
      <c r="B32" s="773"/>
      <c r="C32" s="1036">
        <f>+'ESF20'!R9+'ESF20'!R21</f>
        <v>-915527.6799999997</v>
      </c>
      <c r="D32" s="773"/>
      <c r="E32" s="774">
        <v>-11251354</v>
      </c>
      <c r="F32" s="774"/>
      <c r="G32" s="774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1036"/>
    </row>
    <row r="33" spans="1:27" hidden="1">
      <c r="A33" s="775" t="s">
        <v>780</v>
      </c>
      <c r="B33" s="773"/>
      <c r="C33" s="1036">
        <f>+'ESF20'!C73</f>
        <v>978507</v>
      </c>
      <c r="D33" s="773"/>
      <c r="E33" s="774">
        <v>845971</v>
      </c>
      <c r="F33" s="774"/>
      <c r="G33" s="774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1036"/>
    </row>
    <row r="34" spans="1:27" hidden="1">
      <c r="A34" s="775" t="s">
        <v>72</v>
      </c>
      <c r="B34" s="773"/>
      <c r="C34" s="1036">
        <f>+'ESF20'!R11+'ESF20'!R22</f>
        <v>-10864096.469999999</v>
      </c>
      <c r="D34" s="773"/>
      <c r="E34" s="774">
        <v>11962398</v>
      </c>
      <c r="F34" s="774"/>
      <c r="G34" s="774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1036"/>
    </row>
    <row r="35" spans="1:27" hidden="1">
      <c r="A35" s="775" t="s">
        <v>76</v>
      </c>
      <c r="B35" s="773"/>
      <c r="C35" s="1035">
        <f>+'ESF20'!C105</f>
        <v>0</v>
      </c>
      <c r="D35" s="773"/>
      <c r="E35" s="774">
        <v>721539</v>
      </c>
      <c r="F35" s="774"/>
      <c r="G35" s="774">
        <v>-45316</v>
      </c>
      <c r="H35" s="740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  <c r="AA35" s="1035"/>
    </row>
    <row r="36" spans="1:27" hidden="1">
      <c r="A36" s="775" t="s">
        <v>520</v>
      </c>
      <c r="B36" s="773"/>
      <c r="C36" s="1036">
        <f>+'ESF20'!C100</f>
        <v>1100326</v>
      </c>
      <c r="D36" s="773"/>
      <c r="E36" s="774">
        <v>0</v>
      </c>
      <c r="F36" s="774"/>
      <c r="G36" s="774"/>
      <c r="H36" s="740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  <c r="AA36" s="1036"/>
    </row>
    <row r="37" spans="1:27" hidden="1">
      <c r="A37" s="775" t="s">
        <v>839</v>
      </c>
      <c r="B37" s="773"/>
      <c r="C37" s="1036">
        <f>+'ESF20'!R12</f>
        <v>-3097550</v>
      </c>
      <c r="D37" s="773"/>
      <c r="E37" s="774">
        <v>0</v>
      </c>
      <c r="F37" s="774"/>
      <c r="G37" s="774"/>
      <c r="H37" s="740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  <c r="AA37" s="1036"/>
    </row>
    <row r="38" spans="1:27" hidden="1">
      <c r="A38" s="775" t="s">
        <v>75</v>
      </c>
      <c r="B38" s="773"/>
      <c r="C38" s="1035">
        <f>+'ESF20'!C79</f>
        <v>1684199.08</v>
      </c>
      <c r="D38" s="773"/>
      <c r="E38" s="774">
        <v>306465</v>
      </c>
      <c r="F38" s="774"/>
      <c r="G38" s="774">
        <f>+'ESF20'!X15-218884</f>
        <v>1447046</v>
      </c>
      <c r="H38" s="475">
        <f>+'ESF20'!Z13-199556+167797</f>
        <v>152364</v>
      </c>
      <c r="I38" s="475">
        <v>707123</v>
      </c>
      <c r="J38" s="740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1035"/>
    </row>
    <row r="39" spans="1:27" hidden="1">
      <c r="A39" s="775" t="s">
        <v>886</v>
      </c>
      <c r="B39" s="773"/>
      <c r="C39" s="1036">
        <f>+'ESF20'!R5</f>
        <v>-74044</v>
      </c>
      <c r="D39" s="773"/>
      <c r="E39" s="774">
        <v>0</v>
      </c>
      <c r="F39" s="774"/>
      <c r="G39" s="774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  <c r="AA39" s="1036"/>
    </row>
    <row r="40" spans="1:27" hidden="1">
      <c r="A40" s="772" t="s">
        <v>781</v>
      </c>
      <c r="B40" s="773"/>
      <c r="C40" s="777">
        <f t="shared" ref="C40:D40" si="5">+SUM(C21:C39)</f>
        <v>28837570.89867197</v>
      </c>
      <c r="D40" s="475">
        <f t="shared" si="5"/>
        <v>0</v>
      </c>
      <c r="E40" s="777">
        <v>51565610</v>
      </c>
      <c r="F40" s="475"/>
      <c r="G40" s="777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777"/>
    </row>
    <row r="41" spans="1:27" hidden="1">
      <c r="A41" s="775" t="s">
        <v>782</v>
      </c>
      <c r="B41" s="773"/>
      <c r="C41" s="1052">
        <f>+Y41</f>
        <v>-4275291</v>
      </c>
      <c r="D41" s="773"/>
      <c r="E41" s="774">
        <v>-7316715</v>
      </c>
      <c r="F41" s="774"/>
      <c r="G41" s="774">
        <f>+'ERI20'!H20</f>
        <v>-4254413</v>
      </c>
      <c r="H41" s="475">
        <f>+'ERI20'!J20</f>
        <v>-3475906</v>
      </c>
      <c r="I41" s="475">
        <v>-3198548</v>
      </c>
      <c r="J41" s="408">
        <v>-3680975</v>
      </c>
      <c r="K41" s="408"/>
      <c r="L41" s="408"/>
      <c r="M41" s="408"/>
      <c r="N41" s="408"/>
      <c r="O41" s="408"/>
      <c r="P41" s="408"/>
      <c r="Q41" s="408"/>
      <c r="R41" s="408"/>
      <c r="S41" s="1054">
        <v>-268323</v>
      </c>
      <c r="T41" s="408">
        <v>-325993</v>
      </c>
      <c r="U41" s="408"/>
      <c r="V41" s="408">
        <f>SUM(J41:U41)</f>
        <v>-4275291</v>
      </c>
      <c r="W41" s="408"/>
      <c r="X41" s="408"/>
      <c r="Y41" s="408">
        <f>+V41+W41-X41</f>
        <v>-4275291</v>
      </c>
      <c r="Z41" s="408"/>
      <c r="AA41" s="1052"/>
    </row>
    <row r="42" spans="1:27" hidden="1">
      <c r="A42" s="775" t="s">
        <v>783</v>
      </c>
      <c r="B42" s="773"/>
      <c r="C42" s="1050">
        <f t="shared" ref="C42" si="6">+Y42</f>
        <v>-4453394</v>
      </c>
      <c r="D42" s="773"/>
      <c r="E42" s="774">
        <v>-2840226</v>
      </c>
      <c r="F42" s="774"/>
      <c r="G42" s="740">
        <v>-1591304</v>
      </c>
      <c r="H42" s="475">
        <v>-1759101</v>
      </c>
      <c r="I42" s="475">
        <v>-2644886</v>
      </c>
      <c r="J42" s="408">
        <v>-3976474</v>
      </c>
      <c r="K42" s="414"/>
      <c r="L42" s="414"/>
      <c r="M42" s="414"/>
      <c r="N42" s="414"/>
      <c r="O42" s="414"/>
      <c r="P42" s="414"/>
      <c r="Q42" s="414"/>
      <c r="R42" s="414"/>
      <c r="S42" s="1035">
        <v>-231683</v>
      </c>
      <c r="T42" s="1035">
        <v>-245237</v>
      </c>
      <c r="U42" s="414"/>
      <c r="V42" s="408">
        <f>SUM(J42:U42)</f>
        <v>-4453394</v>
      </c>
      <c r="W42" s="414"/>
      <c r="X42" s="414"/>
      <c r="Y42" s="408">
        <f>+V42+W42-X42</f>
        <v>-4453394</v>
      </c>
      <c r="Z42" s="408"/>
      <c r="AA42" s="1050"/>
    </row>
    <row r="43" spans="1:27" hidden="1">
      <c r="A43" s="775" t="s">
        <v>784</v>
      </c>
      <c r="B43" s="773">
        <v>25</v>
      </c>
      <c r="C43" s="1050">
        <f>+Y43</f>
        <v>-17000</v>
      </c>
      <c r="D43" s="773"/>
      <c r="E43" s="774">
        <v>-1788845</v>
      </c>
      <c r="F43" s="774"/>
      <c r="G43" s="740">
        <v>-207177</v>
      </c>
      <c r="H43" s="475">
        <v>-107410</v>
      </c>
      <c r="I43" s="475">
        <v>-470931</v>
      </c>
      <c r="J43" s="408">
        <v>-17000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-17000</v>
      </c>
      <c r="W43" s="414"/>
      <c r="X43" s="414"/>
      <c r="Y43" s="408">
        <f>+V43+W43-X43</f>
        <v>-17000</v>
      </c>
      <c r="Z43" s="408"/>
      <c r="AA43" s="1050"/>
    </row>
    <row r="44" spans="1:27" hidden="1">
      <c r="A44" s="778" t="s">
        <v>785</v>
      </c>
      <c r="B44" s="779"/>
      <c r="C44" s="780">
        <f t="shared" ref="C44:D44" si="7">+C40+C41+C42+C43</f>
        <v>20091885.89867197</v>
      </c>
      <c r="D44" s="781">
        <f t="shared" si="7"/>
        <v>0</v>
      </c>
      <c r="E44" s="780">
        <v>39619824</v>
      </c>
      <c r="F44" s="781"/>
      <c r="G44" s="780">
        <f>+G40+G41+G42+G43</f>
        <v>28163684</v>
      </c>
      <c r="H44" s="782">
        <f>+H40+H41+H42+H43</f>
        <v>15118218.04999999</v>
      </c>
      <c r="I44" s="781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  <c r="AA44" s="780"/>
    </row>
    <row r="45" spans="1:27" ht="15" customHeight="1">
      <c r="A45" s="763" t="s">
        <v>896</v>
      </c>
      <c r="B45" s="771"/>
      <c r="C45" s="771"/>
      <c r="D45" s="771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  <c r="AA45" s="771"/>
    </row>
    <row r="46" spans="1:27" ht="15" customHeight="1">
      <c r="A46" s="765" t="s">
        <v>897</v>
      </c>
      <c r="B46" s="771"/>
      <c r="C46" s="1035">
        <f>+'ESF20'!F8+'ESF20'!F9+'ESF20'!F11+'ESF20'!F12+'ERI20'!D3-'ESF20'!C8-'ESF20'!C9-'ESF20'!C11-'ESF20'!C12</f>
        <v>210680433.00999996</v>
      </c>
      <c r="D46" s="771"/>
      <c r="E46" s="408"/>
      <c r="F46" s="408"/>
      <c r="G46" s="408"/>
      <c r="H46" s="408"/>
      <c r="I46" s="408"/>
      <c r="J46" s="1035">
        <v>180367119</v>
      </c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  <c r="AA46" s="1035"/>
    </row>
    <row r="47" spans="1:27" ht="15" customHeight="1">
      <c r="A47" s="765" t="s">
        <v>898</v>
      </c>
      <c r="B47" s="771"/>
      <c r="C47" s="1035">
        <f>20091886-204015134</f>
        <v>-183923248</v>
      </c>
      <c r="D47" s="771"/>
      <c r="E47" s="408"/>
      <c r="F47" s="408"/>
      <c r="G47" s="408"/>
      <c r="H47" s="408"/>
      <c r="I47" s="408"/>
      <c r="J47" s="1035">
        <v>-164103721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  <c r="AA47" s="1035"/>
    </row>
    <row r="48" spans="1:27" ht="15" customHeight="1">
      <c r="A48" s="765" t="s">
        <v>159</v>
      </c>
      <c r="B48" s="771"/>
      <c r="C48" s="1035">
        <f>+'ESF20'!C72</f>
        <v>-4275291</v>
      </c>
      <c r="D48" s="771"/>
      <c r="E48" s="408"/>
      <c r="F48" s="408"/>
      <c r="G48" s="408"/>
      <c r="H48" s="408"/>
      <c r="I48" s="408"/>
      <c r="J48" s="1035">
        <v>-3680975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1035"/>
    </row>
    <row r="49" spans="1:27" ht="15" customHeight="1">
      <c r="A49" s="765" t="s">
        <v>105</v>
      </c>
      <c r="B49" s="771"/>
      <c r="C49" s="1035">
        <f>+J49</f>
        <v>-501019</v>
      </c>
      <c r="D49" s="771"/>
      <c r="E49" s="408"/>
      <c r="F49" s="408"/>
      <c r="G49" s="408"/>
      <c r="H49" s="408"/>
      <c r="I49" s="408"/>
      <c r="J49" s="1035">
        <v>-501019</v>
      </c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1035"/>
    </row>
    <row r="50" spans="1:27" ht="15" customHeight="1">
      <c r="A50" s="765" t="s">
        <v>899</v>
      </c>
      <c r="B50" s="771"/>
      <c r="C50" s="1035">
        <f>+J50</f>
        <v>-1888989</v>
      </c>
      <c r="D50" s="771"/>
      <c r="E50" s="408"/>
      <c r="F50" s="408"/>
      <c r="G50" s="408"/>
      <c r="H50" s="408"/>
      <c r="I50" s="408"/>
      <c r="J50" s="1035">
        <v>-1888989</v>
      </c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1035"/>
    </row>
    <row r="51" spans="1:27" ht="15" customHeight="1">
      <c r="A51" s="765" t="s">
        <v>900</v>
      </c>
      <c r="B51" s="771"/>
      <c r="C51" s="1078">
        <f>SUM(C46:C50)</f>
        <v>20091886.009999961</v>
      </c>
      <c r="D51" s="771"/>
      <c r="E51" s="408"/>
      <c r="F51" s="408"/>
      <c r="G51" s="408"/>
      <c r="H51" s="408"/>
      <c r="I51" s="408"/>
      <c r="J51" s="1035">
        <f>SUM(J46:J50)</f>
        <v>10192415</v>
      </c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  <c r="AA51" s="1078"/>
    </row>
    <row r="52" spans="1:27" ht="7.5" customHeight="1">
      <c r="A52" s="765"/>
      <c r="B52" s="771"/>
      <c r="C52" s="1077"/>
      <c r="D52" s="771"/>
      <c r="E52" s="408"/>
      <c r="F52" s="408"/>
      <c r="G52" s="408"/>
      <c r="H52" s="408"/>
      <c r="I52" s="408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  <c r="AA52" s="1077"/>
    </row>
    <row r="53" spans="1:27">
      <c r="A53" s="763" t="s">
        <v>786</v>
      </c>
      <c r="B53" s="771"/>
      <c r="C53" s="771"/>
      <c r="D53" s="771"/>
      <c r="E53" s="783"/>
      <c r="F53" s="783"/>
      <c r="G53" s="783"/>
      <c r="H53" s="408"/>
      <c r="I53" s="408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  <c r="AA53" s="771"/>
    </row>
    <row r="54" spans="1:27">
      <c r="A54" s="775" t="s">
        <v>787</v>
      </c>
      <c r="B54" s="773">
        <v>7</v>
      </c>
      <c r="C54" s="1037">
        <f>+'ESF20'!D7</f>
        <v>3350139</v>
      </c>
      <c r="D54" s="773"/>
      <c r="E54" s="781">
        <v>-965345</v>
      </c>
      <c r="F54" s="781"/>
      <c r="G54" s="781">
        <f>+'ESF20'!J7</f>
        <v>251011</v>
      </c>
      <c r="H54" s="784">
        <v>-593863</v>
      </c>
      <c r="I54" s="781">
        <v>-175815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1037"/>
    </row>
    <row r="55" spans="1:27">
      <c r="A55" s="775" t="s">
        <v>788</v>
      </c>
      <c r="B55" s="773"/>
      <c r="C55" s="1036">
        <f>+'ESF20'!D6</f>
        <v>-3107992</v>
      </c>
      <c r="D55" s="773"/>
      <c r="E55" s="781">
        <v>60892</v>
      </c>
      <c r="F55" s="781"/>
      <c r="G55" s="781">
        <f>+'ESF20'!J6</f>
        <v>29809</v>
      </c>
      <c r="H55" s="784">
        <v>5828169</v>
      </c>
      <c r="I55" s="781">
        <v>-1655856</v>
      </c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  <c r="AA55" s="1036"/>
    </row>
    <row r="56" spans="1:27">
      <c r="A56" s="775" t="s">
        <v>789</v>
      </c>
      <c r="B56" s="773"/>
      <c r="C56" s="1037">
        <f>+'ESF20'!D23</f>
        <v>1673584</v>
      </c>
      <c r="D56" s="773"/>
      <c r="E56" s="785">
        <v>-251355</v>
      </c>
      <c r="F56" s="785"/>
      <c r="G56" s="785">
        <v>0</v>
      </c>
      <c r="H56" s="432">
        <v>0</v>
      </c>
      <c r="I56" s="781">
        <v>-125000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  <c r="AA56" s="1037"/>
    </row>
    <row r="57" spans="1:27">
      <c r="A57" s="775" t="s">
        <v>889</v>
      </c>
      <c r="B57" s="773"/>
      <c r="C57" s="1036">
        <f>+'ESF20'!C39</f>
        <v>-937756.5299999998</v>
      </c>
      <c r="D57" s="773"/>
      <c r="E57" s="785"/>
      <c r="F57" s="785"/>
      <c r="G57" s="785"/>
      <c r="H57" s="432"/>
      <c r="I57" s="781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Z57" s="414"/>
      <c r="AA57" s="1036"/>
    </row>
    <row r="58" spans="1:27">
      <c r="A58" s="775" t="s">
        <v>888</v>
      </c>
      <c r="B58" s="773"/>
      <c r="C58" s="1035">
        <f>+'ESF20'!C67</f>
        <v>-439321.65</v>
      </c>
      <c r="D58" s="773"/>
      <c r="E58" s="785"/>
      <c r="F58" s="785"/>
      <c r="G58" s="785">
        <v>0</v>
      </c>
      <c r="H58" s="781">
        <v>119269</v>
      </c>
      <c r="I58" s="781">
        <v>-1494761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  <c r="AA58" s="1035"/>
    </row>
    <row r="59" spans="1:27">
      <c r="A59" s="775" t="s">
        <v>790</v>
      </c>
      <c r="B59" s="773">
        <v>12</v>
      </c>
      <c r="C59" s="1036">
        <f>+'ESF20'!C44</f>
        <v>-12667045.439999998</v>
      </c>
      <c r="D59" s="773"/>
      <c r="E59" s="784">
        <v>-3842548</v>
      </c>
      <c r="F59" s="784"/>
      <c r="G59" s="784">
        <v>-12283237</v>
      </c>
      <c r="H59" s="781">
        <v>-15283415</v>
      </c>
      <c r="I59" s="781">
        <f>-19113929+437588</f>
        <v>-18676341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  <c r="AA59" s="1036"/>
    </row>
    <row r="60" spans="1:27">
      <c r="A60" s="775" t="s">
        <v>887</v>
      </c>
      <c r="B60" s="773"/>
      <c r="C60" s="1035">
        <f>+'ESF20'!C50</f>
        <v>-1610904</v>
      </c>
      <c r="D60" s="773"/>
      <c r="E60" s="785">
        <v>0</v>
      </c>
      <c r="F60" s="785"/>
      <c r="G60" s="785">
        <v>0</v>
      </c>
      <c r="H60" s="432">
        <v>0</v>
      </c>
      <c r="I60" s="781">
        <v>-49200</v>
      </c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  <c r="AA60" s="1035"/>
    </row>
    <row r="61" spans="1:27">
      <c r="A61" s="775" t="s">
        <v>791</v>
      </c>
      <c r="B61" s="773">
        <v>14</v>
      </c>
      <c r="C61" s="1036">
        <f>+'ESF20'!C62</f>
        <v>-1744851</v>
      </c>
      <c r="D61" s="773"/>
      <c r="E61" s="784">
        <v>-909058</v>
      </c>
      <c r="F61" s="784"/>
      <c r="G61" s="784">
        <v>-4862718</v>
      </c>
      <c r="H61" s="781">
        <f>-(1121449+75987)</f>
        <v>-1197436</v>
      </c>
      <c r="I61" s="781">
        <v>-2492677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  <c r="AA61" s="1036"/>
    </row>
    <row r="62" spans="1:27">
      <c r="A62" s="778" t="s">
        <v>792</v>
      </c>
      <c r="B62" s="773"/>
      <c r="C62" s="780">
        <f t="shared" ref="C62:D62" si="8">+SUM(C54:C61)</f>
        <v>-15484147.619999997</v>
      </c>
      <c r="D62" s="774">
        <f t="shared" si="8"/>
        <v>0</v>
      </c>
      <c r="E62" s="786">
        <v>-5907414</v>
      </c>
      <c r="F62" s="774"/>
      <c r="G62" s="786">
        <f>+SUM(G54:G61)</f>
        <v>-16865135</v>
      </c>
      <c r="H62" s="782">
        <f>+SUM(H54:H61)</f>
        <v>-11127276</v>
      </c>
      <c r="I62" s="781">
        <f>+SUM(I54:I61)</f>
        <v>-24669650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  <c r="AA62" s="780"/>
    </row>
    <row r="63" spans="1:27" ht="5.0999999999999996" customHeight="1">
      <c r="A63" s="414"/>
      <c r="B63" s="622"/>
      <c r="C63" s="622"/>
      <c r="D63" s="622"/>
      <c r="E63" s="408"/>
      <c r="F63" s="408"/>
      <c r="G63" s="408"/>
      <c r="H63" s="408"/>
      <c r="I63" s="408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622"/>
    </row>
    <row r="64" spans="1:27">
      <c r="A64" s="763" t="s">
        <v>793</v>
      </c>
      <c r="B64" s="771"/>
      <c r="C64" s="771"/>
      <c r="D64" s="771"/>
      <c r="E64" s="783"/>
      <c r="F64" s="783"/>
      <c r="G64" s="783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  <c r="AA64" s="771"/>
    </row>
    <row r="65" spans="1:27">
      <c r="A65" s="765" t="s">
        <v>794</v>
      </c>
      <c r="B65" s="771"/>
      <c r="C65" s="1050">
        <f t="shared" ref="C65" si="9">+Y65</f>
        <v>-1307540</v>
      </c>
      <c r="D65" s="771"/>
      <c r="E65" s="408">
        <v>-1307540</v>
      </c>
      <c r="F65" s="408"/>
      <c r="G65" s="783"/>
      <c r="H65" s="408"/>
      <c r="I65" s="408"/>
      <c r="J65" s="514">
        <v>-1307540</v>
      </c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544">
        <f>SUM(J65:U65)</f>
        <v>-1307540</v>
      </c>
      <c r="W65" s="414"/>
      <c r="X65" s="414"/>
      <c r="Y65" s="544">
        <f>+V65+W65-X65</f>
        <v>-1307540</v>
      </c>
      <c r="Z65" s="544"/>
      <c r="AA65" s="1050"/>
    </row>
    <row r="66" spans="1:27" hidden="1">
      <c r="A66" s="765" t="s">
        <v>884</v>
      </c>
      <c r="B66" s="771"/>
      <c r="C66" s="969">
        <v>0</v>
      </c>
      <c r="D66" s="771"/>
      <c r="E66" s="784">
        <v>221096</v>
      </c>
      <c r="F66" s="408"/>
      <c r="G66" s="783"/>
      <c r="H66" s="408"/>
      <c r="I66" s="408"/>
      <c r="J66" s="5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544"/>
      <c r="W66" s="414"/>
      <c r="X66" s="414"/>
      <c r="Y66" s="544"/>
      <c r="Z66" s="544"/>
      <c r="AA66" s="969"/>
    </row>
    <row r="67" spans="1:27" hidden="1">
      <c r="A67" s="775" t="s">
        <v>795</v>
      </c>
      <c r="B67" s="773"/>
      <c r="C67" s="969">
        <v>0</v>
      </c>
      <c r="D67" s="773"/>
      <c r="E67" s="784">
        <v>1188714</v>
      </c>
      <c r="F67" s="784"/>
      <c r="G67" s="784">
        <v>0</v>
      </c>
      <c r="H67" s="432"/>
      <c r="I67" s="781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  <c r="AA67" s="969"/>
    </row>
    <row r="68" spans="1:27" hidden="1">
      <c r="A68" s="775" t="s">
        <v>796</v>
      </c>
      <c r="B68" s="773"/>
      <c r="C68" s="969">
        <v>0</v>
      </c>
      <c r="D68" s="773"/>
      <c r="E68" s="774">
        <v>-5488035</v>
      </c>
      <c r="F68" s="784"/>
      <c r="G68" s="784">
        <v>0</v>
      </c>
      <c r="H68" s="432"/>
      <c r="I68" s="781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  <c r="AA68" s="969"/>
    </row>
    <row r="69" spans="1:27">
      <c r="A69" s="775" t="s">
        <v>797</v>
      </c>
      <c r="B69" s="773"/>
      <c r="C69" s="1036">
        <f>+'ESF20'!R6+'ESF20'!R18</f>
        <v>-456875</v>
      </c>
      <c r="D69" s="773"/>
      <c r="E69" s="774">
        <v>-10808637</v>
      </c>
      <c r="F69" s="774"/>
      <c r="G69" s="774">
        <f>+'ESF20'!X6+'ESF20'!X18</f>
        <v>-7240852</v>
      </c>
      <c r="H69" s="781">
        <f>+'ESF20'!Z6+'ESF20'!Z16</f>
        <v>-4735058</v>
      </c>
      <c r="I69" s="781">
        <f>15141796-13490379-198890+4596345</f>
        <v>6048872</v>
      </c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  <c r="AA69" s="1036"/>
    </row>
    <row r="70" spans="1:27">
      <c r="A70" s="775" t="s">
        <v>798</v>
      </c>
      <c r="B70" s="773"/>
      <c r="C70" s="1037">
        <f>+'ESF20'!R7+'ESF20'!R19</f>
        <v>11202774.02</v>
      </c>
      <c r="D70" s="773"/>
      <c r="E70" s="1044">
        <v>-8550313</v>
      </c>
      <c r="F70" s="774"/>
      <c r="G70" s="774">
        <f>+'ESF20'!X7+'ESF20'!X19</f>
        <v>-7134782</v>
      </c>
      <c r="H70" s="781">
        <f>+'ESF20'!Z7+'ESF20'!Z17</f>
        <v>-8370991</v>
      </c>
      <c r="I70" s="781">
        <f>13238971-9192632</f>
        <v>4046339</v>
      </c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  <c r="AA70" s="1037"/>
    </row>
    <row r="71" spans="1:27">
      <c r="A71" s="778" t="s">
        <v>799</v>
      </c>
      <c r="B71" s="779"/>
      <c r="C71" s="786">
        <f>+SUM(C65:C70)</f>
        <v>9438359.0199999996</v>
      </c>
      <c r="D71" s="774">
        <f>+SUM(D65:D70)</f>
        <v>0</v>
      </c>
      <c r="E71" s="785">
        <v>-24744715</v>
      </c>
      <c r="F71" s="774"/>
      <c r="G71" s="786">
        <f>+SUM(G67:G70)</f>
        <v>-14375634</v>
      </c>
      <c r="H71" s="787">
        <f>+SUM(H67:H70)</f>
        <v>-13106049</v>
      </c>
      <c r="I71" s="774">
        <f>+SUM(I67:I70)</f>
        <v>10095211</v>
      </c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  <c r="AA71" s="786"/>
    </row>
    <row r="72" spans="1:27" ht="5.0999999999999996" customHeight="1">
      <c r="A72" s="788"/>
      <c r="B72" s="789"/>
      <c r="C72" s="789"/>
      <c r="D72" s="789"/>
      <c r="F72" s="785"/>
      <c r="G72" s="785"/>
      <c r="H72" s="408"/>
      <c r="I72" s="408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  <c r="AA72" s="789"/>
    </row>
    <row r="73" spans="1:27">
      <c r="A73" s="778" t="s">
        <v>800</v>
      </c>
      <c r="B73" s="773"/>
      <c r="C73" s="774">
        <f>+C51+C62+C71</f>
        <v>14046097.409999963</v>
      </c>
      <c r="D73" s="773"/>
      <c r="E73" s="774">
        <v>8967695</v>
      </c>
      <c r="F73" s="774"/>
      <c r="G73" s="774">
        <f>+G71+G62+G44</f>
        <v>-3077085</v>
      </c>
      <c r="H73" s="781">
        <f>+H71+H62+H44</f>
        <v>-9115106.9500000104</v>
      </c>
      <c r="I73" s="781">
        <f>+I71+I62+I44</f>
        <v>6324454</v>
      </c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  <c r="AA73" s="774"/>
    </row>
    <row r="74" spans="1:27">
      <c r="A74" s="778" t="s">
        <v>801</v>
      </c>
      <c r="B74" s="773"/>
      <c r="C74" s="1036">
        <f>+'ESF20'!F5</f>
        <v>5885974</v>
      </c>
      <c r="D74" s="773"/>
      <c r="E74" s="1044">
        <v>-3155765</v>
      </c>
      <c r="F74" s="774"/>
      <c r="G74" s="774">
        <f>+H75</f>
        <v>70061.049999989569</v>
      </c>
      <c r="H74" s="781">
        <f>+I75</f>
        <v>9185168</v>
      </c>
      <c r="I74" s="781">
        <v>2860714</v>
      </c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  <c r="AA74" s="1036"/>
    </row>
    <row r="75" spans="1:27" ht="15.75" thickBot="1">
      <c r="A75" s="778" t="s">
        <v>802</v>
      </c>
      <c r="B75" s="773">
        <v>6</v>
      </c>
      <c r="C75" s="790">
        <f>+C73+C74</f>
        <v>19932071.409999963</v>
      </c>
      <c r="D75" s="774">
        <f t="shared" ref="D75" si="10">+D73+D74</f>
        <v>0</v>
      </c>
      <c r="E75" s="1043">
        <v>5811930</v>
      </c>
      <c r="F75" s="774"/>
      <c r="G75" s="790">
        <f>+G73+G74</f>
        <v>-3007023.9500000104</v>
      </c>
      <c r="H75" s="781">
        <f>+H73+H74</f>
        <v>70061.049999989569</v>
      </c>
      <c r="I75" s="781">
        <f>+I73+I74</f>
        <v>9185168</v>
      </c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  <c r="AA75" s="790"/>
    </row>
    <row r="76" spans="1:27" ht="5.0999999999999996" customHeight="1" thickTop="1">
      <c r="A76" s="414"/>
      <c r="B76" s="414"/>
      <c r="C76" s="414"/>
      <c r="E76" s="791"/>
      <c r="F76" s="791"/>
      <c r="G76" s="791"/>
      <c r="H76" s="791"/>
      <c r="I76" s="791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  <c r="AA76" s="414"/>
    </row>
    <row r="77" spans="1:27" ht="11.25" customHeight="1">
      <c r="A77" s="414" t="s">
        <v>901</v>
      </c>
      <c r="B77" s="414"/>
      <c r="C77" s="1079">
        <f>+C75-'ESF20'!C5</f>
        <v>2311.9199999645352</v>
      </c>
      <c r="F77" s="791"/>
      <c r="G77" s="791"/>
      <c r="H77" s="791"/>
      <c r="I77" s="791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  <c r="AA77" s="1051"/>
    </row>
    <row r="78" spans="1:27" ht="5.0999999999999996" customHeight="1">
      <c r="A78" s="414"/>
      <c r="B78" s="414"/>
      <c r="C78" s="414"/>
      <c r="E78" s="791"/>
      <c r="F78" s="791"/>
      <c r="G78" s="791"/>
      <c r="H78" s="791"/>
      <c r="I78" s="791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  <c r="AA78" s="414"/>
    </row>
    <row r="79" spans="1:27">
      <c r="E79" s="792"/>
      <c r="F79" s="792"/>
      <c r="G79" s="791"/>
      <c r="H79" s="791"/>
      <c r="I79" s="791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7">
      <c r="E80" s="428">
        <v>0</v>
      </c>
      <c r="F80" s="428"/>
      <c r="G80" s="791"/>
      <c r="H80" s="791"/>
      <c r="I80" s="791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  <row r="81" spans="5:26">
      <c r="E81" s="428"/>
      <c r="F81" s="428"/>
      <c r="G81" s="791"/>
      <c r="H81" s="791"/>
      <c r="I81" s="791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  <c r="Z81" s="414"/>
    </row>
    <row r="82" spans="5:26">
      <c r="G82" s="414"/>
      <c r="H82" s="642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</row>
    <row r="83" spans="5:26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  <c r="Z83" s="414"/>
    </row>
    <row r="84" spans="5:26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414"/>
    </row>
    <row r="85" spans="5:26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  <c r="Z85" s="414"/>
    </row>
    <row r="86" spans="5:26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  <c r="Z86" s="414"/>
    </row>
    <row r="87" spans="5:26"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</row>
    <row r="88" spans="5:26"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  <c r="Z88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3" customWidth="1"/>
    <col min="2" max="2" width="17.28515625" style="793" customWidth="1"/>
    <col min="3" max="3" width="17.140625" style="793" customWidth="1"/>
    <col min="4" max="4" width="19.140625" style="793" customWidth="1"/>
    <col min="5" max="5" width="14.140625" style="793" customWidth="1"/>
    <col min="6" max="6" width="14.7109375" style="793" customWidth="1"/>
    <col min="7" max="7" width="13.7109375" style="793" customWidth="1"/>
    <col min="8" max="8" width="16.28515625" style="793" customWidth="1"/>
    <col min="9" max="9" width="14.85546875" style="793" customWidth="1"/>
    <col min="10" max="10" width="15.85546875" style="793" customWidth="1"/>
    <col min="11" max="11" width="14.85546875" style="793" customWidth="1"/>
    <col min="12" max="12" width="14.42578125" style="793" customWidth="1"/>
    <col min="13" max="13" width="15.85546875" style="793" customWidth="1"/>
    <col min="14" max="14" width="18" style="793" customWidth="1"/>
    <col min="15" max="15" width="8.28515625" style="793" customWidth="1"/>
    <col min="16" max="17" width="16.28515625" style="793" customWidth="1"/>
    <col min="18" max="18" width="17.42578125" style="793" customWidth="1"/>
    <col min="19" max="19" width="14.28515625" style="793" customWidth="1"/>
    <col min="20" max="20" width="14.42578125" style="793" customWidth="1"/>
    <col min="21" max="21" width="11.42578125" style="793"/>
    <col min="22" max="22" width="14" style="793" customWidth="1"/>
    <col min="23" max="23" width="13.28515625" style="793" customWidth="1"/>
    <col min="24" max="1024" width="11.42578125" style="793"/>
  </cols>
  <sheetData>
    <row r="1" spans="1:22">
      <c r="A1" s="794" t="s">
        <v>0</v>
      </c>
      <c r="C1" s="795"/>
    </row>
    <row r="2" spans="1:22">
      <c r="A2" s="796" t="s">
        <v>1</v>
      </c>
      <c r="C2" s="797"/>
    </row>
    <row r="3" spans="1:22" ht="15" customHeight="1">
      <c r="A3" s="798"/>
      <c r="E3" s="795"/>
      <c r="P3" s="1076" t="s">
        <v>2</v>
      </c>
      <c r="Q3" s="1076"/>
    </row>
    <row r="4" spans="1:22" ht="38.25">
      <c r="A4" s="799" t="s">
        <v>3</v>
      </c>
      <c r="B4" s="800" t="s">
        <v>803</v>
      </c>
      <c r="C4" s="800" t="s">
        <v>804</v>
      </c>
      <c r="D4" s="800" t="s">
        <v>805</v>
      </c>
      <c r="E4" s="800" t="s">
        <v>806</v>
      </c>
      <c r="F4" s="800" t="s">
        <v>807</v>
      </c>
      <c r="G4" s="800" t="s">
        <v>808</v>
      </c>
      <c r="H4" s="800" t="s">
        <v>809</v>
      </c>
      <c r="I4" s="800" t="s">
        <v>810</v>
      </c>
      <c r="J4" s="800" t="s">
        <v>811</v>
      </c>
      <c r="K4" s="800" t="s">
        <v>812</v>
      </c>
      <c r="L4" s="800" t="s">
        <v>813</v>
      </c>
      <c r="M4" s="800" t="s">
        <v>814</v>
      </c>
      <c r="N4" s="800" t="s">
        <v>259</v>
      </c>
      <c r="O4" s="800" t="s">
        <v>17</v>
      </c>
      <c r="P4" s="800" t="s">
        <v>18</v>
      </c>
      <c r="Q4" s="800" t="s">
        <v>19</v>
      </c>
      <c r="R4" s="800" t="s">
        <v>33</v>
      </c>
    </row>
    <row r="5" spans="1:22" ht="15.75" customHeight="1">
      <c r="A5" s="801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2">
        <f t="shared" ref="N5:N22" si="0">SUM(B5:M5)</f>
        <v>1742562</v>
      </c>
      <c r="O5" s="803"/>
      <c r="P5" s="327"/>
      <c r="Q5" s="327"/>
      <c r="R5" s="328">
        <f t="shared" ref="R5:R22" si="1">N5+P5-Q5</f>
        <v>1742562</v>
      </c>
    </row>
    <row r="6" spans="1:22" ht="27.75" customHeight="1">
      <c r="A6" s="801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2">
        <f t="shared" si="0"/>
        <v>2644455</v>
      </c>
      <c r="O6" s="803"/>
      <c r="P6" s="327"/>
      <c r="Q6" s="327"/>
      <c r="R6" s="328">
        <f t="shared" si="1"/>
        <v>2644455</v>
      </c>
    </row>
    <row r="7" spans="1:22" ht="26.25" customHeight="1">
      <c r="A7" s="801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2">
        <f t="shared" si="0"/>
        <v>102620</v>
      </c>
      <c r="O7" s="803"/>
      <c r="P7" s="327"/>
      <c r="Q7" s="327"/>
      <c r="R7" s="328">
        <f t="shared" si="1"/>
        <v>102620</v>
      </c>
    </row>
    <row r="8" spans="1:22" ht="15.75" customHeight="1">
      <c r="A8" s="801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2">
        <f t="shared" si="0"/>
        <v>15563404</v>
      </c>
      <c r="O8" s="803" t="s">
        <v>39</v>
      </c>
      <c r="P8" s="327"/>
      <c r="Q8" s="327">
        <f>+'Diarios Cxc Cxp relac (c)'!E36</f>
        <v>0</v>
      </c>
      <c r="R8" s="328">
        <f t="shared" si="1"/>
        <v>15563404</v>
      </c>
      <c r="T8" s="795"/>
    </row>
    <row r="9" spans="1:22">
      <c r="A9" s="801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2">
        <f t="shared" si="0"/>
        <v>36670349</v>
      </c>
      <c r="O9" s="803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1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2">
        <f t="shared" si="0"/>
        <v>5538448</v>
      </c>
      <c r="O10" s="803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1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2">
        <f t="shared" si="0"/>
        <v>1124779</v>
      </c>
      <c r="O11" s="803"/>
      <c r="P11" s="327"/>
      <c r="Q11" s="327"/>
      <c r="R11" s="328">
        <f t="shared" si="1"/>
        <v>1124779</v>
      </c>
    </row>
    <row r="12" spans="1:22" ht="15.75" customHeight="1">
      <c r="A12" s="801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2">
        <f t="shared" si="0"/>
        <v>642184</v>
      </c>
      <c r="O12" s="803"/>
      <c r="P12" s="327"/>
      <c r="Q12" s="327"/>
      <c r="R12" s="328">
        <f t="shared" si="1"/>
        <v>642184</v>
      </c>
    </row>
    <row r="13" spans="1:22" ht="15.75" customHeight="1">
      <c r="A13" s="801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2">
        <f t="shared" si="0"/>
        <v>14896333</v>
      </c>
      <c r="O13" s="803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1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2">
        <f t="shared" si="0"/>
        <v>40694</v>
      </c>
      <c r="O14" s="803" t="s">
        <v>39</v>
      </c>
      <c r="P14" s="327">
        <v>3150764</v>
      </c>
      <c r="Q14" s="327">
        <f>'Diarios Cxc Cxp relac (c)'!E34</f>
        <v>40694</v>
      </c>
      <c r="R14" s="804">
        <f t="shared" si="1"/>
        <v>3150764</v>
      </c>
    </row>
    <row r="15" spans="1:22" ht="15.75" customHeight="1">
      <c r="A15" s="801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2">
        <f t="shared" si="0"/>
        <v>3212434</v>
      </c>
      <c r="O15" s="803"/>
      <c r="P15" s="327"/>
      <c r="Q15" s="327"/>
      <c r="R15" s="328">
        <f t="shared" si="1"/>
        <v>3212434</v>
      </c>
      <c r="V15" s="795">
        <f>B15-R15</f>
        <v>0</v>
      </c>
    </row>
    <row r="16" spans="1:22" ht="14.25" customHeight="1">
      <c r="A16" s="801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2">
        <f t="shared" si="0"/>
        <v>117397304</v>
      </c>
      <c r="O16" s="803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5"/>
    </row>
    <row r="17" spans="1:20" ht="15.75" customHeight="1">
      <c r="A17" s="801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2">
        <f t="shared" si="0"/>
        <v>661755</v>
      </c>
      <c r="O17" s="803"/>
      <c r="P17" s="327"/>
      <c r="Q17" s="327"/>
      <c r="R17" s="328">
        <f t="shared" si="1"/>
        <v>661755</v>
      </c>
    </row>
    <row r="18" spans="1:20" ht="15.75" customHeight="1">
      <c r="A18" s="801" t="s">
        <v>54</v>
      </c>
      <c r="B18" s="327">
        <v>11586243</v>
      </c>
      <c r="C18" s="805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2">
        <f t="shared" si="0"/>
        <v>11704214</v>
      </c>
      <c r="O18" s="803" t="s">
        <v>51</v>
      </c>
      <c r="P18" s="327">
        <v>394335</v>
      </c>
      <c r="Q18" s="327">
        <v>822437</v>
      </c>
      <c r="R18" s="328">
        <f t="shared" si="1"/>
        <v>11276112</v>
      </c>
      <c r="T18" s="795"/>
    </row>
    <row r="19" spans="1:20">
      <c r="A19" s="801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2">
        <f t="shared" si="0"/>
        <v>1422229</v>
      </c>
      <c r="O19" s="803"/>
      <c r="P19" s="327"/>
      <c r="Q19" s="327"/>
      <c r="R19" s="328">
        <f t="shared" si="1"/>
        <v>1422229</v>
      </c>
    </row>
    <row r="20" spans="1:20">
      <c r="A20" s="801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2">
        <f t="shared" si="0"/>
        <v>44513538</v>
      </c>
      <c r="O20" s="803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1" t="s">
        <v>60</v>
      </c>
      <c r="B21" s="806">
        <v>0</v>
      </c>
      <c r="C21" s="806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2">
        <f t="shared" si="0"/>
        <v>883849</v>
      </c>
      <c r="O21" s="803"/>
      <c r="P21" s="327"/>
      <c r="Q21" s="327"/>
      <c r="R21" s="328">
        <f t="shared" si="1"/>
        <v>883849</v>
      </c>
    </row>
    <row r="22" spans="1:20">
      <c r="A22" s="801" t="s">
        <v>61</v>
      </c>
      <c r="B22" s="806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2">
        <f t="shared" si="0"/>
        <v>3442838</v>
      </c>
      <c r="O22" s="803"/>
      <c r="P22" s="327"/>
      <c r="Q22" s="327"/>
      <c r="R22" s="328">
        <f t="shared" si="1"/>
        <v>3442838</v>
      </c>
    </row>
    <row r="23" spans="1:20">
      <c r="A23" s="807" t="s">
        <v>63</v>
      </c>
      <c r="B23" s="808">
        <f t="shared" ref="B23:N23" si="2">SUM(B5:B22)</f>
        <v>197414677</v>
      </c>
      <c r="C23" s="808">
        <f t="shared" si="2"/>
        <v>52108957</v>
      </c>
      <c r="D23" s="808">
        <f t="shared" si="2"/>
        <v>4668021</v>
      </c>
      <c r="E23" s="808">
        <f t="shared" si="2"/>
        <v>1160766</v>
      </c>
      <c r="F23" s="808">
        <f t="shared" si="2"/>
        <v>364945</v>
      </c>
      <c r="G23" s="808">
        <f t="shared" si="2"/>
        <v>373713</v>
      </c>
      <c r="H23" s="808">
        <f t="shared" si="2"/>
        <v>7989</v>
      </c>
      <c r="I23" s="808">
        <f t="shared" si="2"/>
        <v>10000</v>
      </c>
      <c r="J23" s="808">
        <f t="shared" si="2"/>
        <v>1140</v>
      </c>
      <c r="K23" s="808">
        <f t="shared" si="2"/>
        <v>5000055</v>
      </c>
      <c r="L23" s="808">
        <f t="shared" si="2"/>
        <v>649029</v>
      </c>
      <c r="M23" s="808">
        <f t="shared" si="2"/>
        <v>444697</v>
      </c>
      <c r="N23" s="808">
        <f t="shared" si="2"/>
        <v>262203989</v>
      </c>
      <c r="O23" s="809"/>
      <c r="P23" s="808">
        <f>+SUM(P5:P22)</f>
        <v>5708925.0000000056</v>
      </c>
      <c r="Q23" s="808">
        <f>+SUM(Q5:Q22)</f>
        <v>60340028</v>
      </c>
      <c r="R23" s="808">
        <f>SUM(R5:R22)</f>
        <v>207572886</v>
      </c>
    </row>
    <row r="24" spans="1:20">
      <c r="A24" s="801" t="s">
        <v>64</v>
      </c>
      <c r="B24" s="327">
        <v>260402</v>
      </c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02">
        <f t="shared" ref="N24:N41" si="3">SUM(B24:M24)</f>
        <v>260402</v>
      </c>
      <c r="O24" s="803"/>
      <c r="P24" s="810">
        <v>0</v>
      </c>
      <c r="Q24" s="810">
        <v>0</v>
      </c>
      <c r="R24" s="811">
        <f t="shared" ref="R24:R41" si="4">N24-P24+Q24</f>
        <v>260402</v>
      </c>
    </row>
    <row r="25" spans="1:20">
      <c r="A25" s="801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2">
        <f t="shared" si="3"/>
        <v>13413675</v>
      </c>
      <c r="O25" s="803"/>
      <c r="P25" s="327"/>
      <c r="Q25" s="327"/>
      <c r="R25" s="811">
        <f t="shared" si="4"/>
        <v>13413675</v>
      </c>
    </row>
    <row r="26" spans="1:20">
      <c r="A26" s="801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2">
        <f t="shared" si="3"/>
        <v>11459310</v>
      </c>
      <c r="O26" s="803"/>
      <c r="P26" s="327"/>
      <c r="Q26" s="327"/>
      <c r="R26" s="811">
        <f t="shared" si="4"/>
        <v>11459310</v>
      </c>
    </row>
    <row r="27" spans="1:20" ht="15.75" customHeight="1">
      <c r="A27" s="801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2">
        <f t="shared" si="3"/>
        <v>20611963</v>
      </c>
      <c r="O27" s="803" t="s">
        <v>39</v>
      </c>
      <c r="P27" s="327">
        <v>175918</v>
      </c>
      <c r="Q27" s="327"/>
      <c r="R27" s="811">
        <f t="shared" si="4"/>
        <v>20436045</v>
      </c>
    </row>
    <row r="28" spans="1:20" ht="15.75" customHeight="1">
      <c r="A28" s="801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2">
        <f t="shared" si="3"/>
        <v>10364386</v>
      </c>
      <c r="O28" s="803" t="s">
        <v>69</v>
      </c>
      <c r="P28" s="327">
        <f>8450783-26</f>
        <v>8450757</v>
      </c>
      <c r="Q28" s="327"/>
      <c r="R28" s="811">
        <f t="shared" si="4"/>
        <v>1913629</v>
      </c>
    </row>
    <row r="29" spans="1:20" ht="15.75" customHeight="1">
      <c r="A29" s="801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2">
        <f t="shared" si="3"/>
        <v>4274907</v>
      </c>
      <c r="O29" s="803"/>
      <c r="P29" s="327"/>
      <c r="Q29" s="327"/>
      <c r="R29" s="811">
        <f t="shared" si="4"/>
        <v>4274907</v>
      </c>
    </row>
    <row r="30" spans="1:20" ht="15.75" customHeight="1">
      <c r="A30" s="801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2">
        <f t="shared" si="3"/>
        <v>4955954</v>
      </c>
      <c r="O30" s="803" t="s">
        <v>73</v>
      </c>
      <c r="P30" s="327">
        <f>1380360+25</f>
        <v>1380385</v>
      </c>
      <c r="Q30" s="327" t="e">
        <f>+#REF!</f>
        <v>#REF!</v>
      </c>
      <c r="R30" s="811" t="e">
        <f t="shared" si="4"/>
        <v>#REF!</v>
      </c>
    </row>
    <row r="31" spans="1:20" ht="15.75" customHeight="1">
      <c r="A31" s="801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2">
        <f t="shared" si="3"/>
        <v>1953502</v>
      </c>
      <c r="O31" s="803"/>
      <c r="P31" s="327"/>
      <c r="Q31" s="327"/>
      <c r="R31" s="811">
        <f t="shared" si="4"/>
        <v>1953502</v>
      </c>
    </row>
    <row r="32" spans="1:20" ht="15.75" customHeight="1">
      <c r="A32" s="801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2">
        <f t="shared" si="3"/>
        <v>4559467</v>
      </c>
      <c r="O32" s="803"/>
      <c r="P32" s="327"/>
      <c r="Q32" s="327"/>
      <c r="R32" s="811">
        <f t="shared" si="4"/>
        <v>4559467</v>
      </c>
    </row>
    <row r="33" spans="1:23" ht="15.75" customHeight="1">
      <c r="A33" s="801" t="s">
        <v>76</v>
      </c>
      <c r="B33" s="806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2">
        <f t="shared" si="3"/>
        <v>4183053</v>
      </c>
      <c r="O33" s="803"/>
      <c r="P33" s="327"/>
      <c r="Q33" s="327"/>
      <c r="R33" s="811">
        <f t="shared" si="4"/>
        <v>4183053</v>
      </c>
    </row>
    <row r="34" spans="1:23" ht="15.75" customHeight="1">
      <c r="A34" s="801" t="s">
        <v>77</v>
      </c>
      <c r="B34" s="806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2">
        <f t="shared" si="3"/>
        <v>9674932</v>
      </c>
      <c r="O34" s="803"/>
      <c r="P34" s="327"/>
      <c r="Q34" s="327"/>
      <c r="R34" s="811">
        <f t="shared" si="4"/>
        <v>9674932</v>
      </c>
    </row>
    <row r="35" spans="1:23" ht="15.75" customHeight="1">
      <c r="A35" s="801" t="s">
        <v>78</v>
      </c>
      <c r="B35" s="806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2">
        <f t="shared" si="3"/>
        <v>6710516</v>
      </c>
      <c r="O35" s="803"/>
      <c r="P35" s="327"/>
      <c r="Q35" s="327"/>
      <c r="R35" s="811">
        <f t="shared" si="4"/>
        <v>6710516</v>
      </c>
    </row>
    <row r="36" spans="1:23" ht="15.75" customHeight="1">
      <c r="A36" s="801" t="s">
        <v>79</v>
      </c>
      <c r="B36" s="806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2">
        <f t="shared" si="3"/>
        <v>2203673</v>
      </c>
      <c r="O36" s="803"/>
      <c r="P36" s="327"/>
      <c r="Q36" s="327"/>
      <c r="R36" s="811">
        <f t="shared" si="4"/>
        <v>2203673</v>
      </c>
    </row>
    <row r="37" spans="1:23" ht="15.75" customHeight="1">
      <c r="A37" s="801" t="s">
        <v>80</v>
      </c>
      <c r="B37" s="806">
        <v>10628880</v>
      </c>
      <c r="C37" s="327">
        <v>0</v>
      </c>
      <c r="D37" s="806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6">
        <v>3477854</v>
      </c>
      <c r="L37" s="327">
        <v>507600</v>
      </c>
      <c r="M37" s="327">
        <v>0</v>
      </c>
      <c r="N37" s="802">
        <f t="shared" si="3"/>
        <v>17181269</v>
      </c>
      <c r="O37" s="803" t="s">
        <v>39</v>
      </c>
      <c r="P37" s="327">
        <v>6552389</v>
      </c>
      <c r="Q37" s="327"/>
      <c r="R37" s="811">
        <f t="shared" si="4"/>
        <v>10628880</v>
      </c>
    </row>
    <row r="38" spans="1:23" ht="15.75" customHeight="1">
      <c r="A38" s="801" t="s">
        <v>81</v>
      </c>
      <c r="B38" s="806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2">
        <f t="shared" si="3"/>
        <v>3198504</v>
      </c>
      <c r="O38" s="803" t="s">
        <v>39</v>
      </c>
      <c r="P38" s="327">
        <v>882525</v>
      </c>
      <c r="Q38" s="327"/>
      <c r="R38" s="811">
        <f t="shared" si="4"/>
        <v>2315979</v>
      </c>
    </row>
    <row r="39" spans="1:23" ht="15.75" customHeight="1">
      <c r="A39" s="801" t="s">
        <v>83</v>
      </c>
      <c r="B39" s="806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6">
        <v>0</v>
      </c>
      <c r="L39" s="806">
        <v>45037</v>
      </c>
      <c r="M39" s="327">
        <v>0</v>
      </c>
      <c r="N39" s="802">
        <f t="shared" si="3"/>
        <v>5185547</v>
      </c>
      <c r="O39" s="803"/>
      <c r="P39" s="327"/>
      <c r="Q39" s="327"/>
      <c r="R39" s="811">
        <f t="shared" si="4"/>
        <v>5185547</v>
      </c>
    </row>
    <row r="40" spans="1:23" ht="15.75" customHeight="1">
      <c r="A40" s="801" t="s">
        <v>84</v>
      </c>
      <c r="B40" s="806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6">
        <v>0</v>
      </c>
      <c r="L40" s="327">
        <v>0</v>
      </c>
      <c r="M40" s="327">
        <v>0</v>
      </c>
      <c r="N40" s="802">
        <f t="shared" si="3"/>
        <v>20813206</v>
      </c>
      <c r="O40" s="803"/>
      <c r="P40" s="327"/>
      <c r="Q40" s="327"/>
      <c r="R40" s="811">
        <f t="shared" si="4"/>
        <v>20813206</v>
      </c>
    </row>
    <row r="41" spans="1:23" ht="15.75" customHeight="1">
      <c r="A41" s="801" t="s">
        <v>85</v>
      </c>
      <c r="B41" s="812">
        <v>3572443</v>
      </c>
      <c r="C41" s="812">
        <v>0</v>
      </c>
      <c r="D41" s="812">
        <v>0</v>
      </c>
      <c r="E41" s="812">
        <v>0</v>
      </c>
      <c r="F41" s="812">
        <v>0</v>
      </c>
      <c r="G41" s="812">
        <v>0</v>
      </c>
      <c r="H41" s="812">
        <v>0</v>
      </c>
      <c r="I41" s="812">
        <v>0</v>
      </c>
      <c r="J41" s="812">
        <v>0</v>
      </c>
      <c r="K41" s="812">
        <v>0</v>
      </c>
      <c r="L41" s="812">
        <v>0</v>
      </c>
      <c r="M41" s="812">
        <v>0</v>
      </c>
      <c r="N41" s="813">
        <f t="shared" si="3"/>
        <v>3572443</v>
      </c>
      <c r="O41" s="803"/>
      <c r="P41" s="327"/>
      <c r="Q41" s="327"/>
      <c r="R41" s="814">
        <f t="shared" si="4"/>
        <v>3572443</v>
      </c>
    </row>
    <row r="42" spans="1:23">
      <c r="A42" s="807" t="s">
        <v>86</v>
      </c>
      <c r="B42" s="808">
        <f>SUM(B24:B41)</f>
        <v>126573375</v>
      </c>
      <c r="C42" s="808">
        <f t="shared" ref="C42:M42" si="5">SUM(C25:C41)</f>
        <v>8586796</v>
      </c>
      <c r="D42" s="808">
        <f t="shared" si="5"/>
        <v>2683308</v>
      </c>
      <c r="E42" s="808">
        <f t="shared" si="5"/>
        <v>180603</v>
      </c>
      <c r="F42" s="808">
        <f t="shared" si="5"/>
        <v>1296079</v>
      </c>
      <c r="G42" s="808">
        <f t="shared" si="5"/>
        <v>0</v>
      </c>
      <c r="H42" s="808">
        <f t="shared" si="5"/>
        <v>0</v>
      </c>
      <c r="I42" s="808">
        <f t="shared" si="5"/>
        <v>0</v>
      </c>
      <c r="J42" s="808">
        <f t="shared" si="5"/>
        <v>0</v>
      </c>
      <c r="K42" s="808">
        <f t="shared" si="5"/>
        <v>3525403</v>
      </c>
      <c r="L42" s="808">
        <f t="shared" si="5"/>
        <v>751998</v>
      </c>
      <c r="M42" s="808">
        <f t="shared" si="5"/>
        <v>979147</v>
      </c>
      <c r="N42" s="808">
        <f>SUM(N24:N41)</f>
        <v>144576709</v>
      </c>
      <c r="O42" s="809"/>
      <c r="P42" s="808"/>
      <c r="Q42" s="808"/>
      <c r="R42" s="808" t="e">
        <f>SUM(R24:R41)</f>
        <v>#REF!</v>
      </c>
    </row>
    <row r="43" spans="1:23" ht="15.75" customHeight="1">
      <c r="A43" s="801" t="s">
        <v>87</v>
      </c>
      <c r="B43" s="327">
        <v>30006697</v>
      </c>
      <c r="C43" s="815">
        <v>5000</v>
      </c>
      <c r="D43" s="815">
        <v>1105000</v>
      </c>
      <c r="E43" s="815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2">
        <f t="shared" ref="N43:N50" si="6">SUM(B43:M43)</f>
        <v>34816697</v>
      </c>
      <c r="O43" s="803" t="s">
        <v>59</v>
      </c>
      <c r="P43" s="327">
        <f>-(-1104950-800-6800-500-750-4640-740-3751-6000-3624786-10000)</f>
        <v>4763717</v>
      </c>
      <c r="Q43" s="327"/>
      <c r="R43" s="811">
        <f t="shared" ref="R43:R50" si="7">N43-P43+Q43</f>
        <v>30052980</v>
      </c>
      <c r="S43" s="795"/>
    </row>
    <row r="44" spans="1:23" ht="15.75" customHeight="1">
      <c r="A44" s="801" t="s">
        <v>88</v>
      </c>
      <c r="B44" s="327">
        <v>920</v>
      </c>
      <c r="C44" s="815">
        <v>42340052</v>
      </c>
      <c r="D44" s="815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2">
        <f t="shared" si="6"/>
        <v>45837967</v>
      </c>
      <c r="O44" s="803" t="s">
        <v>59</v>
      </c>
      <c r="P44" s="327">
        <f>-(-877313-49015-330450-1833417-31546825-292500)</f>
        <v>34929520</v>
      </c>
      <c r="Q44" s="327"/>
      <c r="R44" s="811">
        <f t="shared" si="7"/>
        <v>10908447</v>
      </c>
      <c r="S44" s="795"/>
      <c r="V44" s="816"/>
    </row>
    <row r="45" spans="1:23" ht="15.75" customHeight="1">
      <c r="A45" s="801" t="s">
        <v>90</v>
      </c>
      <c r="B45" s="327">
        <v>4662954</v>
      </c>
      <c r="C45" s="327">
        <v>0</v>
      </c>
      <c r="D45" s="327">
        <v>0</v>
      </c>
      <c r="E45" s="815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2">
        <f t="shared" si="6"/>
        <v>4663794</v>
      </c>
      <c r="O45" s="803" t="s">
        <v>52</v>
      </c>
      <c r="P45" s="327">
        <f>-(-500-340)</f>
        <v>840</v>
      </c>
      <c r="Q45" s="327"/>
      <c r="R45" s="811">
        <f t="shared" si="7"/>
        <v>4662954</v>
      </c>
      <c r="S45" s="795"/>
    </row>
    <row r="46" spans="1:23" ht="15.75" customHeight="1">
      <c r="A46" s="801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2">
        <f t="shared" si="6"/>
        <v>34797</v>
      </c>
      <c r="O46" s="803"/>
      <c r="P46" s="327"/>
      <c r="Q46" s="327"/>
      <c r="R46" s="811">
        <f t="shared" si="7"/>
        <v>34797</v>
      </c>
      <c r="S46" s="795"/>
    </row>
    <row r="47" spans="1:23" ht="15.75" customHeight="1">
      <c r="A47" s="801" t="s">
        <v>92</v>
      </c>
      <c r="B47" s="327">
        <v>227072</v>
      </c>
      <c r="C47" s="327">
        <v>0</v>
      </c>
      <c r="D47" s="327">
        <v>0</v>
      </c>
      <c r="E47" s="815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2">
        <f t="shared" si="6"/>
        <v>687047</v>
      </c>
      <c r="O47" s="803" t="s">
        <v>52</v>
      </c>
      <c r="P47" s="327">
        <f>-(-74426-109633-1226-274690)</f>
        <v>459975</v>
      </c>
      <c r="Q47" s="327"/>
      <c r="R47" s="811">
        <f t="shared" si="7"/>
        <v>227072</v>
      </c>
      <c r="S47" s="795"/>
      <c r="V47" s="795"/>
    </row>
    <row r="48" spans="1:23" ht="15.75" customHeight="1">
      <c r="A48" s="801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2">
        <f t="shared" si="6"/>
        <v>-3259363</v>
      </c>
      <c r="O48" s="803" t="s">
        <v>59</v>
      </c>
      <c r="P48" s="327"/>
      <c r="Q48" s="327">
        <v>56932</v>
      </c>
      <c r="R48" s="811">
        <f t="shared" si="7"/>
        <v>-3202431</v>
      </c>
      <c r="S48" s="795"/>
      <c r="W48" s="797"/>
    </row>
    <row r="49" spans="1:23" ht="15.75" customHeight="1">
      <c r="A49" s="801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2">
        <f t="shared" si="6"/>
        <v>1353857</v>
      </c>
      <c r="O49" s="803"/>
      <c r="P49" s="327"/>
      <c r="Q49" s="327"/>
      <c r="R49" s="811">
        <f t="shared" si="7"/>
        <v>1353857</v>
      </c>
      <c r="S49" s="795"/>
      <c r="W49" s="797"/>
    </row>
    <row r="50" spans="1:23" ht="15.75" customHeight="1">
      <c r="A50" s="801" t="s">
        <v>95</v>
      </c>
      <c r="B50" s="327">
        <f>31666289+495802-200+5595545</f>
        <v>37757436</v>
      </c>
      <c r="C50" s="815">
        <f>2254833-1077724</f>
        <v>1177109</v>
      </c>
      <c r="D50" s="815">
        <f>-16937+19337</f>
        <v>2400</v>
      </c>
      <c r="E50" s="815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2">
        <f t="shared" si="6"/>
        <v>33492484</v>
      </c>
      <c r="O50" s="803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5"/>
      <c r="T50" s="795"/>
      <c r="V50" s="795"/>
      <c r="W50" s="797"/>
    </row>
    <row r="51" spans="1:23">
      <c r="A51" s="807" t="s">
        <v>100</v>
      </c>
      <c r="B51" s="808">
        <f t="shared" ref="B51:N51" si="8">SUM(B43:B50)</f>
        <v>70841302</v>
      </c>
      <c r="C51" s="808">
        <f t="shared" si="8"/>
        <v>43522161</v>
      </c>
      <c r="D51" s="808">
        <f t="shared" si="8"/>
        <v>1984713</v>
      </c>
      <c r="E51" s="808">
        <f t="shared" si="8"/>
        <v>980163</v>
      </c>
      <c r="F51" s="808">
        <f t="shared" si="8"/>
        <v>-931134</v>
      </c>
      <c r="G51" s="808">
        <f t="shared" si="8"/>
        <v>373713</v>
      </c>
      <c r="H51" s="808">
        <f t="shared" si="8"/>
        <v>7989</v>
      </c>
      <c r="I51" s="808">
        <f t="shared" si="8"/>
        <v>10000</v>
      </c>
      <c r="J51" s="808">
        <f t="shared" si="8"/>
        <v>1140</v>
      </c>
      <c r="K51" s="808">
        <f t="shared" si="8"/>
        <v>1474652</v>
      </c>
      <c r="L51" s="808">
        <f t="shared" si="8"/>
        <v>-102969</v>
      </c>
      <c r="M51" s="808">
        <f t="shared" si="8"/>
        <v>-534450</v>
      </c>
      <c r="N51" s="808">
        <f t="shared" si="8"/>
        <v>117627280</v>
      </c>
      <c r="O51" s="809"/>
      <c r="P51" s="808">
        <f>+SUM(P24:P50)</f>
        <v>59893525</v>
      </c>
      <c r="Q51" s="808" t="e">
        <f>+SUM(Q24:Q50)</f>
        <v>#REF!</v>
      </c>
      <c r="R51" s="808">
        <f>SUM(R43:R50)</f>
        <v>80325352</v>
      </c>
    </row>
    <row r="52" spans="1:23" s="821" customFormat="1" ht="15.75" customHeight="1">
      <c r="A52" s="817"/>
      <c r="B52" s="818">
        <f t="shared" ref="B52:N52" si="9">B23-B42-B51</f>
        <v>0</v>
      </c>
      <c r="C52" s="818">
        <f t="shared" si="9"/>
        <v>0</v>
      </c>
      <c r="D52" s="818">
        <f t="shared" si="9"/>
        <v>0</v>
      </c>
      <c r="E52" s="818">
        <f t="shared" si="9"/>
        <v>0</v>
      </c>
      <c r="F52" s="818">
        <f t="shared" si="9"/>
        <v>0</v>
      </c>
      <c r="G52" s="818">
        <f t="shared" si="9"/>
        <v>0</v>
      </c>
      <c r="H52" s="818">
        <f t="shared" si="9"/>
        <v>0</v>
      </c>
      <c r="I52" s="818">
        <f t="shared" si="9"/>
        <v>0</v>
      </c>
      <c r="J52" s="818">
        <f t="shared" si="9"/>
        <v>0</v>
      </c>
      <c r="K52" s="818">
        <f t="shared" si="9"/>
        <v>0</v>
      </c>
      <c r="L52" s="818">
        <f t="shared" si="9"/>
        <v>0</v>
      </c>
      <c r="M52" s="818">
        <f t="shared" si="9"/>
        <v>0</v>
      </c>
      <c r="N52" s="818">
        <f t="shared" si="9"/>
        <v>0</v>
      </c>
      <c r="O52" s="819"/>
      <c r="P52" s="818">
        <f>P23-P42-P51</f>
        <v>-54184599.999999993</v>
      </c>
      <c r="Q52" s="818" t="e">
        <f>Q23-Q42-Q51</f>
        <v>#REF!</v>
      </c>
      <c r="R52" s="818" t="e">
        <f>R23-R42-R51</f>
        <v>#REF!</v>
      </c>
      <c r="S52" s="820" t="e">
        <f>+R51+R42</f>
        <v>#REF!</v>
      </c>
      <c r="T52" s="820" t="e">
        <f>+S52-R23</f>
        <v>#REF!</v>
      </c>
    </row>
    <row r="53" spans="1:23" s="821" customFormat="1" ht="15.75" customHeight="1">
      <c r="A53" s="817"/>
      <c r="B53" s="818"/>
      <c r="C53" s="818"/>
      <c r="D53" s="818"/>
      <c r="E53" s="818"/>
      <c r="F53" s="818"/>
      <c r="G53" s="818"/>
      <c r="H53" s="818"/>
      <c r="I53" s="818"/>
      <c r="J53" s="818"/>
      <c r="K53" s="818"/>
      <c r="L53" s="818"/>
      <c r="M53" s="818"/>
      <c r="N53" s="818"/>
      <c r="O53" s="819"/>
      <c r="P53" s="818">
        <f>+Q23-P23</f>
        <v>54631102.999999993</v>
      </c>
      <c r="Q53" s="822" t="e">
        <f>+P51-Q51</f>
        <v>#REF!</v>
      </c>
      <c r="R53" s="818"/>
      <c r="S53" s="820"/>
      <c r="T53" s="820"/>
    </row>
    <row r="54" spans="1:23" ht="78" customHeight="1">
      <c r="A54" s="799" t="s">
        <v>3</v>
      </c>
      <c r="B54" s="800" t="s">
        <v>803</v>
      </c>
      <c r="C54" s="800" t="s">
        <v>804</v>
      </c>
      <c r="D54" s="800" t="s">
        <v>805</v>
      </c>
      <c r="E54" s="800" t="s">
        <v>806</v>
      </c>
      <c r="F54" s="800" t="s">
        <v>807</v>
      </c>
      <c r="G54" s="800" t="s">
        <v>808</v>
      </c>
      <c r="H54" s="800" t="s">
        <v>809</v>
      </c>
      <c r="I54" s="800" t="s">
        <v>810</v>
      </c>
      <c r="J54" s="800" t="s">
        <v>811</v>
      </c>
      <c r="K54" s="800" t="s">
        <v>812</v>
      </c>
      <c r="L54" s="800" t="s">
        <v>813</v>
      </c>
      <c r="M54" s="800" t="s">
        <v>814</v>
      </c>
      <c r="N54" s="800" t="s">
        <v>259</v>
      </c>
      <c r="O54" s="800" t="s">
        <v>17</v>
      </c>
      <c r="P54" s="800" t="s">
        <v>18</v>
      </c>
      <c r="Q54" s="800" t="s">
        <v>19</v>
      </c>
      <c r="R54" s="800" t="s">
        <v>33</v>
      </c>
    </row>
    <row r="55" spans="1:23" ht="15.75" customHeight="1">
      <c r="A55" s="823" t="s">
        <v>101</v>
      </c>
      <c r="B55" s="824">
        <v>152924768</v>
      </c>
      <c r="C55" s="824">
        <v>1907995</v>
      </c>
      <c r="D55" s="824">
        <v>636407</v>
      </c>
      <c r="E55" s="824">
        <v>0</v>
      </c>
      <c r="F55" s="824">
        <v>0</v>
      </c>
      <c r="G55" s="824">
        <v>0</v>
      </c>
      <c r="H55" s="824">
        <v>0</v>
      </c>
      <c r="I55" s="824">
        <v>0</v>
      </c>
      <c r="J55" s="824">
        <v>0</v>
      </c>
      <c r="K55" s="824">
        <v>120923</v>
      </c>
      <c r="L55" s="824">
        <v>280002</v>
      </c>
      <c r="M55" s="824">
        <v>162445</v>
      </c>
      <c r="N55" s="825">
        <f>SUM(B55:M55)</f>
        <v>156032540</v>
      </c>
      <c r="O55" s="826" t="s">
        <v>41</v>
      </c>
      <c r="P55" s="824">
        <f>'Ventas-Compras (d)'!D26</f>
        <v>376468.58</v>
      </c>
      <c r="Q55" s="824"/>
      <c r="R55" s="827">
        <f>N55-P55+Q55</f>
        <v>155656071.41999999</v>
      </c>
    </row>
    <row r="56" spans="1:23" ht="15.75" customHeight="1">
      <c r="A56" s="801" t="s">
        <v>102</v>
      </c>
      <c r="B56" s="828">
        <v>-100189814</v>
      </c>
      <c r="C56" s="828">
        <v>-2677882</v>
      </c>
      <c r="D56" s="828">
        <v>-187557</v>
      </c>
      <c r="E56" s="828">
        <v>0</v>
      </c>
      <c r="F56" s="828">
        <v>0</v>
      </c>
      <c r="G56" s="828">
        <v>0</v>
      </c>
      <c r="H56" s="828">
        <v>0</v>
      </c>
      <c r="I56" s="828">
        <v>0</v>
      </c>
      <c r="J56" s="828">
        <v>0</v>
      </c>
      <c r="K56" s="828">
        <v>-299751</v>
      </c>
      <c r="L56" s="828">
        <v>-199020</v>
      </c>
      <c r="M56" s="828">
        <v>-118573</v>
      </c>
      <c r="N56" s="813">
        <f>SUM(B56:M56)</f>
        <v>-103672597</v>
      </c>
      <c r="O56" s="829" t="s">
        <v>41</v>
      </c>
      <c r="P56" s="828"/>
      <c r="Q56" s="828">
        <f>'Ventas-Compras (d)'!E27</f>
        <v>357344</v>
      </c>
      <c r="R56" s="812">
        <f>N56-P56+Q56</f>
        <v>-103315253</v>
      </c>
    </row>
    <row r="57" spans="1:23" ht="15.75" customHeight="1">
      <c r="A57" s="801" t="s">
        <v>103</v>
      </c>
      <c r="B57" s="830">
        <f t="shared" ref="B57:N57" si="10">SUM(B55:B56)</f>
        <v>52734954</v>
      </c>
      <c r="C57" s="830">
        <f t="shared" si="10"/>
        <v>-769887</v>
      </c>
      <c r="D57" s="830">
        <f t="shared" si="10"/>
        <v>448850</v>
      </c>
      <c r="E57" s="830">
        <f t="shared" si="10"/>
        <v>0</v>
      </c>
      <c r="F57" s="830">
        <f t="shared" si="10"/>
        <v>0</v>
      </c>
      <c r="G57" s="830">
        <f t="shared" si="10"/>
        <v>0</v>
      </c>
      <c r="H57" s="830">
        <f t="shared" si="10"/>
        <v>0</v>
      </c>
      <c r="I57" s="830">
        <f t="shared" si="10"/>
        <v>0</v>
      </c>
      <c r="J57" s="830">
        <f t="shared" si="10"/>
        <v>0</v>
      </c>
      <c r="K57" s="830">
        <f t="shared" si="10"/>
        <v>-178828</v>
      </c>
      <c r="L57" s="830">
        <f t="shared" si="10"/>
        <v>80982</v>
      </c>
      <c r="M57" s="830">
        <f t="shared" si="10"/>
        <v>43872</v>
      </c>
      <c r="N57" s="830">
        <f t="shared" si="10"/>
        <v>52359943</v>
      </c>
      <c r="O57" s="829"/>
      <c r="P57" s="830">
        <f>SUM(P55:P56)</f>
        <v>376468.58</v>
      </c>
      <c r="Q57" s="830">
        <f>SUM(Q55:Q56)</f>
        <v>357344</v>
      </c>
      <c r="R57" s="830">
        <f>SUM(R55:R56)</f>
        <v>52340818.419999987</v>
      </c>
    </row>
    <row r="58" spans="1:23" ht="15.75" customHeight="1">
      <c r="A58" s="831"/>
      <c r="B58" s="832"/>
      <c r="C58" s="832"/>
      <c r="D58" s="832"/>
      <c r="E58" s="832"/>
      <c r="F58" s="832"/>
      <c r="G58" s="832"/>
      <c r="H58" s="832"/>
      <c r="I58" s="832"/>
      <c r="J58" s="832"/>
      <c r="K58" s="832"/>
      <c r="L58" s="832"/>
      <c r="M58" s="832"/>
      <c r="N58" s="802"/>
      <c r="O58" s="829"/>
      <c r="P58" s="832"/>
      <c r="Q58" s="832"/>
      <c r="R58" s="327"/>
    </row>
    <row r="59" spans="1:23" ht="15.75" customHeight="1">
      <c r="A59" s="801" t="s">
        <v>104</v>
      </c>
      <c r="B59" s="832">
        <v>-33320786</v>
      </c>
      <c r="C59" s="832">
        <v>-306890</v>
      </c>
      <c r="D59" s="832">
        <f>-429513+54059</f>
        <v>-375454</v>
      </c>
      <c r="E59" s="832">
        <v>-15891</v>
      </c>
      <c r="F59" s="832">
        <v>-493384</v>
      </c>
      <c r="G59" s="832">
        <v>-13474</v>
      </c>
      <c r="H59" s="832">
        <v>0</v>
      </c>
      <c r="I59" s="832">
        <v>0</v>
      </c>
      <c r="J59" s="832">
        <v>0</v>
      </c>
      <c r="K59" s="832">
        <f>-165338+23</f>
        <v>-165315</v>
      </c>
      <c r="L59" s="832">
        <v>-586188</v>
      </c>
      <c r="M59" s="832">
        <v>-444288</v>
      </c>
      <c r="N59" s="802">
        <f>SUM(B59:M59)</f>
        <v>-35721670</v>
      </c>
      <c r="O59" s="829"/>
      <c r="P59" s="832"/>
      <c r="Q59" s="832">
        <f>'Ventas-Compras (d)'!E28</f>
        <v>7818.58</v>
      </c>
      <c r="R59" s="327">
        <f>N59-P59+Q59</f>
        <v>-35713851.420000002</v>
      </c>
    </row>
    <row r="60" spans="1:23" ht="15.75" customHeight="1">
      <c r="A60" s="833" t="s">
        <v>105</v>
      </c>
      <c r="B60" s="828">
        <v>-3618624</v>
      </c>
      <c r="C60" s="828">
        <v>-947</v>
      </c>
      <c r="D60" s="828">
        <v>0</v>
      </c>
      <c r="E60" s="828">
        <v>0</v>
      </c>
      <c r="F60" s="828">
        <v>0</v>
      </c>
      <c r="G60" s="828">
        <v>0</v>
      </c>
      <c r="H60" s="828">
        <v>0</v>
      </c>
      <c r="I60" s="828">
        <v>0</v>
      </c>
      <c r="J60" s="828">
        <v>0</v>
      </c>
      <c r="K60" s="828">
        <v>0</v>
      </c>
      <c r="L60" s="828">
        <v>17690</v>
      </c>
      <c r="M60" s="828">
        <v>4857</v>
      </c>
      <c r="N60" s="813">
        <f>SUM(B60:M60)</f>
        <v>-3597024</v>
      </c>
      <c r="O60" s="829" t="s">
        <v>51</v>
      </c>
      <c r="P60" s="828" t="e">
        <f>#REF!</f>
        <v>#REF!</v>
      </c>
      <c r="Q60" s="828" t="e">
        <f>#REF!</f>
        <v>#REF!</v>
      </c>
      <c r="R60" s="812" t="e">
        <f>N60-P60+Q60</f>
        <v>#REF!</v>
      </c>
    </row>
    <row r="61" spans="1:23" ht="15.75" customHeight="1">
      <c r="A61" s="833" t="s">
        <v>107</v>
      </c>
      <c r="B61" s="830">
        <f t="shared" ref="B61:N61" si="11">SUM(B57:B60)</f>
        <v>15795544</v>
      </c>
      <c r="C61" s="830">
        <f t="shared" si="11"/>
        <v>-1077724</v>
      </c>
      <c r="D61" s="830">
        <f t="shared" si="11"/>
        <v>73396</v>
      </c>
      <c r="E61" s="830">
        <f t="shared" si="11"/>
        <v>-15891</v>
      </c>
      <c r="F61" s="830">
        <f t="shared" si="11"/>
        <v>-493384</v>
      </c>
      <c r="G61" s="830">
        <f t="shared" si="11"/>
        <v>-13474</v>
      </c>
      <c r="H61" s="830">
        <f t="shared" si="11"/>
        <v>0</v>
      </c>
      <c r="I61" s="830">
        <f t="shared" si="11"/>
        <v>0</v>
      </c>
      <c r="J61" s="830">
        <f t="shared" si="11"/>
        <v>0</v>
      </c>
      <c r="K61" s="830">
        <f t="shared" si="11"/>
        <v>-344143</v>
      </c>
      <c r="L61" s="830">
        <f t="shared" si="11"/>
        <v>-487516</v>
      </c>
      <c r="M61" s="830">
        <f t="shared" si="11"/>
        <v>-395559</v>
      </c>
      <c r="N61" s="830">
        <f t="shared" si="11"/>
        <v>13041249</v>
      </c>
      <c r="O61" s="829"/>
      <c r="P61" s="830" t="e">
        <f>SUM(P57:P60)</f>
        <v>#REF!</v>
      </c>
      <c r="Q61" s="830" t="e">
        <f>SUM(Q57:Q60)</f>
        <v>#REF!</v>
      </c>
      <c r="R61" s="830" t="e">
        <f>SUM(R57:R60)</f>
        <v>#REF!</v>
      </c>
    </row>
    <row r="62" spans="1:23" ht="15.75" customHeight="1">
      <c r="A62" s="833"/>
      <c r="B62" s="832"/>
      <c r="C62" s="832"/>
      <c r="D62" s="832"/>
      <c r="E62" s="832"/>
      <c r="F62" s="832"/>
      <c r="G62" s="832"/>
      <c r="H62" s="832"/>
      <c r="I62" s="832"/>
      <c r="J62" s="832"/>
      <c r="K62" s="832"/>
      <c r="L62" s="832"/>
      <c r="M62" s="832"/>
      <c r="N62" s="802"/>
      <c r="O62" s="829"/>
      <c r="P62" s="832"/>
      <c r="Q62" s="832"/>
      <c r="R62" s="327"/>
      <c r="S62" s="795" t="e">
        <f>Q60+Q59+Q56</f>
        <v>#REF!</v>
      </c>
    </row>
    <row r="63" spans="1:23" ht="15.75" customHeight="1">
      <c r="A63" s="833" t="s">
        <v>108</v>
      </c>
      <c r="B63" s="828">
        <f>-5186848</f>
        <v>-5186848</v>
      </c>
      <c r="C63" s="828">
        <v>0</v>
      </c>
      <c r="D63" s="828">
        <v>0</v>
      </c>
      <c r="E63" s="828">
        <v>0</v>
      </c>
      <c r="F63" s="828">
        <v>0</v>
      </c>
      <c r="G63" s="828">
        <v>0</v>
      </c>
      <c r="H63" s="828">
        <v>0</v>
      </c>
      <c r="I63" s="828">
        <v>0</v>
      </c>
      <c r="J63" s="828">
        <v>0</v>
      </c>
      <c r="K63" s="828">
        <v>0</v>
      </c>
      <c r="L63" s="828">
        <v>-14885</v>
      </c>
      <c r="M63" s="828">
        <v>0</v>
      </c>
      <c r="N63" s="813">
        <f>SUM(B63:M63)</f>
        <v>-5201733</v>
      </c>
      <c r="O63" s="829"/>
      <c r="P63" s="828"/>
      <c r="Q63" s="828"/>
      <c r="R63" s="812">
        <f>N63-P63+Q63</f>
        <v>-5201733</v>
      </c>
      <c r="S63" s="795">
        <f>P55</f>
        <v>376468.58</v>
      </c>
    </row>
    <row r="64" spans="1:23" ht="15.75" customHeight="1">
      <c r="A64" s="833" t="s">
        <v>109</v>
      </c>
      <c r="B64" s="830">
        <f t="shared" ref="B64:N64" si="12">+B61+B63</f>
        <v>10608696</v>
      </c>
      <c r="C64" s="830">
        <f t="shared" si="12"/>
        <v>-1077724</v>
      </c>
      <c r="D64" s="830">
        <f t="shared" si="12"/>
        <v>73396</v>
      </c>
      <c r="E64" s="830">
        <f t="shared" si="12"/>
        <v>-15891</v>
      </c>
      <c r="F64" s="830">
        <f t="shared" si="12"/>
        <v>-493384</v>
      </c>
      <c r="G64" s="830">
        <f t="shared" si="12"/>
        <v>-13474</v>
      </c>
      <c r="H64" s="830">
        <f t="shared" si="12"/>
        <v>0</v>
      </c>
      <c r="I64" s="830">
        <f t="shared" si="12"/>
        <v>0</v>
      </c>
      <c r="J64" s="830">
        <f t="shared" si="12"/>
        <v>0</v>
      </c>
      <c r="K64" s="830">
        <f t="shared" si="12"/>
        <v>-344143</v>
      </c>
      <c r="L64" s="830">
        <f t="shared" si="12"/>
        <v>-502401</v>
      </c>
      <c r="M64" s="830">
        <f t="shared" si="12"/>
        <v>-395559</v>
      </c>
      <c r="N64" s="830">
        <f t="shared" si="12"/>
        <v>7839516</v>
      </c>
      <c r="O64" s="829"/>
      <c r="P64" s="830" t="e">
        <f>+P61+P63</f>
        <v>#REF!</v>
      </c>
      <c r="Q64" s="830" t="e">
        <f>+Q61+Q63</f>
        <v>#REF!</v>
      </c>
      <c r="R64" s="830" t="e">
        <f>+R61+R63</f>
        <v>#REF!</v>
      </c>
      <c r="S64" s="795" t="e">
        <f>S63-S62</f>
        <v>#REF!</v>
      </c>
    </row>
    <row r="65" spans="1:22" ht="15.75" customHeight="1">
      <c r="A65" s="833"/>
      <c r="B65" s="830"/>
      <c r="C65" s="830"/>
      <c r="D65" s="830"/>
      <c r="E65" s="830"/>
      <c r="F65" s="830"/>
      <c r="G65" s="830"/>
      <c r="H65" s="830"/>
      <c r="I65" s="830"/>
      <c r="J65" s="830"/>
      <c r="K65" s="830"/>
      <c r="L65" s="830"/>
      <c r="M65" s="830"/>
      <c r="N65" s="830"/>
      <c r="O65" s="829"/>
      <c r="P65" s="832"/>
      <c r="Q65" s="832"/>
      <c r="R65" s="830"/>
    </row>
    <row r="66" spans="1:22" ht="15.75" customHeight="1">
      <c r="A66" s="833" t="s">
        <v>110</v>
      </c>
      <c r="B66" s="832">
        <v>-1591304</v>
      </c>
      <c r="C66" s="832"/>
      <c r="D66" s="832"/>
      <c r="E66" s="832"/>
      <c r="F66" s="832"/>
      <c r="G66" s="832"/>
      <c r="H66" s="832"/>
      <c r="I66" s="832"/>
      <c r="J66" s="832"/>
      <c r="K66" s="832"/>
      <c r="L66" s="832"/>
      <c r="M66" s="832"/>
      <c r="N66" s="802">
        <f>SUM(B66:M66)</f>
        <v>-1591304</v>
      </c>
      <c r="O66" s="829"/>
      <c r="P66" s="832"/>
      <c r="Q66" s="832"/>
      <c r="R66" s="327">
        <f>N66-P66+Q66</f>
        <v>-1591304</v>
      </c>
    </row>
    <row r="67" spans="1:22" ht="15.75" customHeight="1">
      <c r="A67" s="801" t="s">
        <v>111</v>
      </c>
      <c r="B67" s="327">
        <v>-3421847</v>
      </c>
      <c r="C67" s="327">
        <v>0</v>
      </c>
      <c r="D67" s="327">
        <v>-54059</v>
      </c>
      <c r="E67" s="327"/>
      <c r="F67" s="812">
        <v>0</v>
      </c>
      <c r="G67" s="812">
        <v>0</v>
      </c>
      <c r="H67" s="812">
        <v>0</v>
      </c>
      <c r="I67" s="812">
        <v>0</v>
      </c>
      <c r="J67" s="812">
        <v>0</v>
      </c>
      <c r="K67" s="812">
        <v>0</v>
      </c>
      <c r="L67" s="812">
        <v>0</v>
      </c>
      <c r="M67" s="812">
        <v>0</v>
      </c>
      <c r="N67" s="813">
        <f>SUM(B67:M67)</f>
        <v>-3475906</v>
      </c>
      <c r="O67" s="803"/>
      <c r="P67" s="812"/>
      <c r="Q67" s="828"/>
      <c r="R67" s="812">
        <f>N67-P67+Q67</f>
        <v>-3475906</v>
      </c>
    </row>
    <row r="68" spans="1:22">
      <c r="A68" s="801" t="s">
        <v>112</v>
      </c>
      <c r="B68" s="810">
        <f t="shared" ref="B68:G68" si="13">+B64+B66+B67</f>
        <v>5595545</v>
      </c>
      <c r="C68" s="810">
        <f t="shared" si="13"/>
        <v>-1077724</v>
      </c>
      <c r="D68" s="810">
        <f t="shared" si="13"/>
        <v>19337</v>
      </c>
      <c r="E68" s="810">
        <f t="shared" si="13"/>
        <v>-15891</v>
      </c>
      <c r="F68" s="834">
        <f t="shared" si="13"/>
        <v>-493384</v>
      </c>
      <c r="G68" s="834">
        <f t="shared" si="13"/>
        <v>-13474</v>
      </c>
      <c r="H68" s="834">
        <f>+H64+H67</f>
        <v>0</v>
      </c>
      <c r="I68" s="834">
        <f>+I64+I67</f>
        <v>0</v>
      </c>
      <c r="J68" s="834">
        <f>+J64+J67</f>
        <v>0</v>
      </c>
      <c r="K68" s="834">
        <f>+K64+K66+K67</f>
        <v>-344143</v>
      </c>
      <c r="L68" s="834">
        <f>+L64+L66+L67</f>
        <v>-502401</v>
      </c>
      <c r="M68" s="834">
        <f>+M64+M66+M67</f>
        <v>-395559</v>
      </c>
      <c r="N68" s="834">
        <f>+N64+N66+N67</f>
        <v>2772306</v>
      </c>
      <c r="O68" s="803"/>
      <c r="P68" s="834" t="e">
        <f>+P64+P66+P67</f>
        <v>#REF!</v>
      </c>
      <c r="Q68" s="834" t="e">
        <f>+Q64+Q66+Q67</f>
        <v>#REF!</v>
      </c>
      <c r="R68" s="834" t="e">
        <f>+R64+R66+R67</f>
        <v>#REF!</v>
      </c>
    </row>
    <row r="69" spans="1:22">
      <c r="A69" s="801"/>
      <c r="B69" s="810"/>
      <c r="C69" s="810"/>
      <c r="D69" s="810"/>
      <c r="E69" s="810"/>
      <c r="F69" s="810"/>
      <c r="G69" s="810"/>
      <c r="H69" s="810"/>
      <c r="I69" s="810"/>
      <c r="J69" s="810"/>
      <c r="K69" s="810"/>
      <c r="L69" s="810"/>
      <c r="M69" s="810"/>
      <c r="N69" s="810"/>
      <c r="O69" s="803"/>
      <c r="P69" s="810"/>
      <c r="Q69" s="810"/>
      <c r="R69" s="810"/>
    </row>
    <row r="70" spans="1:22">
      <c r="A70" s="801" t="s">
        <v>113</v>
      </c>
      <c r="B70" s="327">
        <f>'ECP20'!J29</f>
        <v>1849659</v>
      </c>
      <c r="C70" s="810"/>
      <c r="D70" s="810"/>
      <c r="E70" s="810"/>
      <c r="F70" s="810"/>
      <c r="G70" s="810"/>
      <c r="H70" s="810"/>
      <c r="I70" s="810"/>
      <c r="J70" s="810"/>
      <c r="K70" s="810"/>
      <c r="L70" s="810"/>
      <c r="M70" s="810"/>
      <c r="N70" s="802">
        <f>SUM(B70:M70)</f>
        <v>1849659</v>
      </c>
      <c r="O70" s="803"/>
      <c r="P70" s="810"/>
      <c r="Q70" s="810"/>
      <c r="R70" s="327">
        <f>N70-P70+Q70</f>
        <v>1849659</v>
      </c>
    </row>
    <row r="71" spans="1:22">
      <c r="A71" s="807" t="s">
        <v>98</v>
      </c>
      <c r="B71" s="808">
        <f t="shared" ref="B71:N71" si="14">B68+B70</f>
        <v>7445204</v>
      </c>
      <c r="C71" s="808">
        <f t="shared" si="14"/>
        <v>-1077724</v>
      </c>
      <c r="D71" s="808">
        <f t="shared" si="14"/>
        <v>19337</v>
      </c>
      <c r="E71" s="808">
        <f t="shared" si="14"/>
        <v>-15891</v>
      </c>
      <c r="F71" s="808">
        <f t="shared" si="14"/>
        <v>-493384</v>
      </c>
      <c r="G71" s="808">
        <f t="shared" si="14"/>
        <v>-13474</v>
      </c>
      <c r="H71" s="808">
        <f t="shared" si="14"/>
        <v>0</v>
      </c>
      <c r="I71" s="808">
        <f t="shared" si="14"/>
        <v>0</v>
      </c>
      <c r="J71" s="808">
        <f t="shared" si="14"/>
        <v>0</v>
      </c>
      <c r="K71" s="808">
        <f t="shared" si="14"/>
        <v>-344143</v>
      </c>
      <c r="L71" s="808">
        <f t="shared" si="14"/>
        <v>-502401</v>
      </c>
      <c r="M71" s="808">
        <f t="shared" si="14"/>
        <v>-395559</v>
      </c>
      <c r="N71" s="808">
        <f t="shared" si="14"/>
        <v>4621965</v>
      </c>
      <c r="O71" s="809"/>
      <c r="P71" s="808" t="e">
        <f>P68+P70</f>
        <v>#REF!</v>
      </c>
      <c r="Q71" s="808" t="e">
        <f>Q68+Q70</f>
        <v>#REF!</v>
      </c>
      <c r="R71" s="808" t="e">
        <f>R68+R70</f>
        <v>#REF!</v>
      </c>
    </row>
    <row r="72" spans="1:22">
      <c r="A72" s="817"/>
      <c r="B72" s="835"/>
      <c r="C72" s="835"/>
      <c r="D72" s="835"/>
      <c r="E72" s="836"/>
      <c r="F72" s="835"/>
      <c r="G72" s="835"/>
      <c r="H72" s="835"/>
      <c r="I72" s="835"/>
      <c r="J72" s="835"/>
      <c r="K72" s="835"/>
      <c r="L72" s="835"/>
      <c r="M72" s="835"/>
      <c r="N72" s="835"/>
      <c r="O72" s="837"/>
      <c r="P72" s="835"/>
      <c r="Q72" s="835"/>
      <c r="R72" s="835"/>
    </row>
    <row r="73" spans="1:22" ht="21.75" customHeight="1">
      <c r="A73" s="838"/>
      <c r="B73" s="795"/>
    </row>
    <row r="74" spans="1:22" ht="21.75" customHeight="1">
      <c r="A74" s="839"/>
      <c r="B74" s="840">
        <f t="shared" ref="B74:N74" si="15">+B51+B42-B23</f>
        <v>0</v>
      </c>
      <c r="C74" s="840">
        <f t="shared" si="15"/>
        <v>0</v>
      </c>
      <c r="D74" s="840">
        <f t="shared" si="15"/>
        <v>0</v>
      </c>
      <c r="E74" s="840">
        <f t="shared" si="15"/>
        <v>0</v>
      </c>
      <c r="F74" s="840">
        <f t="shared" si="15"/>
        <v>0</v>
      </c>
      <c r="G74" s="840">
        <f t="shared" si="15"/>
        <v>0</v>
      </c>
      <c r="H74" s="840">
        <f t="shared" si="15"/>
        <v>0</v>
      </c>
      <c r="I74" s="840">
        <f t="shared" si="15"/>
        <v>0</v>
      </c>
      <c r="J74" s="840">
        <f t="shared" si="15"/>
        <v>0</v>
      </c>
      <c r="K74" s="840">
        <f t="shared" si="15"/>
        <v>0</v>
      </c>
      <c r="L74" s="840">
        <f t="shared" si="15"/>
        <v>0</v>
      </c>
      <c r="M74" s="840">
        <f t="shared" si="15"/>
        <v>0</v>
      </c>
      <c r="N74" s="840">
        <f t="shared" si="15"/>
        <v>0</v>
      </c>
      <c r="P74" s="795" t="e">
        <f>SUM(P5:P73)</f>
        <v>#REF!</v>
      </c>
      <c r="Q74" s="795" t="e">
        <f>SUM(Q5:Q73)</f>
        <v>#REF!</v>
      </c>
      <c r="R74" s="840" t="e">
        <f>+R51+R42-R23</f>
        <v>#REF!</v>
      </c>
    </row>
    <row r="75" spans="1:22"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Q75" s="795"/>
      <c r="T75" s="795"/>
    </row>
    <row r="76" spans="1:22">
      <c r="A76" s="841" t="s">
        <v>115</v>
      </c>
      <c r="B76" s="797">
        <f>+B71*100%</f>
        <v>7445204</v>
      </c>
      <c r="C76" s="797">
        <f>+C71*'Variación Patrimonio 2017-2016'!L4</f>
        <v>-808508.54480000003</v>
      </c>
      <c r="D76" s="797">
        <f>+D71*'Variación Patrimonio 2017-2016'!L21</f>
        <v>19336.125022624434</v>
      </c>
      <c r="E76" s="795">
        <f>+E71*'Variación Patrimonio 2017-2016'!L40</f>
        <v>-10805.880000000001</v>
      </c>
      <c r="F76" s="795">
        <f>+F71*'Variación Patrimonio 2017-2016'!L56</f>
        <v>-246692</v>
      </c>
      <c r="G76" s="795">
        <f>+G71*'Variación Patrimonio 2017-2016'!L74</f>
        <v>-10105.5</v>
      </c>
      <c r="H76" s="797">
        <v>0</v>
      </c>
      <c r="I76" s="797">
        <v>0</v>
      </c>
      <c r="J76" s="797">
        <v>0</v>
      </c>
      <c r="K76" s="797">
        <f>+K71*'Variación Patrimonio 2017-2016'!L143</f>
        <v>-318332.27500000002</v>
      </c>
      <c r="L76" s="797">
        <f>+L71*'Variación Patrimonio 2017-2016'!L160</f>
        <v>-492352.98</v>
      </c>
      <c r="M76" s="797">
        <f>+M71*'Variación Patrimonio 2017-2016'!L185</f>
        <v>-395559</v>
      </c>
      <c r="N76" s="842">
        <f>SUM(B76:M76)</f>
        <v>5182183.9452226236</v>
      </c>
      <c r="P76" s="795" t="e">
        <f>+P60+P55</f>
        <v>#REF!</v>
      </c>
      <c r="Q76" s="842" t="e">
        <f>Q56+Q60+Q59</f>
        <v>#REF!</v>
      </c>
      <c r="R76" s="842" t="e">
        <f>+N76-P76+Q76</f>
        <v>#REF!</v>
      </c>
      <c r="S76" s="843"/>
    </row>
    <row r="77" spans="1:22">
      <c r="A77" s="841" t="s">
        <v>117</v>
      </c>
      <c r="B77" s="797">
        <f t="shared" ref="B77:M77" si="16">+B71-B76</f>
        <v>0</v>
      </c>
      <c r="C77" s="816">
        <f t="shared" si="16"/>
        <v>-269215.45519999997</v>
      </c>
      <c r="D77" s="816">
        <f t="shared" si="16"/>
        <v>0.87497737556623179</v>
      </c>
      <c r="E77" s="797">
        <f t="shared" si="16"/>
        <v>-5085.119999999999</v>
      </c>
      <c r="F77" s="797">
        <f t="shared" si="16"/>
        <v>-246692</v>
      </c>
      <c r="G77" s="797">
        <f t="shared" si="16"/>
        <v>-3368.5</v>
      </c>
      <c r="H77" s="797">
        <f t="shared" si="16"/>
        <v>0</v>
      </c>
      <c r="I77" s="797">
        <f t="shared" si="16"/>
        <v>0</v>
      </c>
      <c r="J77" s="797">
        <f t="shared" si="16"/>
        <v>0</v>
      </c>
      <c r="K77" s="816">
        <f t="shared" si="16"/>
        <v>-25810.724999999977</v>
      </c>
      <c r="L77" s="816">
        <f t="shared" si="16"/>
        <v>-10048.020000000019</v>
      </c>
      <c r="M77" s="797">
        <f t="shared" si="16"/>
        <v>0</v>
      </c>
      <c r="N77" s="842">
        <f>SUM(B77:M77)</f>
        <v>-560218.94522262446</v>
      </c>
      <c r="Q77" s="842"/>
      <c r="R77" s="842">
        <f>+N77-P77+Q77</f>
        <v>-560218.94522262446</v>
      </c>
      <c r="U77" s="797"/>
      <c r="V77" s="842"/>
    </row>
    <row r="78" spans="1:22">
      <c r="C78" s="843">
        <f>+C76+C77</f>
        <v>-1077724</v>
      </c>
      <c r="D78" s="843">
        <f>+D76+D77</f>
        <v>19337</v>
      </c>
      <c r="E78" s="843">
        <f>+E76+E77</f>
        <v>-15891</v>
      </c>
      <c r="F78" s="843">
        <f>+F76+F77</f>
        <v>-493384</v>
      </c>
      <c r="G78" s="843">
        <f>+G76+G77</f>
        <v>-13474</v>
      </c>
      <c r="K78" s="843">
        <f>+K76+K77</f>
        <v>-344143</v>
      </c>
      <c r="L78" s="843">
        <f>+L76+L77</f>
        <v>-502401</v>
      </c>
      <c r="M78" s="843">
        <f>+M76+M77</f>
        <v>-395559</v>
      </c>
    </row>
    <row r="80" spans="1:22">
      <c r="Q80" s="816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815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816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815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815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4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68" t="s">
        <v>148</v>
      </c>
      <c r="G2" s="1068"/>
      <c r="H2" s="1068"/>
      <c r="J2" s="1068" t="s">
        <v>149</v>
      </c>
      <c r="K2" s="1068"/>
      <c r="L2" s="1068"/>
      <c r="M2" s="1068"/>
      <c r="N2" s="1068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69" t="s">
        <v>299</v>
      </c>
      <c r="E8" s="1069"/>
      <c r="F8" s="1069"/>
      <c r="G8" s="1069"/>
      <c r="H8" s="1069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70" t="s">
        <v>301</v>
      </c>
      <c r="F9" s="1070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69" t="s">
        <v>299</v>
      </c>
      <c r="E13" s="1069"/>
      <c r="F13" s="1069"/>
      <c r="G13" s="1069"/>
      <c r="H13" s="1069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70" t="s">
        <v>301</v>
      </c>
      <c r="F31" s="1070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69" t="s">
        <v>299</v>
      </c>
      <c r="E35" s="1069"/>
      <c r="F35" s="1069"/>
      <c r="G35" s="1069"/>
      <c r="H35" s="1069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72" t="s">
        <v>301</v>
      </c>
      <c r="F42" s="1072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69" t="s">
        <v>299</v>
      </c>
      <c r="E46" s="1069"/>
      <c r="F46" s="1069"/>
      <c r="G46" s="1069"/>
      <c r="H46" s="1069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72" t="s">
        <v>301</v>
      </c>
      <c r="F64" s="1072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69" t="s">
        <v>328</v>
      </c>
      <c r="E79" s="1069"/>
      <c r="F79" s="1069"/>
      <c r="G79" s="1069"/>
      <c r="H79" s="1069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71" t="s">
        <v>337</v>
      </c>
      <c r="E101" s="1071"/>
      <c r="F101" s="1071"/>
      <c r="G101" s="1071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71" t="s">
        <v>209</v>
      </c>
      <c r="E102" s="1071"/>
      <c r="F102" s="1071"/>
      <c r="G102" s="1071"/>
      <c r="H102" s="1071"/>
    </row>
    <row r="103" spans="2:9" ht="15" customHeight="1">
      <c r="B103" s="293" t="s">
        <v>339</v>
      </c>
      <c r="C103" s="294">
        <f>+C86+C53+C20</f>
        <v>394335.36694421433</v>
      </c>
      <c r="D103" s="1071" t="s">
        <v>62</v>
      </c>
      <c r="E103" s="1071"/>
      <c r="F103" s="1071"/>
      <c r="G103" s="1071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2021-05-28T17:26:57Z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