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Carlos Almeida\Documents\GitHub\consolidados\Combinado 2020\"/>
    </mc:Choice>
  </mc:AlternateContent>
  <xr:revisionPtr revIDLastSave="0" documentId="13_ncr:1_{259675EF-E5D0-4689-B894-AD32ADE31C8C}" xr6:coauthVersionLast="46" xr6:coauthVersionMax="46" xr10:uidLastSave="{00000000-0000-0000-0000-000000000000}"/>
  <bookViews>
    <workbookView xWindow="-120" yWindow="-120" windowWidth="20730" windowHeight="11160" tabRatio="752" activeTab="3" xr2:uid="{00000000-000D-0000-FFFF-FFFF00000000}"/>
  </bookViews>
  <sheets>
    <sheet name="Indice" sheetId="1" r:id="rId1"/>
    <sheet name="BG " sheetId="2" r:id="rId2"/>
    <sheet name="ER" sheetId="3" r:id="rId3"/>
    <sheet name="EFE" sheetId="4" r:id="rId4"/>
    <sheet name="Hoja de trabajo" sheetId="5" r:id="rId5"/>
    <sheet name="PAT" sheetId="6" r:id="rId6"/>
    <sheet name="AD" sheetId="7" r:id="rId7"/>
    <sheet name="Impuesto diferido" sheetId="8" r:id="rId8"/>
    <sheet name="Ratios" sheetId="9" r:id="rId9"/>
    <sheet name="PP&amp;E" sheetId="10" state="hidden" r:id="rId10"/>
    <sheet name="Impto diferido" sheetId="11" state="hidden" r:id="rId11"/>
  </sheets>
  <externalReferences>
    <externalReference r:id="rId12"/>
    <externalReference r:id="rId13"/>
  </externalReferences>
  <definedNames>
    <definedName name="_xlnm.Print_Area" localSheetId="6">AD!$A$1:$U$64</definedName>
    <definedName name="_xlnm.Print_Area" localSheetId="1">'BG '!$A$6:$U$75</definedName>
    <definedName name="_xlnm.Print_Area" localSheetId="3">EFE!$B$1:$AH$71</definedName>
    <definedName name="_xlnm.Print_Area" localSheetId="2">ER!$A$1:$Y$40</definedName>
    <definedName name="_xlnm.Print_Area" localSheetId="5">PAT!$A$1:$J$171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38" i="5" l="1"/>
  <c r="K45" i="5"/>
  <c r="K40" i="5"/>
  <c r="B44" i="5"/>
  <c r="I15" i="4"/>
  <c r="F15" i="4"/>
  <c r="F23" i="4" s="1"/>
  <c r="E15" i="4"/>
  <c r="E23" i="4" s="1"/>
  <c r="I66" i="4"/>
  <c r="F18" i="4"/>
  <c r="G20" i="4"/>
  <c r="G21" i="4"/>
  <c r="G22" i="4"/>
  <c r="I22" i="4"/>
  <c r="I53" i="4"/>
  <c r="B77" i="5"/>
  <c r="B71" i="5"/>
  <c r="H22" i="4"/>
  <c r="H12" i="4"/>
  <c r="F45" i="4"/>
  <c r="F19" i="4"/>
  <c r="F43" i="4"/>
  <c r="I73" i="4"/>
  <c r="I44" i="4"/>
  <c r="H23" i="4" l="1"/>
  <c r="H8" i="4" l="1"/>
  <c r="F8" i="4"/>
  <c r="E8" i="4"/>
  <c r="K46" i="5"/>
  <c r="I21" i="4"/>
  <c r="K39" i="5"/>
  <c r="I17" i="4" s="1"/>
  <c r="I65" i="4"/>
  <c r="I56" i="4"/>
  <c r="I55" i="4"/>
  <c r="I40" i="4"/>
  <c r="I39" i="4"/>
  <c r="G73" i="4"/>
  <c r="G72" i="4"/>
  <c r="G67" i="4"/>
  <c r="G66" i="4"/>
  <c r="G65" i="4"/>
  <c r="G64" i="4"/>
  <c r="G55" i="4"/>
  <c r="G56" i="4"/>
  <c r="G57" i="4"/>
  <c r="G50" i="4"/>
  <c r="G51" i="4"/>
  <c r="G52" i="4"/>
  <c r="G53" i="4"/>
  <c r="G54" i="4"/>
  <c r="G49" i="4"/>
  <c r="G45" i="4"/>
  <c r="G44" i="4"/>
  <c r="G43" i="4"/>
  <c r="I43" i="4" s="1"/>
  <c r="G41" i="4"/>
  <c r="I41" i="4" s="1"/>
  <c r="G40" i="4"/>
  <c r="G39" i="4"/>
  <c r="G38" i="4"/>
  <c r="G37" i="4"/>
  <c r="G36" i="4"/>
  <c r="G35" i="4"/>
  <c r="G34" i="4"/>
  <c r="G33" i="4"/>
  <c r="G32" i="4"/>
  <c r="G31" i="4"/>
  <c r="G30" i="4"/>
  <c r="G29" i="4"/>
  <c r="G28" i="4"/>
  <c r="G27" i="4"/>
  <c r="G26" i="4"/>
  <c r="G25" i="4"/>
  <c r="B87" i="5"/>
  <c r="G19" i="4"/>
  <c r="I19" i="4" s="1"/>
  <c r="B55" i="5" s="1"/>
  <c r="G18" i="4"/>
  <c r="I18" i="4" s="1"/>
  <c r="G17" i="4"/>
  <c r="G16" i="4"/>
  <c r="I16" i="4" s="1"/>
  <c r="B60" i="5" s="1"/>
  <c r="G15" i="4"/>
  <c r="G14" i="4"/>
  <c r="I14" i="4" s="1"/>
  <c r="B49" i="5" s="1"/>
  <c r="G13" i="4"/>
  <c r="I13" i="4" s="1"/>
  <c r="B65" i="5" s="1"/>
  <c r="G12" i="4"/>
  <c r="I12" i="4" s="1"/>
  <c r="B43" i="5" s="1"/>
  <c r="G11" i="4"/>
  <c r="I11" i="4" s="1"/>
  <c r="G10" i="4"/>
  <c r="G9" i="4"/>
  <c r="I9" i="4" s="1"/>
  <c r="G8" i="4"/>
  <c r="Z74" i="4"/>
  <c r="X74" i="4"/>
  <c r="T74" i="4"/>
  <c r="Y73" i="4"/>
  <c r="AA73" i="4" s="1"/>
  <c r="S73" i="4"/>
  <c r="U73" i="4" s="1"/>
  <c r="Z69" i="4"/>
  <c r="X69" i="4"/>
  <c r="W69" i="4"/>
  <c r="T69" i="4"/>
  <c r="R69" i="4"/>
  <c r="Q69" i="4"/>
  <c r="Y68" i="4"/>
  <c r="AA68" i="4" s="1"/>
  <c r="S68" i="4"/>
  <c r="U68" i="4" s="1"/>
  <c r="Y67" i="4"/>
  <c r="AA67" i="4" s="1"/>
  <c r="S67" i="4"/>
  <c r="U67" i="4" s="1"/>
  <c r="Y64" i="4"/>
  <c r="AA64" i="4" s="1"/>
  <c r="S64" i="4"/>
  <c r="U64" i="4" s="1"/>
  <c r="Y63" i="4"/>
  <c r="AA63" i="4" s="1"/>
  <c r="S63" i="4"/>
  <c r="U63" i="4" s="1"/>
  <c r="Y62" i="4"/>
  <c r="AA62" i="4" s="1"/>
  <c r="S62" i="4"/>
  <c r="U62" i="4" s="1"/>
  <c r="AA61" i="4"/>
  <c r="Y61" i="4"/>
  <c r="S61" i="4"/>
  <c r="S60" i="4"/>
  <c r="X58" i="4"/>
  <c r="W58" i="4"/>
  <c r="R58" i="4"/>
  <c r="Q58" i="4"/>
  <c r="Y57" i="4"/>
  <c r="AA57" i="4" s="1"/>
  <c r="S57" i="4"/>
  <c r="U57" i="4" s="1"/>
  <c r="AA56" i="4"/>
  <c r="U56" i="4"/>
  <c r="Y55" i="4"/>
  <c r="AA55" i="4" s="1"/>
  <c r="S55" i="4"/>
  <c r="U55" i="4" s="1"/>
  <c r="Z54" i="4"/>
  <c r="Z58" i="4" s="1"/>
  <c r="Y54" i="4"/>
  <c r="T54" i="4"/>
  <c r="T58" i="4" s="1"/>
  <c r="S54" i="4"/>
  <c r="U54" i="4" s="1"/>
  <c r="Y53" i="4"/>
  <c r="AA53" i="4" s="1"/>
  <c r="S53" i="4"/>
  <c r="U53" i="4" s="1"/>
  <c r="Y52" i="4"/>
  <c r="S52" i="4"/>
  <c r="AA50" i="4"/>
  <c r="Y50" i="4"/>
  <c r="S50" i="4"/>
  <c r="U50" i="4" s="1"/>
  <c r="Y49" i="4"/>
  <c r="AA49" i="4" s="1"/>
  <c r="S49" i="4"/>
  <c r="U49" i="4" s="1"/>
  <c r="Y45" i="4"/>
  <c r="AA45" i="4" s="1"/>
  <c r="S45" i="4"/>
  <c r="U45" i="4" s="1"/>
  <c r="Y44" i="4"/>
  <c r="AA44" i="4" s="1"/>
  <c r="S44" i="4"/>
  <c r="U44" i="4" s="1"/>
  <c r="Y43" i="4"/>
  <c r="AA43" i="4" s="1"/>
  <c r="S43" i="4"/>
  <c r="U43" i="4" s="1"/>
  <c r="Y41" i="4"/>
  <c r="AA41" i="4" s="1"/>
  <c r="S41" i="4"/>
  <c r="U41" i="4" s="1"/>
  <c r="Y40" i="4"/>
  <c r="AA40" i="4" s="1"/>
  <c r="U40" i="4"/>
  <c r="S40" i="4"/>
  <c r="Y39" i="4"/>
  <c r="AA39" i="4" s="1"/>
  <c r="S39" i="4"/>
  <c r="U39" i="4" s="1"/>
  <c r="Y38" i="4"/>
  <c r="AA38" i="4" s="1"/>
  <c r="S38" i="4"/>
  <c r="U38" i="4" s="1"/>
  <c r="Y37" i="4"/>
  <c r="AA37" i="4" s="1"/>
  <c r="S37" i="4"/>
  <c r="U37" i="4" s="1"/>
  <c r="S36" i="4"/>
  <c r="U36" i="4" s="1"/>
  <c r="Y35" i="4"/>
  <c r="AA35" i="4" s="1"/>
  <c r="R35" i="4"/>
  <c r="S35" i="4" s="1"/>
  <c r="U35" i="4" s="1"/>
  <c r="Y34" i="4"/>
  <c r="AA34" i="4" s="1"/>
  <c r="S34" i="4"/>
  <c r="U34" i="4" s="1"/>
  <c r="Y33" i="4"/>
  <c r="AA33" i="4" s="1"/>
  <c r="S33" i="4"/>
  <c r="U33" i="4" s="1"/>
  <c r="Y32" i="4"/>
  <c r="AA32" i="4" s="1"/>
  <c r="S32" i="4"/>
  <c r="U32" i="4" s="1"/>
  <c r="Y31" i="4"/>
  <c r="AA31" i="4" s="1"/>
  <c r="S31" i="4"/>
  <c r="U31" i="4" s="1"/>
  <c r="Y30" i="4"/>
  <c r="AA30" i="4" s="1"/>
  <c r="S30" i="4"/>
  <c r="U30" i="4" s="1"/>
  <c r="AA29" i="4"/>
  <c r="Y29" i="4"/>
  <c r="S29" i="4"/>
  <c r="U29" i="4" s="1"/>
  <c r="Y28" i="4"/>
  <c r="AA28" i="4" s="1"/>
  <c r="U28" i="4"/>
  <c r="S28" i="4"/>
  <c r="Y27" i="4"/>
  <c r="AA27" i="4" s="1"/>
  <c r="R27" i="4"/>
  <c r="S27" i="4" s="1"/>
  <c r="U27" i="4" s="1"/>
  <c r="Y26" i="4"/>
  <c r="AA26" i="4" s="1"/>
  <c r="S26" i="4"/>
  <c r="U26" i="4" s="1"/>
  <c r="Y25" i="4"/>
  <c r="AA25" i="4" s="1"/>
  <c r="S25" i="4"/>
  <c r="U25" i="4" s="1"/>
  <c r="X23" i="4"/>
  <c r="X42" i="4" s="1"/>
  <c r="X46" i="4" s="1"/>
  <c r="R23" i="4"/>
  <c r="T22" i="4"/>
  <c r="S22" i="4"/>
  <c r="U22" i="4" s="1"/>
  <c r="AA21" i="4"/>
  <c r="Y21" i="4"/>
  <c r="S21" i="4"/>
  <c r="U21" i="4" s="1"/>
  <c r="W20" i="4"/>
  <c r="Y20" i="4" s="1"/>
  <c r="AA20" i="4" s="1"/>
  <c r="U20" i="4"/>
  <c r="S20" i="4"/>
  <c r="Y19" i="4"/>
  <c r="AA19" i="4" s="1"/>
  <c r="S19" i="4"/>
  <c r="U19" i="4" s="1"/>
  <c r="Y18" i="4"/>
  <c r="AA18" i="4" s="1"/>
  <c r="S18" i="4"/>
  <c r="U18" i="4" s="1"/>
  <c r="Y17" i="4"/>
  <c r="AA17" i="4" s="1"/>
  <c r="S17" i="4"/>
  <c r="U17" i="4" s="1"/>
  <c r="Y16" i="4"/>
  <c r="AA16" i="4" s="1"/>
  <c r="S16" i="4"/>
  <c r="U16" i="4" s="1"/>
  <c r="Y15" i="4"/>
  <c r="AA15" i="4" s="1"/>
  <c r="S15" i="4"/>
  <c r="U15" i="4" s="1"/>
  <c r="Y14" i="4"/>
  <c r="AA14" i="4" s="1"/>
  <c r="S14" i="4"/>
  <c r="U14" i="4" s="1"/>
  <c r="Y13" i="4"/>
  <c r="AA13" i="4" s="1"/>
  <c r="S13" i="4"/>
  <c r="U13" i="4" s="1"/>
  <c r="Z12" i="4"/>
  <c r="Y12" i="4"/>
  <c r="T12" i="4"/>
  <c r="S12" i="4"/>
  <c r="Y11" i="4"/>
  <c r="AA11" i="4" s="1"/>
  <c r="S11" i="4"/>
  <c r="U11" i="4" s="1"/>
  <c r="Y10" i="4"/>
  <c r="AA10" i="4" s="1"/>
  <c r="S10" i="4"/>
  <c r="U10" i="4" s="1"/>
  <c r="Z8" i="4"/>
  <c r="Z23" i="4" s="1"/>
  <c r="Z42" i="4" s="1"/>
  <c r="Z46" i="4" s="1"/>
  <c r="W8" i="4"/>
  <c r="T8" i="4"/>
  <c r="Q8" i="4"/>
  <c r="S8" i="4" s="1"/>
  <c r="I10" i="4" l="1"/>
  <c r="G23" i="4"/>
  <c r="I8" i="4"/>
  <c r="W23" i="4"/>
  <c r="W42" i="4" s="1"/>
  <c r="W46" i="4" s="1"/>
  <c r="AA12" i="4"/>
  <c r="U58" i="4"/>
  <c r="AA69" i="4"/>
  <c r="X70" i="4"/>
  <c r="Y8" i="4"/>
  <c r="Y23" i="4" s="1"/>
  <c r="Y42" i="4" s="1"/>
  <c r="Y46" i="4" s="1"/>
  <c r="T23" i="4"/>
  <c r="T42" i="4" s="1"/>
  <c r="T46" i="4" s="1"/>
  <c r="U12" i="4"/>
  <c r="AA54" i="4"/>
  <c r="AA58" i="4" s="1"/>
  <c r="Y69" i="4"/>
  <c r="W70" i="4"/>
  <c r="W72" i="4" s="1"/>
  <c r="U8" i="4"/>
  <c r="U23" i="4" s="1"/>
  <c r="U42" i="4" s="1"/>
  <c r="U46" i="4" s="1"/>
  <c r="S23" i="4"/>
  <c r="S42" i="4" s="1"/>
  <c r="S46" i="4" s="1"/>
  <c r="Q23" i="4"/>
  <c r="Q42" i="4" s="1"/>
  <c r="Q46" i="4" s="1"/>
  <c r="Q70" i="4" s="1"/>
  <c r="Q72" i="4" s="1"/>
  <c r="T70" i="4"/>
  <c r="R42" i="4"/>
  <c r="R46" i="4" s="1"/>
  <c r="R70" i="4" s="1"/>
  <c r="Z70" i="4"/>
  <c r="Y58" i="4"/>
  <c r="S58" i="4"/>
  <c r="S69" i="4"/>
  <c r="U61" i="4"/>
  <c r="U69" i="4" s="1"/>
  <c r="B82" i="5" l="1"/>
  <c r="S70" i="4"/>
  <c r="Y70" i="4"/>
  <c r="U70" i="4"/>
  <c r="AA8" i="4"/>
  <c r="AA23" i="4" s="1"/>
  <c r="AA42" i="4" s="1"/>
  <c r="AA46" i="4" s="1"/>
  <c r="AA70" i="4" s="1"/>
  <c r="R72" i="4"/>
  <c r="R74" i="4" s="1"/>
  <c r="S71" i="4"/>
  <c r="Q74" i="4"/>
  <c r="W74" i="4"/>
  <c r="Y72" i="4"/>
  <c r="O75" i="4"/>
  <c r="S72" i="4" l="1"/>
  <c r="S74" i="4" s="1"/>
  <c r="U72" i="4"/>
  <c r="U74" i="4" s="1"/>
  <c r="AA72" i="4"/>
  <c r="AA74" i="4" s="1"/>
  <c r="Y74" i="4"/>
  <c r="F23" i="9" l="1"/>
  <c r="F24" i="9"/>
  <c r="F20" i="9"/>
  <c r="F11" i="9"/>
  <c r="F14" i="9"/>
  <c r="F10" i="9"/>
  <c r="F9" i="9"/>
  <c r="E11" i="3" l="1"/>
  <c r="H64" i="7"/>
  <c r="G64" i="7"/>
  <c r="H65" i="7" s="1"/>
  <c r="G20" i="7"/>
  <c r="H59" i="2"/>
  <c r="H44" i="2"/>
  <c r="E23" i="8"/>
  <c r="G23" i="8" s="1"/>
  <c r="I9" i="8"/>
  <c r="V23" i="7" l="1"/>
  <c r="H10" i="8"/>
  <c r="H9" i="8"/>
  <c r="H28" i="8" s="1"/>
  <c r="F25" i="9"/>
  <c r="J186" i="6"/>
  <c r="F72" i="2"/>
  <c r="F71" i="2"/>
  <c r="J72" i="6"/>
  <c r="H72" i="6"/>
  <c r="G72" i="6"/>
  <c r="F72" i="6"/>
  <c r="F193" i="6"/>
  <c r="H193" i="6" s="1"/>
  <c r="H192" i="6"/>
  <c r="G191" i="6"/>
  <c r="I186" i="6"/>
  <c r="G8" i="3"/>
  <c r="H13" i="2"/>
  <c r="G35" i="3"/>
  <c r="H60" i="7"/>
  <c r="G59" i="7"/>
  <c r="H7" i="8"/>
  <c r="E28" i="8" s="1"/>
  <c r="F32" i="8" s="1"/>
  <c r="H8" i="8"/>
  <c r="F28" i="8" s="1"/>
  <c r="D42" i="3"/>
  <c r="G28" i="8" l="1"/>
  <c r="J28" i="8" s="1"/>
  <c r="F31" i="9"/>
  <c r="H11" i="8"/>
  <c r="F151" i="6" l="1"/>
  <c r="F191" i="6" s="1"/>
  <c r="G7" i="3"/>
  <c r="J59" i="7"/>
  <c r="G44" i="7" l="1"/>
  <c r="H151" i="6"/>
  <c r="J151" i="6" s="1"/>
  <c r="H152" i="6"/>
  <c r="J152" i="6" s="1"/>
  <c r="G63" i="7"/>
  <c r="H63" i="7"/>
  <c r="I63" i="7"/>
  <c r="G16" i="7"/>
  <c r="G28" i="3" s="1"/>
  <c r="G40" i="7"/>
  <c r="H40" i="7"/>
  <c r="H35" i="7"/>
  <c r="G31" i="7"/>
  <c r="H24" i="7"/>
  <c r="H27" i="7" s="1"/>
  <c r="G27" i="7"/>
  <c r="G11" i="7"/>
  <c r="H9" i="7"/>
  <c r="H11" i="7" s="1"/>
  <c r="E5" i="11"/>
  <c r="E4" i="11"/>
  <c r="E3" i="11"/>
  <c r="N21" i="10"/>
  <c r="M21" i="10"/>
  <c r="L21" i="10"/>
  <c r="K21" i="10"/>
  <c r="J21" i="10"/>
  <c r="I21" i="10"/>
  <c r="H21" i="10"/>
  <c r="G21" i="10"/>
  <c r="F21" i="10"/>
  <c r="E21" i="10"/>
  <c r="D21" i="10"/>
  <c r="O21" i="10" s="1"/>
  <c r="G6" i="10" s="1"/>
  <c r="I18" i="10"/>
  <c r="H18" i="10"/>
  <c r="G18" i="10"/>
  <c r="J18" i="10" s="1"/>
  <c r="O37" i="7" s="1"/>
  <c r="G17" i="10"/>
  <c r="G16" i="10"/>
  <c r="G15" i="10"/>
  <c r="G14" i="10"/>
  <c r="G13" i="10"/>
  <c r="G12" i="10"/>
  <c r="G11" i="10"/>
  <c r="G10" i="10"/>
  <c r="G9" i="10"/>
  <c r="G8" i="10"/>
  <c r="G7" i="10"/>
  <c r="L33" i="9"/>
  <c r="J33" i="9"/>
  <c r="L25" i="9"/>
  <c r="J25" i="9"/>
  <c r="J27" i="9" s="1"/>
  <c r="L12" i="9"/>
  <c r="L16" i="9" s="1"/>
  <c r="J12" i="9"/>
  <c r="J16" i="9" s="1"/>
  <c r="H11" i="9"/>
  <c r="L17" i="8"/>
  <c r="K17" i="8"/>
  <c r="K15" i="8"/>
  <c r="K8" i="8"/>
  <c r="I8" i="8"/>
  <c r="L7" i="8"/>
  <c r="E24" i="8" s="1"/>
  <c r="K7" i="8"/>
  <c r="E25" i="8" s="1"/>
  <c r="J7" i="8"/>
  <c r="I7" i="8"/>
  <c r="E27" i="8" s="1"/>
  <c r="F31" i="8" s="1"/>
  <c r="O67" i="7"/>
  <c r="O59" i="7"/>
  <c r="P60" i="7" s="1"/>
  <c r="L9" i="8" s="1"/>
  <c r="H24" i="8" s="1"/>
  <c r="I60" i="7"/>
  <c r="M35" i="3" s="1"/>
  <c r="L55" i="7"/>
  <c r="O54" i="7"/>
  <c r="P55" i="7" s="1"/>
  <c r="U52" i="7"/>
  <c r="T52" i="7"/>
  <c r="R50" i="7"/>
  <c r="R48" i="7"/>
  <c r="I44" i="7"/>
  <c r="O40" i="7"/>
  <c r="N40" i="7"/>
  <c r="K40" i="7"/>
  <c r="J40" i="7"/>
  <c r="I40" i="7"/>
  <c r="L38" i="7"/>
  <c r="K59" i="7" s="1"/>
  <c r="M37" i="7"/>
  <c r="M40" i="7" s="1"/>
  <c r="T35" i="7"/>
  <c r="R35" i="7"/>
  <c r="N35" i="7"/>
  <c r="M35" i="7"/>
  <c r="L35" i="7"/>
  <c r="J35" i="7"/>
  <c r="P33" i="7"/>
  <c r="P35" i="7" s="1"/>
  <c r="O32" i="7"/>
  <c r="O35" i="7" s="1"/>
  <c r="U35" i="7"/>
  <c r="Q35" i="7"/>
  <c r="K29" i="7"/>
  <c r="K32" i="7" s="1"/>
  <c r="I29" i="7"/>
  <c r="I35" i="7" s="1"/>
  <c r="T27" i="7"/>
  <c r="Q27" i="7"/>
  <c r="O27" i="7"/>
  <c r="M27" i="7"/>
  <c r="K27" i="7"/>
  <c r="U24" i="7"/>
  <c r="U27" i="7" s="1"/>
  <c r="R24" i="7"/>
  <c r="R27" i="7" s="1"/>
  <c r="P24" i="7"/>
  <c r="L18" i="8" s="1"/>
  <c r="N24" i="7"/>
  <c r="L24" i="7"/>
  <c r="L27" i="7" s="1"/>
  <c r="J24" i="7"/>
  <c r="J27" i="7" s="1"/>
  <c r="O22" i="7"/>
  <c r="U20" i="7"/>
  <c r="T20" i="7"/>
  <c r="R20" i="7"/>
  <c r="Q20" i="7"/>
  <c r="P20" i="7"/>
  <c r="N20" i="7"/>
  <c r="K20" i="7"/>
  <c r="J20" i="7"/>
  <c r="I20" i="7"/>
  <c r="O17" i="7"/>
  <c r="O20" i="7" s="1"/>
  <c r="M16" i="7"/>
  <c r="M20" i="7" s="1"/>
  <c r="L16" i="7"/>
  <c r="L20" i="7" s="1"/>
  <c r="T11" i="7"/>
  <c r="R11" i="7"/>
  <c r="O11" i="7"/>
  <c r="M11" i="7"/>
  <c r="L11" i="7"/>
  <c r="K11" i="7"/>
  <c r="I11" i="7"/>
  <c r="P9" i="7"/>
  <c r="P11" i="7" s="1"/>
  <c r="N9" i="7"/>
  <c r="N11" i="7" s="1"/>
  <c r="L9" i="7"/>
  <c r="J9" i="7"/>
  <c r="J11" i="7" s="1"/>
  <c r="U8" i="7"/>
  <c r="Q8" i="7"/>
  <c r="J193" i="6"/>
  <c r="J192" i="6"/>
  <c r="G189" i="6"/>
  <c r="F189" i="6"/>
  <c r="H189" i="6" s="1"/>
  <c r="H188" i="6"/>
  <c r="J188" i="6" s="1"/>
  <c r="G188" i="6"/>
  <c r="F188" i="6"/>
  <c r="G187" i="6"/>
  <c r="G185" i="6"/>
  <c r="F185" i="6"/>
  <c r="H184" i="6"/>
  <c r="J184" i="6" s="1"/>
  <c r="H183" i="6"/>
  <c r="J183" i="6" s="1"/>
  <c r="H182" i="6"/>
  <c r="J182" i="6" s="1"/>
  <c r="H181" i="6"/>
  <c r="J181" i="6" s="1"/>
  <c r="H179" i="6"/>
  <c r="H178" i="6"/>
  <c r="J178" i="6" s="1"/>
  <c r="H177" i="6"/>
  <c r="J177" i="6" s="1"/>
  <c r="F177" i="6"/>
  <c r="I175" i="6"/>
  <c r="H175" i="6"/>
  <c r="J175" i="6" s="1"/>
  <c r="G175" i="6"/>
  <c r="H174" i="6"/>
  <c r="J174" i="6" s="1"/>
  <c r="H172" i="6"/>
  <c r="J172" i="6" s="1"/>
  <c r="G170" i="6"/>
  <c r="F170" i="6"/>
  <c r="H169" i="6"/>
  <c r="J169" i="6" s="1"/>
  <c r="J168" i="6"/>
  <c r="H168" i="6"/>
  <c r="H167" i="6"/>
  <c r="J167" i="6" s="1"/>
  <c r="J166" i="6"/>
  <c r="H166" i="6"/>
  <c r="H165" i="6"/>
  <c r="J165" i="6" s="1"/>
  <c r="F164" i="6"/>
  <c r="H164" i="6" s="1"/>
  <c r="J164" i="6" s="1"/>
  <c r="B164" i="6"/>
  <c r="I162" i="6"/>
  <c r="G162" i="6"/>
  <c r="F162" i="6"/>
  <c r="F160" i="6"/>
  <c r="H160" i="6" s="1"/>
  <c r="J160" i="6" s="1"/>
  <c r="G158" i="6"/>
  <c r="G161" i="6" s="1"/>
  <c r="G163" i="6" s="1"/>
  <c r="G171" i="6" s="1"/>
  <c r="G173" i="6" s="1"/>
  <c r="G176" i="6" s="1"/>
  <c r="G180" i="6" s="1"/>
  <c r="F158" i="6"/>
  <c r="H150" i="6"/>
  <c r="J150" i="6" s="1"/>
  <c r="H148" i="6"/>
  <c r="H147" i="6"/>
  <c r="J147" i="6" s="1"/>
  <c r="H146" i="6"/>
  <c r="J146" i="6" s="1"/>
  <c r="H145" i="6"/>
  <c r="J145" i="6" s="1"/>
  <c r="F144" i="6"/>
  <c r="H142" i="6"/>
  <c r="H185" i="6" s="1"/>
  <c r="H141" i="6"/>
  <c r="J141" i="6" s="1"/>
  <c r="H140" i="6"/>
  <c r="J140" i="6" s="1"/>
  <c r="H139" i="6"/>
  <c r="J139" i="6" s="1"/>
  <c r="H138" i="6"/>
  <c r="J138" i="6" s="1"/>
  <c r="H137" i="6"/>
  <c r="J137" i="6" s="1"/>
  <c r="H135" i="6"/>
  <c r="J135" i="6" s="1"/>
  <c r="K134" i="6"/>
  <c r="H134" i="6"/>
  <c r="F133" i="6"/>
  <c r="H133" i="6" s="1"/>
  <c r="J133" i="6" s="1"/>
  <c r="H132" i="6"/>
  <c r="J132" i="6" s="1"/>
  <c r="G132" i="6"/>
  <c r="H131" i="6"/>
  <c r="J131" i="6" s="1"/>
  <c r="H129" i="6"/>
  <c r="J129" i="6" s="1"/>
  <c r="H128" i="6"/>
  <c r="J128" i="6" s="1"/>
  <c r="H127" i="6"/>
  <c r="J127" i="6" s="1"/>
  <c r="F126" i="6"/>
  <c r="F130" i="6" s="1"/>
  <c r="F136" i="6" s="1"/>
  <c r="F143" i="6" s="1"/>
  <c r="H125" i="6"/>
  <c r="J125" i="6" s="1"/>
  <c r="H123" i="6"/>
  <c r="H170" i="6" s="1"/>
  <c r="F122" i="6"/>
  <c r="H122" i="6" s="1"/>
  <c r="J122" i="6" s="1"/>
  <c r="B122" i="6"/>
  <c r="H121" i="6"/>
  <c r="J121" i="6" s="1"/>
  <c r="H120" i="6"/>
  <c r="J120" i="6" s="1"/>
  <c r="H119" i="6"/>
  <c r="J119" i="6" s="1"/>
  <c r="H117" i="6"/>
  <c r="H116" i="6"/>
  <c r="J116" i="6" s="1"/>
  <c r="H114" i="6"/>
  <c r="J114" i="6" s="1"/>
  <c r="H113" i="6"/>
  <c r="J113" i="6" s="1"/>
  <c r="I112" i="6"/>
  <c r="G112" i="6"/>
  <c r="G115" i="6" s="1"/>
  <c r="G118" i="6" s="1"/>
  <c r="G124" i="6" s="1"/>
  <c r="G126" i="6" s="1"/>
  <c r="G130" i="6" s="1"/>
  <c r="F112" i="6"/>
  <c r="F115" i="6" s="1"/>
  <c r="J111" i="6"/>
  <c r="H111" i="6"/>
  <c r="H110" i="6"/>
  <c r="H109" i="6"/>
  <c r="I107" i="6"/>
  <c r="H106" i="6"/>
  <c r="J106" i="6" s="1"/>
  <c r="I105" i="6"/>
  <c r="H104" i="6"/>
  <c r="J104" i="6" s="1"/>
  <c r="H102" i="6"/>
  <c r="J102" i="6" s="1"/>
  <c r="F101" i="6"/>
  <c r="H100" i="6"/>
  <c r="J100" i="6" s="1"/>
  <c r="J98" i="6"/>
  <c r="G97" i="6"/>
  <c r="G99" i="6" s="1"/>
  <c r="G101" i="6" s="1"/>
  <c r="G103" i="6" s="1"/>
  <c r="G105" i="6" s="1"/>
  <c r="G107" i="6" s="1"/>
  <c r="J96" i="6"/>
  <c r="H96" i="6"/>
  <c r="H95" i="6"/>
  <c r="J95" i="6" s="1"/>
  <c r="H94" i="6"/>
  <c r="H92" i="6"/>
  <c r="H91" i="6"/>
  <c r="I89" i="6"/>
  <c r="I90" i="6" s="1"/>
  <c r="G85" i="6"/>
  <c r="G86" i="6" s="1"/>
  <c r="G87" i="6" s="1"/>
  <c r="G88" i="6" s="1"/>
  <c r="G89" i="6" s="1"/>
  <c r="G90" i="6" s="1"/>
  <c r="F85" i="6"/>
  <c r="F86" i="6" s="1"/>
  <c r="H84" i="6"/>
  <c r="J84" i="6" s="1"/>
  <c r="H83" i="6"/>
  <c r="I81" i="6"/>
  <c r="G76" i="6"/>
  <c r="G77" i="6" s="1"/>
  <c r="G78" i="6" s="1"/>
  <c r="G79" i="6" s="1"/>
  <c r="G80" i="6" s="1"/>
  <c r="G81" i="6" s="1"/>
  <c r="F76" i="6"/>
  <c r="F77" i="6" s="1"/>
  <c r="H75" i="6"/>
  <c r="J75" i="6" s="1"/>
  <c r="H74" i="6"/>
  <c r="H73" i="6"/>
  <c r="I71" i="6"/>
  <c r="F68" i="6"/>
  <c r="F69" i="6" s="1"/>
  <c r="G66" i="6"/>
  <c r="G67" i="6" s="1"/>
  <c r="G68" i="6" s="1"/>
  <c r="G69" i="6" s="1"/>
  <c r="G70" i="6" s="1"/>
  <c r="G71" i="6" s="1"/>
  <c r="F66" i="6"/>
  <c r="F67" i="6" s="1"/>
  <c r="H67" i="6" s="1"/>
  <c r="J67" i="6" s="1"/>
  <c r="H65" i="6"/>
  <c r="J65" i="6" s="1"/>
  <c r="H64" i="6"/>
  <c r="H61" i="6"/>
  <c r="J61" i="6" s="1"/>
  <c r="H59" i="6"/>
  <c r="J59" i="6" s="1"/>
  <c r="I58" i="6"/>
  <c r="I60" i="6" s="1"/>
  <c r="I62" i="6" s="1"/>
  <c r="F58" i="6"/>
  <c r="F60" i="6" s="1"/>
  <c r="F62" i="6" s="1"/>
  <c r="H57" i="6"/>
  <c r="J57" i="6" s="1"/>
  <c r="H55" i="6"/>
  <c r="J55" i="6" s="1"/>
  <c r="I54" i="6"/>
  <c r="H53" i="6"/>
  <c r="J53" i="6" s="1"/>
  <c r="H52" i="6"/>
  <c r="J52" i="6" s="1"/>
  <c r="I51" i="6"/>
  <c r="H49" i="6"/>
  <c r="J49" i="6" s="1"/>
  <c r="G48" i="6"/>
  <c r="G50" i="6" s="1"/>
  <c r="G51" i="6" s="1"/>
  <c r="G54" i="6" s="1"/>
  <c r="G56" i="6" s="1"/>
  <c r="G58" i="6" s="1"/>
  <c r="G60" i="6" s="1"/>
  <c r="F48" i="6"/>
  <c r="F50" i="6" s="1"/>
  <c r="H47" i="6"/>
  <c r="J47" i="6" s="1"/>
  <c r="H46" i="6"/>
  <c r="J46" i="6" s="1"/>
  <c r="H42" i="6"/>
  <c r="J42" i="6" s="1"/>
  <c r="H40" i="6"/>
  <c r="J40" i="6" s="1"/>
  <c r="I39" i="6"/>
  <c r="I41" i="6" s="1"/>
  <c r="I43" i="6" s="1"/>
  <c r="G39" i="6"/>
  <c r="G41" i="6" s="1"/>
  <c r="G43" i="6" s="1"/>
  <c r="H37" i="6"/>
  <c r="J37" i="6" s="1"/>
  <c r="H34" i="6"/>
  <c r="J34" i="6" s="1"/>
  <c r="H33" i="6"/>
  <c r="J33" i="6" s="1"/>
  <c r="F32" i="6"/>
  <c r="F35" i="6" s="1"/>
  <c r="H31" i="6"/>
  <c r="J31" i="6" s="1"/>
  <c r="H30" i="6"/>
  <c r="J30" i="6" s="1"/>
  <c r="H26" i="6"/>
  <c r="J26" i="6" s="1"/>
  <c r="H25" i="6"/>
  <c r="J25" i="6" s="1"/>
  <c r="H23" i="6"/>
  <c r="J23" i="6" s="1"/>
  <c r="H22" i="6"/>
  <c r="J22" i="6" s="1"/>
  <c r="I21" i="6"/>
  <c r="I24" i="6" s="1"/>
  <c r="I27" i="6" s="1"/>
  <c r="H20" i="6"/>
  <c r="J20" i="6" s="1"/>
  <c r="H18" i="6"/>
  <c r="J18" i="6" s="1"/>
  <c r="H17" i="6"/>
  <c r="J17" i="6" s="1"/>
  <c r="I16" i="6"/>
  <c r="F16" i="6"/>
  <c r="F19" i="6" s="1"/>
  <c r="H15" i="6"/>
  <c r="J15" i="6" s="1"/>
  <c r="H13" i="6"/>
  <c r="J13" i="6" s="1"/>
  <c r="H12" i="6"/>
  <c r="J12" i="6" s="1"/>
  <c r="H11" i="6"/>
  <c r="J11" i="6" s="1"/>
  <c r="H10" i="6"/>
  <c r="J10" i="6" s="1"/>
  <c r="G9" i="6"/>
  <c r="G14" i="6" s="1"/>
  <c r="F9" i="6"/>
  <c r="H9" i="6" s="1"/>
  <c r="J9" i="6" s="1"/>
  <c r="H8" i="6"/>
  <c r="J8" i="6" s="1"/>
  <c r="B40" i="5"/>
  <c r="L35" i="5"/>
  <c r="Q31" i="5"/>
  <c r="O31" i="5"/>
  <c r="P31" i="5" s="1"/>
  <c r="H27" i="5"/>
  <c r="H33" i="5" s="1"/>
  <c r="P26" i="5"/>
  <c r="O26" i="5"/>
  <c r="P24" i="5" s="1"/>
  <c r="G26" i="5"/>
  <c r="O25" i="5"/>
  <c r="P23" i="5" s="1"/>
  <c r="O24" i="5"/>
  <c r="H24" i="5"/>
  <c r="F24" i="5"/>
  <c r="G24" i="5" s="1"/>
  <c r="O23" i="5"/>
  <c r="F23" i="5"/>
  <c r="P22" i="5"/>
  <c r="O22" i="5"/>
  <c r="P20" i="5" s="1"/>
  <c r="F22" i="5"/>
  <c r="G22" i="5" s="1"/>
  <c r="Q21" i="5"/>
  <c r="P21" i="5" s="1"/>
  <c r="O21" i="5"/>
  <c r="F21" i="5"/>
  <c r="E21" i="5" s="1"/>
  <c r="O20" i="5"/>
  <c r="F20" i="5"/>
  <c r="P19" i="5"/>
  <c r="O19" i="5"/>
  <c r="F19" i="5"/>
  <c r="P18" i="5"/>
  <c r="F18" i="5"/>
  <c r="G18" i="5" s="1"/>
  <c r="Q17" i="5"/>
  <c r="F17" i="5"/>
  <c r="G17" i="5" s="1"/>
  <c r="C15" i="5"/>
  <c r="O14" i="5"/>
  <c r="P13" i="5" s="1"/>
  <c r="D14" i="5"/>
  <c r="F13" i="5"/>
  <c r="G13" i="5" s="1"/>
  <c r="Q12" i="5"/>
  <c r="P12" i="5" s="1"/>
  <c r="O12" i="5"/>
  <c r="F12" i="5"/>
  <c r="G12" i="5" s="1"/>
  <c r="Q11" i="5"/>
  <c r="O11" i="5"/>
  <c r="F11" i="5"/>
  <c r="G11" i="5" s="1"/>
  <c r="O10" i="5"/>
  <c r="P10" i="5" s="1"/>
  <c r="F10" i="5"/>
  <c r="G10" i="5" s="1"/>
  <c r="O9" i="5"/>
  <c r="P9" i="5" s="1"/>
  <c r="G9" i="5"/>
  <c r="F9" i="5"/>
  <c r="O8" i="5"/>
  <c r="P8" i="5" s="1"/>
  <c r="F8" i="5"/>
  <c r="E8" i="5" s="1"/>
  <c r="O7" i="5"/>
  <c r="P7" i="5" s="1"/>
  <c r="F7" i="5"/>
  <c r="G7" i="5" s="1"/>
  <c r="Q6" i="5"/>
  <c r="O6" i="5"/>
  <c r="F6" i="5"/>
  <c r="G6" i="5" s="1"/>
  <c r="P5" i="5"/>
  <c r="O5" i="5"/>
  <c r="F5" i="5"/>
  <c r="G5" i="5" s="1"/>
  <c r="U40" i="3"/>
  <c r="T39" i="3"/>
  <c r="R39" i="3"/>
  <c r="N39" i="3"/>
  <c r="L39" i="3"/>
  <c r="H39" i="3"/>
  <c r="F39" i="3"/>
  <c r="R35" i="3"/>
  <c r="H26" i="8"/>
  <c r="L35" i="3"/>
  <c r="F35" i="3"/>
  <c r="H35" i="3" s="1"/>
  <c r="L34" i="3"/>
  <c r="N34" i="3" s="1"/>
  <c r="F34" i="3"/>
  <c r="T31" i="3"/>
  <c r="I14" i="9" s="1"/>
  <c r="R31" i="3"/>
  <c r="L31" i="3"/>
  <c r="N31" i="3" s="1"/>
  <c r="H14" i="9" s="1"/>
  <c r="H31" i="3"/>
  <c r="F31" i="3"/>
  <c r="Q28" i="3"/>
  <c r="R28" i="3" s="1"/>
  <c r="L28" i="3"/>
  <c r="F28" i="3"/>
  <c r="R27" i="3"/>
  <c r="T27" i="3" s="1"/>
  <c r="N27" i="3"/>
  <c r="L27" i="3"/>
  <c r="F27" i="3"/>
  <c r="H27" i="3" s="1"/>
  <c r="T26" i="3"/>
  <c r="N26" i="3"/>
  <c r="H26" i="3"/>
  <c r="S25" i="3"/>
  <c r="Q25" i="3"/>
  <c r="P25" i="3"/>
  <c r="K25" i="3"/>
  <c r="J25" i="3"/>
  <c r="L25" i="3" s="1"/>
  <c r="N25" i="3" s="1"/>
  <c r="G25" i="3"/>
  <c r="E25" i="3"/>
  <c r="F25" i="3" s="1"/>
  <c r="H25" i="3" s="1"/>
  <c r="D25" i="3"/>
  <c r="R24" i="3"/>
  <c r="T24" i="3" s="1"/>
  <c r="N24" i="3"/>
  <c r="H24" i="3"/>
  <c r="F24" i="3"/>
  <c r="R23" i="3"/>
  <c r="T23" i="3" s="1"/>
  <c r="N23" i="3"/>
  <c r="F23" i="3"/>
  <c r="H23" i="3" s="1"/>
  <c r="R22" i="3"/>
  <c r="T22" i="3" s="1"/>
  <c r="N22" i="3"/>
  <c r="F22" i="3"/>
  <c r="H22" i="3" s="1"/>
  <c r="T21" i="3"/>
  <c r="R21" i="3"/>
  <c r="N21" i="3"/>
  <c r="F21" i="3"/>
  <c r="H21" i="3" s="1"/>
  <c r="R20" i="3"/>
  <c r="T20" i="3" s="1"/>
  <c r="N20" i="3"/>
  <c r="H20" i="3"/>
  <c r="F20" i="3"/>
  <c r="T19" i="3"/>
  <c r="R19" i="3"/>
  <c r="N19" i="3"/>
  <c r="F19" i="3"/>
  <c r="H19" i="3" s="1"/>
  <c r="T18" i="3"/>
  <c r="R18" i="3"/>
  <c r="N18" i="3"/>
  <c r="F18" i="3"/>
  <c r="H18" i="3" s="1"/>
  <c r="T17" i="3"/>
  <c r="R17" i="3"/>
  <c r="N17" i="3"/>
  <c r="H17" i="3"/>
  <c r="F17" i="3"/>
  <c r="R16" i="3"/>
  <c r="T16" i="3" s="1"/>
  <c r="N16" i="3"/>
  <c r="H16" i="3"/>
  <c r="F16" i="3"/>
  <c r="R15" i="3"/>
  <c r="T15" i="3" s="1"/>
  <c r="N15" i="3"/>
  <c r="F15" i="3"/>
  <c r="H15" i="3" s="1"/>
  <c r="R14" i="3"/>
  <c r="T14" i="3" s="1"/>
  <c r="N14" i="3"/>
  <c r="H14" i="3"/>
  <c r="F14" i="3"/>
  <c r="T13" i="3"/>
  <c r="R13" i="3"/>
  <c r="N13" i="3"/>
  <c r="F13" i="3"/>
  <c r="H13" i="3" s="1"/>
  <c r="R12" i="3"/>
  <c r="T12" i="3" s="1"/>
  <c r="N12" i="3"/>
  <c r="H12" i="3"/>
  <c r="F12" i="3"/>
  <c r="T11" i="3"/>
  <c r="R11" i="3"/>
  <c r="N11" i="3"/>
  <c r="L11" i="3"/>
  <c r="H11" i="3"/>
  <c r="F11" i="3"/>
  <c r="R9" i="3"/>
  <c r="Q9" i="3"/>
  <c r="Q29" i="3" s="1"/>
  <c r="Q32" i="3" s="1"/>
  <c r="Q36" i="3" s="1"/>
  <c r="Q40" i="3" s="1"/>
  <c r="P9" i="3"/>
  <c r="P29" i="3" s="1"/>
  <c r="P32" i="3" s="1"/>
  <c r="P36" i="3" s="1"/>
  <c r="P40" i="3" s="1"/>
  <c r="K9" i="3"/>
  <c r="K29" i="3" s="1"/>
  <c r="K32" i="3" s="1"/>
  <c r="K36" i="3" s="1"/>
  <c r="K40" i="3" s="1"/>
  <c r="J9" i="3"/>
  <c r="G9" i="3"/>
  <c r="E9" i="3"/>
  <c r="D9" i="3"/>
  <c r="D29" i="3" s="1"/>
  <c r="D32" i="3" s="1"/>
  <c r="D36" i="3" s="1"/>
  <c r="D40" i="3" s="1"/>
  <c r="F153" i="6" s="1"/>
  <c r="S8" i="3"/>
  <c r="T8" i="3" s="1"/>
  <c r="R8" i="3"/>
  <c r="L8" i="3"/>
  <c r="F8" i="3"/>
  <c r="H8" i="3" s="1"/>
  <c r="S7" i="3"/>
  <c r="R7" i="3"/>
  <c r="M7" i="3"/>
  <c r="L7" i="3"/>
  <c r="F7" i="3"/>
  <c r="H7" i="3" s="1"/>
  <c r="N73" i="2"/>
  <c r="L73" i="2"/>
  <c r="K73" i="2"/>
  <c r="M72" i="2"/>
  <c r="O72" i="2" s="1"/>
  <c r="G72" i="2"/>
  <c r="M71" i="2"/>
  <c r="M73" i="2" s="1"/>
  <c r="F73" i="2"/>
  <c r="G71" i="2"/>
  <c r="I71" i="2" s="1"/>
  <c r="R70" i="2"/>
  <c r="O70" i="2"/>
  <c r="M70" i="2"/>
  <c r="G70" i="2"/>
  <c r="I70" i="2" s="1"/>
  <c r="O69" i="2"/>
  <c r="M69" i="2"/>
  <c r="I69" i="2"/>
  <c r="G69" i="2"/>
  <c r="R65" i="2"/>
  <c r="Q65" i="2"/>
  <c r="S65" i="2" s="1"/>
  <c r="L65" i="2"/>
  <c r="K65" i="2"/>
  <c r="H65" i="2"/>
  <c r="F65" i="2"/>
  <c r="E65" i="2"/>
  <c r="E66" i="2" s="1"/>
  <c r="S64" i="2"/>
  <c r="U64" i="2" s="1"/>
  <c r="O64" i="2"/>
  <c r="M26" i="5" s="1"/>
  <c r="N26" i="5" s="1"/>
  <c r="M64" i="2"/>
  <c r="G64" i="2"/>
  <c r="I64" i="2" s="1"/>
  <c r="K26" i="5" s="1"/>
  <c r="S63" i="2"/>
  <c r="U63" i="2" s="1"/>
  <c r="M63" i="2"/>
  <c r="O63" i="2" s="1"/>
  <c r="M27" i="5" s="1"/>
  <c r="N27" i="5" s="1"/>
  <c r="G63" i="2"/>
  <c r="I63" i="2" s="1"/>
  <c r="K27" i="5" s="1"/>
  <c r="Q62" i="2"/>
  <c r="S62" i="2" s="1"/>
  <c r="U62" i="2" s="1"/>
  <c r="M62" i="2"/>
  <c r="O62" i="2" s="1"/>
  <c r="M24" i="5" s="1"/>
  <c r="N24" i="5" s="1"/>
  <c r="G62" i="2"/>
  <c r="I62" i="2" s="1"/>
  <c r="K24" i="5" s="1"/>
  <c r="L24" i="5" s="1"/>
  <c r="N65" i="2"/>
  <c r="M61" i="2"/>
  <c r="I61" i="2"/>
  <c r="K25" i="5" s="1"/>
  <c r="G61" i="2"/>
  <c r="T60" i="2"/>
  <c r="U60" i="2" s="1"/>
  <c r="S60" i="2"/>
  <c r="Q60" i="2"/>
  <c r="M60" i="2"/>
  <c r="O60" i="2" s="1"/>
  <c r="M23" i="5" s="1"/>
  <c r="N23" i="5" s="1"/>
  <c r="I60" i="2"/>
  <c r="K23" i="5" s="1"/>
  <c r="G60" i="2"/>
  <c r="T59" i="2"/>
  <c r="S59" i="2"/>
  <c r="Q59" i="2"/>
  <c r="M59" i="2"/>
  <c r="O59" i="2" s="1"/>
  <c r="M22" i="5" s="1"/>
  <c r="G59" i="2"/>
  <c r="I59" i="2" s="1"/>
  <c r="K22" i="5" s="1"/>
  <c r="S58" i="2"/>
  <c r="U58" i="2" s="1"/>
  <c r="O58" i="2"/>
  <c r="M21" i="5" s="1"/>
  <c r="M58" i="2"/>
  <c r="G58" i="2"/>
  <c r="I58" i="2" s="1"/>
  <c r="K21" i="5" s="1"/>
  <c r="L21" i="5" s="1"/>
  <c r="O57" i="2"/>
  <c r="M56" i="2"/>
  <c r="O56" i="2" s="1"/>
  <c r="M20" i="5" s="1"/>
  <c r="N20" i="5" s="1"/>
  <c r="G56" i="2"/>
  <c r="I56" i="2" s="1"/>
  <c r="K20" i="5" s="1"/>
  <c r="L20" i="5" s="1"/>
  <c r="S55" i="2"/>
  <c r="U55" i="2" s="1"/>
  <c r="M55" i="2"/>
  <c r="M65" i="2" s="1"/>
  <c r="G55" i="2"/>
  <c r="I55" i="2" s="1"/>
  <c r="R52" i="2"/>
  <c r="Q52" i="2"/>
  <c r="L52" i="2"/>
  <c r="K52" i="2"/>
  <c r="F52" i="2"/>
  <c r="E52" i="2"/>
  <c r="T51" i="2"/>
  <c r="S51" i="2"/>
  <c r="M51" i="2"/>
  <c r="G51" i="2"/>
  <c r="I51" i="2" s="1"/>
  <c r="K15" i="5" s="1"/>
  <c r="O50" i="2"/>
  <c r="M13" i="5" s="1"/>
  <c r="L13" i="5" s="1"/>
  <c r="M50" i="2"/>
  <c r="I50" i="2"/>
  <c r="K13" i="5" s="1"/>
  <c r="G50" i="2"/>
  <c r="U49" i="2"/>
  <c r="S49" i="2"/>
  <c r="O49" i="2"/>
  <c r="M14" i="5" s="1"/>
  <c r="M49" i="2"/>
  <c r="I49" i="2"/>
  <c r="K14" i="5" s="1"/>
  <c r="G49" i="2"/>
  <c r="T48" i="2"/>
  <c r="S48" i="2"/>
  <c r="O48" i="2"/>
  <c r="M12" i="5" s="1"/>
  <c r="N12" i="5" s="1"/>
  <c r="M48" i="2"/>
  <c r="I48" i="2"/>
  <c r="K12" i="5" s="1"/>
  <c r="G48" i="2"/>
  <c r="U47" i="2"/>
  <c r="S47" i="2"/>
  <c r="O47" i="2"/>
  <c r="M11" i="5" s="1"/>
  <c r="N11" i="5" s="1"/>
  <c r="M47" i="2"/>
  <c r="I47" i="2"/>
  <c r="K11" i="5" s="1"/>
  <c r="G47" i="2"/>
  <c r="U46" i="2"/>
  <c r="S46" i="2"/>
  <c r="Q46" i="2"/>
  <c r="M46" i="2"/>
  <c r="O46" i="2" s="1"/>
  <c r="M10" i="5" s="1"/>
  <c r="I46" i="2"/>
  <c r="K10" i="5" s="1"/>
  <c r="L10" i="5" s="1"/>
  <c r="G46" i="2"/>
  <c r="S45" i="2"/>
  <c r="U45" i="2" s="1"/>
  <c r="O45" i="2"/>
  <c r="I45" i="2"/>
  <c r="T44" i="2"/>
  <c r="Q44" i="2"/>
  <c r="S44" i="2" s="1"/>
  <c r="M44" i="2"/>
  <c r="G44" i="2"/>
  <c r="U43" i="2"/>
  <c r="S43" i="2"/>
  <c r="Q43" i="2"/>
  <c r="M43" i="2"/>
  <c r="O43" i="2" s="1"/>
  <c r="M8" i="5" s="1"/>
  <c r="N8" i="5" s="1"/>
  <c r="I43" i="2"/>
  <c r="K8" i="5" s="1"/>
  <c r="L8" i="5" s="1"/>
  <c r="I32" i="4" s="1"/>
  <c r="G43" i="2"/>
  <c r="O42" i="2"/>
  <c r="S41" i="2"/>
  <c r="U41" i="2" s="1"/>
  <c r="O41" i="2"/>
  <c r="M7" i="5" s="1"/>
  <c r="N7" i="5" s="1"/>
  <c r="M41" i="2"/>
  <c r="G41" i="2"/>
  <c r="U40" i="2"/>
  <c r="I23" i="9" s="1"/>
  <c r="S40" i="2"/>
  <c r="M40" i="2"/>
  <c r="O40" i="2" s="1"/>
  <c r="I40" i="2"/>
  <c r="G40" i="2"/>
  <c r="M39" i="2"/>
  <c r="I39" i="2"/>
  <c r="G39" i="2"/>
  <c r="R34" i="2"/>
  <c r="Q34" i="2"/>
  <c r="L34" i="2"/>
  <c r="K34" i="2"/>
  <c r="K35" i="2" s="1"/>
  <c r="F34" i="2"/>
  <c r="U33" i="2"/>
  <c r="S33" i="2"/>
  <c r="M33" i="2"/>
  <c r="O33" i="2" s="1"/>
  <c r="D26" i="5" s="1"/>
  <c r="I33" i="2"/>
  <c r="B26" i="5" s="1"/>
  <c r="G33" i="2"/>
  <c r="S32" i="2"/>
  <c r="M32" i="2"/>
  <c r="G32" i="2"/>
  <c r="U31" i="2"/>
  <c r="S31" i="2"/>
  <c r="O31" i="2"/>
  <c r="D25" i="5" s="1"/>
  <c r="M31" i="2"/>
  <c r="I31" i="2"/>
  <c r="B25" i="5" s="1"/>
  <c r="G31" i="2"/>
  <c r="U30" i="2"/>
  <c r="S30" i="2"/>
  <c r="O30" i="2"/>
  <c r="D24" i="5" s="1"/>
  <c r="E22" i="5" s="1"/>
  <c r="M30" i="2"/>
  <c r="I30" i="2"/>
  <c r="B24" i="5" s="1"/>
  <c r="G30" i="2"/>
  <c r="U29" i="2"/>
  <c r="S29" i="2"/>
  <c r="O29" i="2"/>
  <c r="D27" i="5" s="1"/>
  <c r="M29" i="2"/>
  <c r="I29" i="2"/>
  <c r="B27" i="5" s="1"/>
  <c r="G29" i="2"/>
  <c r="U28" i="2"/>
  <c r="S28" i="2"/>
  <c r="O28" i="2"/>
  <c r="D23" i="5" s="1"/>
  <c r="M28" i="2"/>
  <c r="I28" i="2"/>
  <c r="B23" i="5" s="1"/>
  <c r="G28" i="2"/>
  <c r="U27" i="2"/>
  <c r="S27" i="2"/>
  <c r="O27" i="2"/>
  <c r="D22" i="5" s="1"/>
  <c r="M27" i="2"/>
  <c r="I27" i="2"/>
  <c r="B22" i="5" s="1"/>
  <c r="G27" i="2"/>
  <c r="S26" i="2"/>
  <c r="M26" i="2"/>
  <c r="G26" i="2"/>
  <c r="E26" i="2"/>
  <c r="E34" i="2" s="1"/>
  <c r="S25" i="2"/>
  <c r="U25" i="2" s="1"/>
  <c r="O25" i="2"/>
  <c r="D19" i="5" s="1"/>
  <c r="M25" i="2"/>
  <c r="G25" i="2"/>
  <c r="I25" i="2" s="1"/>
  <c r="B19" i="5" s="1"/>
  <c r="S24" i="2"/>
  <c r="S34" i="2" s="1"/>
  <c r="M24" i="2"/>
  <c r="O24" i="2" s="1"/>
  <c r="D20" i="5" s="1"/>
  <c r="G24" i="2"/>
  <c r="U21" i="2"/>
  <c r="R19" i="2"/>
  <c r="R35" i="2" s="1"/>
  <c r="Q19" i="2"/>
  <c r="Q35" i="2" s="1"/>
  <c r="S35" i="2" s="1"/>
  <c r="L19" i="2"/>
  <c r="L35" i="2" s="1"/>
  <c r="K19" i="2"/>
  <c r="H19" i="2"/>
  <c r="F19" i="2"/>
  <c r="F35" i="2" s="1"/>
  <c r="E19" i="2"/>
  <c r="G18" i="2"/>
  <c r="I18" i="2" s="1"/>
  <c r="B14" i="5" s="1"/>
  <c r="U17" i="2"/>
  <c r="S17" i="2"/>
  <c r="M17" i="2"/>
  <c r="O17" i="2" s="1"/>
  <c r="D13" i="5" s="1"/>
  <c r="G17" i="2"/>
  <c r="I17" i="2" s="1"/>
  <c r="B13" i="5" s="1"/>
  <c r="T16" i="2"/>
  <c r="S16" i="2"/>
  <c r="M16" i="2"/>
  <c r="O16" i="2" s="1"/>
  <c r="D12" i="5" s="1"/>
  <c r="I16" i="2"/>
  <c r="B12" i="5" s="1"/>
  <c r="G16" i="2"/>
  <c r="S15" i="2"/>
  <c r="U15" i="2" s="1"/>
  <c r="O15" i="2"/>
  <c r="D10" i="5" s="1"/>
  <c r="M15" i="2"/>
  <c r="G15" i="2"/>
  <c r="I15" i="2" s="1"/>
  <c r="B10" i="5" s="1"/>
  <c r="U14" i="2"/>
  <c r="S14" i="2"/>
  <c r="M14" i="2"/>
  <c r="O14" i="2" s="1"/>
  <c r="D11" i="5" s="1"/>
  <c r="I14" i="2"/>
  <c r="B11" i="5" s="1"/>
  <c r="G14" i="2"/>
  <c r="T13" i="2"/>
  <c r="S13" i="2"/>
  <c r="N19" i="2"/>
  <c r="M13" i="2"/>
  <c r="I13" i="2"/>
  <c r="B9" i="5" s="1"/>
  <c r="G13" i="2"/>
  <c r="S12" i="2"/>
  <c r="U12" i="2" s="1"/>
  <c r="O12" i="2"/>
  <c r="D8" i="5" s="1"/>
  <c r="M12" i="2"/>
  <c r="G12" i="2"/>
  <c r="G19" i="2" s="1"/>
  <c r="S11" i="2"/>
  <c r="O11" i="2"/>
  <c r="I11" i="2"/>
  <c r="U10" i="2"/>
  <c r="S10" i="2"/>
  <c r="M10" i="2"/>
  <c r="O10" i="2" s="1"/>
  <c r="D7" i="5" s="1"/>
  <c r="I10" i="2"/>
  <c r="B7" i="5" s="1"/>
  <c r="G10" i="2"/>
  <c r="S9" i="2"/>
  <c r="U9" i="2" s="1"/>
  <c r="O9" i="2"/>
  <c r="D6" i="5" s="1"/>
  <c r="M9" i="2"/>
  <c r="G9" i="2"/>
  <c r="I9" i="2" s="1"/>
  <c r="B6" i="5" s="1"/>
  <c r="U8" i="2"/>
  <c r="S8" i="2"/>
  <c r="M8" i="2"/>
  <c r="I8" i="2"/>
  <c r="B5" i="5" s="1"/>
  <c r="G8" i="2"/>
  <c r="C12" i="5" l="1"/>
  <c r="I29" i="4" s="1"/>
  <c r="G8" i="5"/>
  <c r="C7" i="5"/>
  <c r="I49" i="4" s="1"/>
  <c r="N14" i="5"/>
  <c r="N22" i="5"/>
  <c r="L26" i="5"/>
  <c r="O28" i="5"/>
  <c r="B41" i="5"/>
  <c r="C25" i="5"/>
  <c r="N10" i="5"/>
  <c r="N21" i="5"/>
  <c r="P6" i="5"/>
  <c r="P11" i="5"/>
  <c r="H34" i="3"/>
  <c r="B76" i="5" s="1"/>
  <c r="R66" i="2"/>
  <c r="F66" i="2"/>
  <c r="F74" i="2"/>
  <c r="F75" i="2" s="1"/>
  <c r="M52" i="2"/>
  <c r="M66" i="2" s="1"/>
  <c r="M74" i="2" s="1"/>
  <c r="S52" i="2"/>
  <c r="L66" i="2"/>
  <c r="L74" i="2" s="1"/>
  <c r="L75" i="2" s="1"/>
  <c r="G52" i="2"/>
  <c r="C11" i="5"/>
  <c r="E35" i="2"/>
  <c r="K66" i="2"/>
  <c r="K74" i="2" s="1"/>
  <c r="K75" i="2" s="1"/>
  <c r="S28" i="3"/>
  <c r="F27" i="8"/>
  <c r="G27" i="8" s="1"/>
  <c r="I20" i="8"/>
  <c r="F25" i="8"/>
  <c r="G25" i="8" s="1"/>
  <c r="K20" i="8"/>
  <c r="G29" i="3"/>
  <c r="N35" i="3"/>
  <c r="G73" i="2"/>
  <c r="H85" i="6"/>
  <c r="J85" i="6" s="1"/>
  <c r="H97" i="6"/>
  <c r="J97" i="6" s="1"/>
  <c r="H130" i="6"/>
  <c r="H76" i="6"/>
  <c r="J76" i="6" s="1"/>
  <c r="R71" i="2"/>
  <c r="G136" i="6"/>
  <c r="H136" i="6" s="1"/>
  <c r="U13" i="2"/>
  <c r="H28" i="3"/>
  <c r="I21" i="7"/>
  <c r="I27" i="7" s="1"/>
  <c r="H20" i="7"/>
  <c r="G35" i="7"/>
  <c r="B70" i="5"/>
  <c r="I11" i="9"/>
  <c r="H9" i="3"/>
  <c r="H27" i="8"/>
  <c r="J63" i="7"/>
  <c r="N52" i="2"/>
  <c r="N66" i="2" s="1"/>
  <c r="N74" i="2" s="1"/>
  <c r="K63" i="7"/>
  <c r="L60" i="7"/>
  <c r="L63" i="7" s="1"/>
  <c r="M8" i="3"/>
  <c r="M9" i="3" s="1"/>
  <c r="M43" i="7"/>
  <c r="O61" i="2"/>
  <c r="M25" i="5" s="1"/>
  <c r="N25" i="5" s="1"/>
  <c r="T28" i="3"/>
  <c r="L19" i="8"/>
  <c r="O13" i="2"/>
  <c r="D9" i="5" s="1"/>
  <c r="C9" i="5" s="1"/>
  <c r="U51" i="2"/>
  <c r="T65" i="2"/>
  <c r="F21" i="6"/>
  <c r="F24" i="6" s="1"/>
  <c r="F27" i="6" s="1"/>
  <c r="Q69" i="2"/>
  <c r="H32" i="6"/>
  <c r="J32" i="6" s="1"/>
  <c r="T19" i="2"/>
  <c r="U44" i="2"/>
  <c r="N7" i="3"/>
  <c r="T52" i="2"/>
  <c r="L12" i="5"/>
  <c r="U48" i="2"/>
  <c r="H23" i="9"/>
  <c r="M6" i="5"/>
  <c r="N6" i="5" s="1"/>
  <c r="O73" i="2"/>
  <c r="F194" i="6"/>
  <c r="G186" i="6"/>
  <c r="G190" i="6" s="1"/>
  <c r="F70" i="6"/>
  <c r="H69" i="6"/>
  <c r="J69" i="6" s="1"/>
  <c r="C10" i="5"/>
  <c r="I28" i="4" s="1"/>
  <c r="C26" i="5"/>
  <c r="E24" i="5"/>
  <c r="L23" i="5"/>
  <c r="E29" i="3"/>
  <c r="E32" i="3" s="1"/>
  <c r="H35" i="6"/>
  <c r="J35" i="6" s="1"/>
  <c r="F36" i="6"/>
  <c r="H99" i="6"/>
  <c r="J99" i="6" s="1"/>
  <c r="I12" i="2"/>
  <c r="B8" i="5" s="1"/>
  <c r="C8" i="5" s="1"/>
  <c r="B83" i="5" s="1"/>
  <c r="S19" i="2"/>
  <c r="G34" i="2"/>
  <c r="G35" i="2" s="1"/>
  <c r="U24" i="2"/>
  <c r="C22" i="5"/>
  <c r="B66" i="5" s="1"/>
  <c r="B67" i="5" s="1"/>
  <c r="B68" i="5" s="1"/>
  <c r="C27" i="5"/>
  <c r="O39" i="2"/>
  <c r="I41" i="2"/>
  <c r="K7" i="5" s="1"/>
  <c r="L7" i="5" s="1"/>
  <c r="I67" i="4" s="1"/>
  <c r="U59" i="2"/>
  <c r="U65" i="2" s="1"/>
  <c r="L27" i="5"/>
  <c r="I37" i="4" s="1"/>
  <c r="O71" i="2"/>
  <c r="E73" i="2"/>
  <c r="E74" i="2" s="1"/>
  <c r="S9" i="3"/>
  <c r="S29" i="3" s="1"/>
  <c r="S32" i="3" s="1"/>
  <c r="L9" i="3"/>
  <c r="L29" i="3" s="1"/>
  <c r="L32" i="3" s="1"/>
  <c r="L36" i="3" s="1"/>
  <c r="L40" i="3" s="1"/>
  <c r="G21" i="5"/>
  <c r="T66" i="7"/>
  <c r="U11" i="7"/>
  <c r="U64" i="7" s="1"/>
  <c r="C6" i="5"/>
  <c r="I50" i="4" s="1"/>
  <c r="C19" i="5"/>
  <c r="L14" i="5"/>
  <c r="E6" i="5"/>
  <c r="E20" i="5"/>
  <c r="G20" i="5"/>
  <c r="M19" i="2"/>
  <c r="O8" i="2"/>
  <c r="U16" i="2"/>
  <c r="U19" i="2" s="1"/>
  <c r="C13" i="5"/>
  <c r="I30" i="4" s="1"/>
  <c r="I24" i="2"/>
  <c r="L11" i="5"/>
  <c r="I35" i="4" s="1"/>
  <c r="O55" i="2"/>
  <c r="G65" i="2"/>
  <c r="R72" i="2"/>
  <c r="T7" i="3"/>
  <c r="T9" i="3" s="1"/>
  <c r="O16" i="5"/>
  <c r="E13" i="5"/>
  <c r="C14" i="5"/>
  <c r="I31" i="4" s="1"/>
  <c r="B95" i="5"/>
  <c r="B96" i="5" s="1"/>
  <c r="G62" i="6"/>
  <c r="H50" i="6"/>
  <c r="F51" i="6"/>
  <c r="F54" i="6"/>
  <c r="F161" i="6"/>
  <c r="F118" i="6"/>
  <c r="G143" i="6"/>
  <c r="G149" i="6" s="1"/>
  <c r="K19" i="5"/>
  <c r="I65" i="2"/>
  <c r="F9" i="3"/>
  <c r="F29" i="3" s="1"/>
  <c r="F32" i="3" s="1"/>
  <c r="F36" i="3" s="1"/>
  <c r="F40" i="3" s="1"/>
  <c r="E17" i="5"/>
  <c r="F27" i="5"/>
  <c r="F33" i="5" s="1"/>
  <c r="H68" i="6"/>
  <c r="J68" i="6" s="1"/>
  <c r="Q71" i="2"/>
  <c r="S71" i="2" s="1"/>
  <c r="U71" i="2" s="1"/>
  <c r="C23" i="5"/>
  <c r="C24" i="5"/>
  <c r="I51" i="4" s="1"/>
  <c r="M34" i="2"/>
  <c r="M35" i="2" s="1"/>
  <c r="K5" i="5"/>
  <c r="K6" i="5"/>
  <c r="L6" i="5" s="1"/>
  <c r="I25" i="9"/>
  <c r="I31" i="9"/>
  <c r="O44" i="2"/>
  <c r="M9" i="5" s="1"/>
  <c r="N9" i="5" s="1"/>
  <c r="O51" i="2"/>
  <c r="M15" i="5" s="1"/>
  <c r="L22" i="5"/>
  <c r="Q66" i="2"/>
  <c r="S66" i="2" s="1"/>
  <c r="R25" i="3"/>
  <c r="J29" i="3"/>
  <c r="J32" i="3" s="1"/>
  <c r="J36" i="3" s="1"/>
  <c r="J40" i="3" s="1"/>
  <c r="B72" i="5"/>
  <c r="E18" i="5"/>
  <c r="G19" i="5"/>
  <c r="G16" i="6"/>
  <c r="G19" i="6" s="1"/>
  <c r="H14" i="6"/>
  <c r="H48" i="6"/>
  <c r="J48" i="6" s="1"/>
  <c r="E10" i="5"/>
  <c r="G23" i="5"/>
  <c r="E23" i="5"/>
  <c r="B56" i="5"/>
  <c r="I72" i="6"/>
  <c r="F78" i="6"/>
  <c r="H77" i="6"/>
  <c r="J77" i="6" s="1"/>
  <c r="H86" i="6"/>
  <c r="J86" i="6" s="1"/>
  <c r="F87" i="6"/>
  <c r="H112" i="6"/>
  <c r="H115" i="6" s="1"/>
  <c r="J110" i="6"/>
  <c r="J112" i="6" s="1"/>
  <c r="H66" i="6"/>
  <c r="J66" i="6" s="1"/>
  <c r="J45" i="7"/>
  <c r="K35" i="7"/>
  <c r="E7" i="5"/>
  <c r="E11" i="5"/>
  <c r="E12" i="5"/>
  <c r="Q27" i="5"/>
  <c r="Q28" i="5" s="1"/>
  <c r="Q33" i="5" s="1"/>
  <c r="H101" i="6"/>
  <c r="J101" i="6" s="1"/>
  <c r="F103" i="6"/>
  <c r="H162" i="6"/>
  <c r="J117" i="6"/>
  <c r="J162" i="6" s="1"/>
  <c r="F149" i="6"/>
  <c r="P17" i="5"/>
  <c r="H158" i="6"/>
  <c r="J158" i="6" s="1"/>
  <c r="F187" i="6"/>
  <c r="H187" i="6" s="1"/>
  <c r="J187" i="6" s="1"/>
  <c r="H144" i="6"/>
  <c r="J144" i="6" s="1"/>
  <c r="T64" i="7"/>
  <c r="N27" i="7"/>
  <c r="K18" i="8"/>
  <c r="J8" i="8"/>
  <c r="L40" i="7"/>
  <c r="I11" i="8"/>
  <c r="H191" i="6"/>
  <c r="J191" i="6" s="1"/>
  <c r="Q11" i="7"/>
  <c r="Q67" i="7"/>
  <c r="P50" i="7"/>
  <c r="M45" i="7"/>
  <c r="P38" i="7"/>
  <c r="P27" i="7"/>
  <c r="E26" i="8"/>
  <c r="F30" i="8" s="1"/>
  <c r="B61" i="5" l="1"/>
  <c r="I57" i="4" s="1"/>
  <c r="B57" i="5"/>
  <c r="B58" i="5" s="1"/>
  <c r="I45" i="4"/>
  <c r="I27" i="4"/>
  <c r="O29" i="5"/>
  <c r="O33" i="5" s="1"/>
  <c r="B73" i="5"/>
  <c r="B74" i="5" s="1"/>
  <c r="I34" i="4"/>
  <c r="B84" i="5"/>
  <c r="B85" i="5" s="1"/>
  <c r="I25" i="4"/>
  <c r="F42" i="3"/>
  <c r="E36" i="3"/>
  <c r="E40" i="3" s="1"/>
  <c r="E42" i="3"/>
  <c r="B78" i="5"/>
  <c r="N8" i="3"/>
  <c r="G66" i="2"/>
  <c r="G74" i="2" s="1"/>
  <c r="G75" i="2" s="1"/>
  <c r="E75" i="2"/>
  <c r="I19" i="2"/>
  <c r="F26" i="8"/>
  <c r="G26" i="8" s="1"/>
  <c r="J26" i="8" s="1"/>
  <c r="J20" i="8"/>
  <c r="G32" i="3"/>
  <c r="F27" i="9"/>
  <c r="J27" i="8"/>
  <c r="H29" i="3"/>
  <c r="H32" i="3" s="1"/>
  <c r="H42" i="3" s="1"/>
  <c r="H52" i="2"/>
  <c r="H66" i="2" s="1"/>
  <c r="I44" i="2"/>
  <c r="U52" i="2"/>
  <c r="U66" i="2" s="1"/>
  <c r="E9" i="5"/>
  <c r="L25" i="5"/>
  <c r="I36" i="4" s="1"/>
  <c r="N9" i="3"/>
  <c r="T66" i="2"/>
  <c r="H143" i="6"/>
  <c r="M28" i="3"/>
  <c r="D5" i="5"/>
  <c r="O19" i="2"/>
  <c r="M31" i="5"/>
  <c r="E29" i="8"/>
  <c r="P52" i="7"/>
  <c r="P64" i="7" s="1"/>
  <c r="N50" i="7"/>
  <c r="T26" i="2" s="1"/>
  <c r="O42" i="7"/>
  <c r="H149" i="6"/>
  <c r="L5" i="5"/>
  <c r="I64" i="4" s="1"/>
  <c r="I69" i="4" s="1"/>
  <c r="B51" i="5"/>
  <c r="F38" i="6"/>
  <c r="H36" i="6"/>
  <c r="J36" i="6" s="1"/>
  <c r="B16" i="5"/>
  <c r="F154" i="6"/>
  <c r="H87" i="6"/>
  <c r="J87" i="6" s="1"/>
  <c r="F88" i="6"/>
  <c r="T68" i="7"/>
  <c r="R47" i="7"/>
  <c r="P40" i="7"/>
  <c r="L8" i="8"/>
  <c r="L20" i="8" s="1"/>
  <c r="J14" i="6"/>
  <c r="J16" i="6" s="1"/>
  <c r="J19" i="6" s="1"/>
  <c r="J21" i="6" s="1"/>
  <c r="J24" i="6" s="1"/>
  <c r="J27" i="6" s="1"/>
  <c r="H16" i="6"/>
  <c r="H19" i="6" s="1"/>
  <c r="H21" i="6" s="1"/>
  <c r="H24" i="6" s="1"/>
  <c r="H27" i="6" s="1"/>
  <c r="H51" i="6"/>
  <c r="H54" i="6" s="1"/>
  <c r="H56" i="6" s="1"/>
  <c r="H58" i="6" s="1"/>
  <c r="H60" i="6" s="1"/>
  <c r="J50" i="6"/>
  <c r="J51" i="6" s="1"/>
  <c r="J54" i="6" s="1"/>
  <c r="J56" i="6" s="1"/>
  <c r="J58" i="6" s="1"/>
  <c r="J60" i="6" s="1"/>
  <c r="F71" i="6"/>
  <c r="H70" i="6"/>
  <c r="H103" i="6"/>
  <c r="F105" i="6"/>
  <c r="F107" i="6" s="1"/>
  <c r="K28" i="5"/>
  <c r="B20" i="5"/>
  <c r="H118" i="6"/>
  <c r="H124" i="6" s="1"/>
  <c r="H126" i="6" s="1"/>
  <c r="H78" i="6"/>
  <c r="J78" i="6" s="1"/>
  <c r="F79" i="6"/>
  <c r="Q72" i="2"/>
  <c r="S72" i="2" s="1"/>
  <c r="G21" i="6"/>
  <c r="G24" i="6" s="1"/>
  <c r="G27" i="6" s="1"/>
  <c r="R69" i="2"/>
  <c r="T25" i="3"/>
  <c r="T29" i="3" s="1"/>
  <c r="R29" i="3"/>
  <c r="R32" i="3" s="1"/>
  <c r="R36" i="3" s="1"/>
  <c r="R40" i="3" s="1"/>
  <c r="G31" i="9"/>
  <c r="G25" i="9"/>
  <c r="F163" i="6"/>
  <c r="F171" i="6" s="1"/>
  <c r="H161" i="6"/>
  <c r="M19" i="5"/>
  <c r="L19" i="5" s="1"/>
  <c r="O65" i="2"/>
  <c r="O52" i="2"/>
  <c r="M5" i="5"/>
  <c r="J11" i="8"/>
  <c r="M75" i="2"/>
  <c r="H31" i="9"/>
  <c r="H25" i="9"/>
  <c r="B62" i="5" l="1"/>
  <c r="B63" i="5" s="1"/>
  <c r="B79" i="5"/>
  <c r="B80" i="5" s="1"/>
  <c r="I38" i="4"/>
  <c r="B52" i="5"/>
  <c r="B53" i="5" s="1"/>
  <c r="I52" i="4"/>
  <c r="G153" i="6"/>
  <c r="H153" i="6" s="1"/>
  <c r="G27" i="9"/>
  <c r="G36" i="3"/>
  <c r="G40" i="3" s="1"/>
  <c r="I153" i="6" s="1"/>
  <c r="I194" i="6" s="1"/>
  <c r="F12" i="9"/>
  <c r="K9" i="5"/>
  <c r="I52" i="2"/>
  <c r="I66" i="2" s="1"/>
  <c r="I20" i="9"/>
  <c r="I27" i="9" s="1"/>
  <c r="L20" i="9"/>
  <c r="L27" i="9" s="1"/>
  <c r="T32" i="3"/>
  <c r="H163" i="6"/>
  <c r="H171" i="6"/>
  <c r="F173" i="6"/>
  <c r="F176" i="6" s="1"/>
  <c r="F180" i="6" s="1"/>
  <c r="H79" i="6"/>
  <c r="J79" i="6" s="1"/>
  <c r="F80" i="6"/>
  <c r="M59" i="7"/>
  <c r="U26" i="2"/>
  <c r="G12" i="9"/>
  <c r="H36" i="3"/>
  <c r="H40" i="3" s="1"/>
  <c r="O52" i="7"/>
  <c r="O64" i="7" s="1"/>
  <c r="O66" i="7"/>
  <c r="N28" i="3"/>
  <c r="N29" i="3" s="1"/>
  <c r="M29" i="3"/>
  <c r="M32" i="3" s="1"/>
  <c r="M36" i="3" s="1"/>
  <c r="H105" i="6"/>
  <c r="H107" i="6" s="1"/>
  <c r="J103" i="6"/>
  <c r="J105" i="6" s="1"/>
  <c r="J107" i="6" s="1"/>
  <c r="R52" i="7"/>
  <c r="R64" i="7" s="1"/>
  <c r="Q42" i="7"/>
  <c r="H38" i="6"/>
  <c r="F39" i="6"/>
  <c r="F41" i="6" s="1"/>
  <c r="F43" i="6" s="1"/>
  <c r="Q70" i="2"/>
  <c r="R73" i="2"/>
  <c r="R74" i="2" s="1"/>
  <c r="R75" i="2" s="1"/>
  <c r="S69" i="2"/>
  <c r="U69" i="2" s="1"/>
  <c r="J70" i="6"/>
  <c r="J71" i="6" s="1"/>
  <c r="H71" i="6"/>
  <c r="J62" i="6"/>
  <c r="L11" i="8"/>
  <c r="F24" i="8"/>
  <c r="F89" i="6"/>
  <c r="F90" i="6" s="1"/>
  <c r="H88" i="6"/>
  <c r="M42" i="7"/>
  <c r="N52" i="7"/>
  <c r="N31" i="5"/>
  <c r="D16" i="5"/>
  <c r="C5" i="5"/>
  <c r="R5" i="5"/>
  <c r="E5" i="5"/>
  <c r="N5" i="5"/>
  <c r="M16" i="5"/>
  <c r="O66" i="2"/>
  <c r="O74" i="2" s="1"/>
  <c r="M28" i="5"/>
  <c r="N19" i="5"/>
  <c r="C20" i="5"/>
  <c r="I26" i="4" s="1"/>
  <c r="H62" i="6"/>
  <c r="H154" i="6"/>
  <c r="G194" i="6" l="1"/>
  <c r="H194" i="6" s="1"/>
  <c r="J194" i="6" s="1"/>
  <c r="G154" i="6"/>
  <c r="G155" i="6" s="1"/>
  <c r="F16" i="9"/>
  <c r="F32" i="9"/>
  <c r="F33" i="9" s="1"/>
  <c r="J153" i="6"/>
  <c r="F29" i="8"/>
  <c r="G24" i="8"/>
  <c r="K16" i="5"/>
  <c r="K29" i="5" s="1"/>
  <c r="L9" i="5"/>
  <c r="I33" i="4" s="1"/>
  <c r="M52" i="7"/>
  <c r="M64" i="7" s="1"/>
  <c r="I124" i="6"/>
  <c r="K42" i="7"/>
  <c r="J38" i="6"/>
  <c r="J39" i="6" s="1"/>
  <c r="J41" i="6" s="1"/>
  <c r="J43" i="6" s="1"/>
  <c r="H39" i="6"/>
  <c r="H41" i="6" s="1"/>
  <c r="H43" i="6" s="1"/>
  <c r="M29" i="5"/>
  <c r="M33" i="5" s="1"/>
  <c r="E33" i="8"/>
  <c r="Q52" i="7"/>
  <c r="Q64" i="7" s="1"/>
  <c r="Q66" i="7"/>
  <c r="I123" i="6" s="1"/>
  <c r="I142" i="6"/>
  <c r="M40" i="3"/>
  <c r="I148" i="6" s="1"/>
  <c r="J148" i="6" s="1"/>
  <c r="I9" i="9"/>
  <c r="I12" i="9" s="1"/>
  <c r="J24" i="8"/>
  <c r="J23" i="8"/>
  <c r="J88" i="6"/>
  <c r="J89" i="6" s="1"/>
  <c r="J90" i="6" s="1"/>
  <c r="H89" i="6"/>
  <c r="S70" i="2"/>
  <c r="U70" i="2" s="1"/>
  <c r="Q73" i="2"/>
  <c r="H20" i="9"/>
  <c r="H27" i="9" s="1"/>
  <c r="N32" i="3"/>
  <c r="K47" i="5"/>
  <c r="AC8" i="4" s="1"/>
  <c r="K42" i="5"/>
  <c r="F186" i="6"/>
  <c r="F190" i="6" s="1"/>
  <c r="K180" i="6"/>
  <c r="H180" i="6"/>
  <c r="F81" i="6"/>
  <c r="F155" i="6" s="1"/>
  <c r="H80" i="6"/>
  <c r="O68" i="7"/>
  <c r="G32" i="9"/>
  <c r="G33" i="9" s="1"/>
  <c r="G16" i="9"/>
  <c r="N60" i="7"/>
  <c r="T32" i="2"/>
  <c r="K43" i="7"/>
  <c r="I43" i="7" s="1"/>
  <c r="G43" i="7" s="1"/>
  <c r="H173" i="6"/>
  <c r="G195" i="6" l="1"/>
  <c r="G196" i="6" s="1"/>
  <c r="G29" i="8"/>
  <c r="H32" i="2"/>
  <c r="I32" i="2" s="1"/>
  <c r="B28" i="5" s="1"/>
  <c r="I189" i="6"/>
  <c r="J189" i="6" s="1"/>
  <c r="G30" i="8"/>
  <c r="Q68" i="7"/>
  <c r="I115" i="6"/>
  <c r="L50" i="7"/>
  <c r="K52" i="7"/>
  <c r="K64" i="7" s="1"/>
  <c r="I170" i="6"/>
  <c r="J123" i="6"/>
  <c r="J170" i="6" s="1"/>
  <c r="F195" i="6"/>
  <c r="F196" i="6" s="1"/>
  <c r="H90" i="6"/>
  <c r="I32" i="9"/>
  <c r="I33" i="9" s="1"/>
  <c r="I16" i="9"/>
  <c r="I171" i="6"/>
  <c r="I126" i="6"/>
  <c r="I130" i="6" s="1"/>
  <c r="U32" i="2"/>
  <c r="U34" i="2" s="1"/>
  <c r="U35" i="2" s="1"/>
  <c r="T34" i="2"/>
  <c r="T35" i="2" s="1"/>
  <c r="J80" i="6"/>
  <c r="J81" i="6" s="1"/>
  <c r="H81" i="6"/>
  <c r="J142" i="6"/>
  <c r="J185" i="6" s="1"/>
  <c r="I185" i="6"/>
  <c r="H176" i="6"/>
  <c r="K9" i="8"/>
  <c r="S35" i="3"/>
  <c r="S73" i="2"/>
  <c r="Q74" i="2"/>
  <c r="H186" i="6"/>
  <c r="H190" i="6" s="1"/>
  <c r="H195" i="6" s="1"/>
  <c r="H196" i="6" s="1"/>
  <c r="I52" i="7"/>
  <c r="O32" i="2"/>
  <c r="D28" i="5" s="1"/>
  <c r="N64" i="7"/>
  <c r="H9" i="9"/>
  <c r="H12" i="9" s="1"/>
  <c r="N36" i="3"/>
  <c r="N40" i="3" s="1"/>
  <c r="J50" i="7" l="1"/>
  <c r="H50" i="7" s="1"/>
  <c r="L52" i="7"/>
  <c r="L64" i="7" s="1"/>
  <c r="H30" i="8"/>
  <c r="J30" i="8" s="1"/>
  <c r="C28" i="5"/>
  <c r="B88" i="5" s="1"/>
  <c r="I20" i="4" s="1"/>
  <c r="I23" i="4" s="1"/>
  <c r="E26" i="5"/>
  <c r="G31" i="8"/>
  <c r="G32" i="8"/>
  <c r="I64" i="7"/>
  <c r="H32" i="9"/>
  <c r="H33" i="9" s="1"/>
  <c r="H16" i="9"/>
  <c r="T35" i="3"/>
  <c r="T36" i="3" s="1"/>
  <c r="T40" i="3" s="1"/>
  <c r="S36" i="3"/>
  <c r="S40" i="3" s="1"/>
  <c r="I134" i="6" s="1"/>
  <c r="I136" i="6" s="1"/>
  <c r="I173" i="6"/>
  <c r="J171" i="6"/>
  <c r="H155" i="6"/>
  <c r="I118" i="6"/>
  <c r="I161" i="6"/>
  <c r="J115" i="6"/>
  <c r="J118" i="6" s="1"/>
  <c r="J124" i="6" s="1"/>
  <c r="J126" i="6" s="1"/>
  <c r="J130" i="6" s="1"/>
  <c r="S74" i="2"/>
  <c r="S75" i="2" s="1"/>
  <c r="Q75" i="2"/>
  <c r="H25" i="8"/>
  <c r="H29" i="8" s="1"/>
  <c r="K11" i="8"/>
  <c r="B89" i="5" l="1"/>
  <c r="B90" i="5" s="1"/>
  <c r="I42" i="4"/>
  <c r="I46" i="4" s="1"/>
  <c r="V44" i="7"/>
  <c r="H26" i="2"/>
  <c r="G42" i="7"/>
  <c r="H52" i="7"/>
  <c r="F33" i="8"/>
  <c r="G33" i="8"/>
  <c r="J25" i="8"/>
  <c r="J29" i="8" s="1"/>
  <c r="H32" i="8"/>
  <c r="J32" i="8" s="1"/>
  <c r="T72" i="2"/>
  <c r="J136" i="6"/>
  <c r="I163" i="6"/>
  <c r="J161" i="6"/>
  <c r="J163" i="6" s="1"/>
  <c r="I176" i="6"/>
  <c r="J173" i="6"/>
  <c r="H31" i="8"/>
  <c r="J31" i="8" s="1"/>
  <c r="I179" i="6"/>
  <c r="J179" i="6" s="1"/>
  <c r="J134" i="6"/>
  <c r="J52" i="7"/>
  <c r="I149" i="6" l="1"/>
  <c r="K149" i="6" s="1"/>
  <c r="G52" i="7"/>
  <c r="H34" i="2"/>
  <c r="H35" i="2" s="1"/>
  <c r="I26" i="2"/>
  <c r="O26" i="2"/>
  <c r="N34" i="2"/>
  <c r="N35" i="2" s="1"/>
  <c r="N75" i="2" s="1"/>
  <c r="T73" i="2"/>
  <c r="T74" i="2" s="1"/>
  <c r="T75" i="2" s="1"/>
  <c r="U72" i="2"/>
  <c r="U73" i="2" s="1"/>
  <c r="U74" i="2" s="1"/>
  <c r="U75" i="2" s="1"/>
  <c r="J33" i="8"/>
  <c r="I180" i="6"/>
  <c r="J176" i="6"/>
  <c r="J64" i="7"/>
  <c r="J143" i="6"/>
  <c r="J149" i="6" s="1"/>
  <c r="H33" i="8"/>
  <c r="B21" i="5" l="1"/>
  <c r="B29" i="5" s="1"/>
  <c r="B33" i="5" s="1"/>
  <c r="I34" i="2"/>
  <c r="I35" i="2" s="1"/>
  <c r="I190" i="6"/>
  <c r="I195" i="6" s="1"/>
  <c r="J180" i="6"/>
  <c r="J190" i="6" s="1"/>
  <c r="J195" i="6" s="1"/>
  <c r="J154" i="6"/>
  <c r="I154" i="6"/>
  <c r="I155" i="6" s="1"/>
  <c r="H72" i="2" s="1"/>
  <c r="D21" i="5"/>
  <c r="O34" i="2"/>
  <c r="O35" i="2" s="1"/>
  <c r="O75" i="2" s="1"/>
  <c r="J155" i="6" l="1"/>
  <c r="J196" i="6"/>
  <c r="H73" i="2"/>
  <c r="H74" i="2" s="1"/>
  <c r="H75" i="2" s="1"/>
  <c r="I72" i="2"/>
  <c r="I73" i="2" s="1"/>
  <c r="I196" i="6"/>
  <c r="C21" i="5"/>
  <c r="B45" i="5" s="1"/>
  <c r="E19" i="5"/>
  <c r="D29" i="5"/>
  <c r="D33" i="5" s="1"/>
  <c r="M35" i="5" s="1"/>
  <c r="B46" i="5" l="1"/>
  <c r="B47" i="5" s="1"/>
  <c r="I54" i="4"/>
  <c r="I58" i="4" s="1"/>
  <c r="I70" i="4" s="1"/>
  <c r="I72" i="4" s="1"/>
  <c r="I74" i="4" s="1"/>
  <c r="I75" i="4" s="1"/>
  <c r="K31" i="5"/>
  <c r="I74" i="2"/>
  <c r="I75" i="2" s="1"/>
  <c r="L31" i="5" l="1"/>
  <c r="K43" i="5" s="1"/>
  <c r="K33" i="5"/>
  <c r="K35" i="5" s="1"/>
</calcChain>
</file>

<file path=xl/sharedStrings.xml><?xml version="1.0" encoding="utf-8"?>
<sst xmlns="http://schemas.openxmlformats.org/spreadsheetml/2006/main" count="747" uniqueCount="451">
  <si>
    <t>1.</t>
  </si>
  <si>
    <t>ESTADOS DE SITUACION FINANCIERA COMBINADOS</t>
  </si>
  <si>
    <t>2.</t>
  </si>
  <si>
    <t>ESTADOS DE RESULTADOS COMBINADOS</t>
  </si>
  <si>
    <t>3.</t>
  </si>
  <si>
    <t>FLUJOS DE EFECTIVO COMBINADOS</t>
  </si>
  <si>
    <t>4.</t>
  </si>
  <si>
    <t>MOVIMIENTO DEL PATRIMONIO DE ACCIONISTAS COMIBINADOS</t>
  </si>
  <si>
    <t>5.</t>
  </si>
  <si>
    <t>ASIENTOS CONTABLES DE COMBINACION</t>
  </si>
  <si>
    <t>6.</t>
  </si>
  <si>
    <t>RATIOS FINANCIEROS</t>
  </si>
  <si>
    <t>TELCONET Y COMPAÑÍA RELACIONADA</t>
  </si>
  <si>
    <t>Al 31 de diciembre del 2020 y 2019</t>
  </si>
  <si>
    <t>(Expresado en dolares estadounidenses)</t>
  </si>
  <si>
    <t>Ajustes de</t>
  </si>
  <si>
    <t>Telconet</t>
  </si>
  <si>
    <t>Megadatos</t>
  </si>
  <si>
    <t>Suman</t>
  </si>
  <si>
    <t>Combinacion</t>
  </si>
  <si>
    <t>Combinado</t>
  </si>
  <si>
    <t>ACTIVOS</t>
  </si>
  <si>
    <t>Activos Corrientes:</t>
  </si>
  <si>
    <t>Efectivo y equivalentes de efectivo</t>
  </si>
  <si>
    <t>Activos financieros a valor razonable</t>
  </si>
  <si>
    <t>Inversiones mantenidas hasta el vencimiento</t>
  </si>
  <si>
    <t>Cuentas por cobrar:</t>
  </si>
  <si>
    <t>…Comerciales</t>
  </si>
  <si>
    <t>…Compañias relacionadas</t>
  </si>
  <si>
    <t>…Otras cuentas por cobrar</t>
  </si>
  <si>
    <t>Impuestos por recuperar</t>
  </si>
  <si>
    <t>Anticipos a proveedores</t>
  </si>
  <si>
    <t>Inventarios</t>
  </si>
  <si>
    <t>Otros Activos corrientes</t>
  </si>
  <si>
    <t>Total Activos Corrientes</t>
  </si>
  <si>
    <t>Activos de grupo enajenable clasificados como mantenidos para la venta</t>
  </si>
  <si>
    <t>Activos no Corrientes:</t>
  </si>
  <si>
    <t>Cuentas por cobrar a compañías relacionadas</t>
  </si>
  <si>
    <t>Otras cuentas por cobrar</t>
  </si>
  <si>
    <t>Propiedades y equipos</t>
  </si>
  <si>
    <t>Propiedades de inversion</t>
  </si>
  <si>
    <t>Activos intangibles</t>
  </si>
  <si>
    <t>Activos por derechos de uso</t>
  </si>
  <si>
    <t>Inversiones en derechos fiduciarios</t>
  </si>
  <si>
    <t>Inversiones en subsidiarias y asociadas</t>
  </si>
  <si>
    <t>Activo por impuesto diferido</t>
  </si>
  <si>
    <t>Otros activos</t>
  </si>
  <si>
    <t>Total Activos no Corrientes</t>
  </si>
  <si>
    <t xml:space="preserve">TOTAL ACTIVOS  </t>
  </si>
  <si>
    <t>PASIVOS Y PATRIMONIO</t>
  </si>
  <si>
    <t>Pasivos Corrientes:</t>
  </si>
  <si>
    <t>Sobregiros bancarios</t>
  </si>
  <si>
    <t>Porción corriente de obligaciones financieras</t>
  </si>
  <si>
    <t>Porcion corriente de valores emitidos</t>
  </si>
  <si>
    <t>Cuentas por pagar:</t>
  </si>
  <si>
    <t>…Proveedores</t>
  </si>
  <si>
    <t>…Impuesto a la renta por pagar</t>
  </si>
  <si>
    <t>…Impuestos por pagar</t>
  </si>
  <si>
    <t>…Otras cuentas por pagar</t>
  </si>
  <si>
    <t>Pasivos del contrato</t>
  </si>
  <si>
    <t>Beneficios sociales</t>
  </si>
  <si>
    <t>Pasivos por arrendamiento</t>
  </si>
  <si>
    <t>Pasivo contingente</t>
  </si>
  <si>
    <t>Total Pasivos Corrientes</t>
  </si>
  <si>
    <t>Pasivos no Corrientes:</t>
  </si>
  <si>
    <t>Prestamos y obligaciones financieras</t>
  </si>
  <si>
    <t xml:space="preserve">Valores emitidos </t>
  </si>
  <si>
    <t>…Relacionadas</t>
  </si>
  <si>
    <t>Jubilacion patronal y desahucio</t>
  </si>
  <si>
    <t>Total Pasivos no Corrientes</t>
  </si>
  <si>
    <t xml:space="preserve">TOTAL PASIVOS  </t>
  </si>
  <si>
    <t>Patrimonio:</t>
  </si>
  <si>
    <t>Capital</t>
  </si>
  <si>
    <t>Aportes para futuras capitalizaciones</t>
  </si>
  <si>
    <t>Reservas</t>
  </si>
  <si>
    <t>Resultados acumulados</t>
  </si>
  <si>
    <t>Total Patrimonio</t>
  </si>
  <si>
    <t>TOTAL PASIVOS Y PATRIMONIO</t>
  </si>
  <si>
    <t>ING. MARIO ALMEIDA REDROVAN</t>
  </si>
  <si>
    <t xml:space="preserve">                  AUDITOR INTERNO</t>
  </si>
  <si>
    <t>ESTADOS DE RESULTADOS INTEGRALES COMBINADOS</t>
  </si>
  <si>
    <t>combinacion</t>
  </si>
  <si>
    <t>Ingresos por ventas</t>
  </si>
  <si>
    <t>Costo de ventas</t>
  </si>
  <si>
    <t>Utilidad bruta</t>
  </si>
  <si>
    <t>Gastos de administracion y ventas</t>
  </si>
  <si>
    <t>…Remuneraciones  y beneficios a empleados</t>
  </si>
  <si>
    <t>…Mantenimientos y reparaciones</t>
  </si>
  <si>
    <t>…15% participacion a trabajadores</t>
  </si>
  <si>
    <t>…Depreciaciones y amortizaciones</t>
  </si>
  <si>
    <t>…Servicio Cash Management</t>
  </si>
  <si>
    <t>…Honorarios profesionales</t>
  </si>
  <si>
    <t>…Otros impuestos y contribuciones</t>
  </si>
  <si>
    <t>…Gastos de viaje y gestion</t>
  </si>
  <si>
    <t>…Servicios de publicidad</t>
  </si>
  <si>
    <t>…Servicios basicos</t>
  </si>
  <si>
    <t>…Suministros de oficina</t>
  </si>
  <si>
    <t>…Seguros</t>
  </si>
  <si>
    <t>…Otros gastos de administracion y ventas</t>
  </si>
  <si>
    <t>Total gastos de administracion y ventas</t>
  </si>
  <si>
    <t>Otros ingresos operacionales</t>
  </si>
  <si>
    <t>Otros ingresos (gastos), neto</t>
  </si>
  <si>
    <t>Utilidad operacional</t>
  </si>
  <si>
    <t>Gastos financieros, neto</t>
  </si>
  <si>
    <t>Utilidad antes de impuesto a la renta</t>
  </si>
  <si>
    <t>Participación a trabajadores</t>
  </si>
  <si>
    <t xml:space="preserve">Impuesto a la renta </t>
  </si>
  <si>
    <t>Utilidad neta y resultado integral del año</t>
  </si>
  <si>
    <t>Otros resultados integrales:</t>
  </si>
  <si>
    <t>Nuevas mediciones de los planes de beneficio definido - Ganancias (perdidas) actuariales</t>
  </si>
  <si>
    <t>ESTADOS DE FLUJOS DE EFECTIVO COMBINADOS</t>
  </si>
  <si>
    <t>Flujo de efectivo de las actividades de operación:</t>
  </si>
  <si>
    <t>Utilidad antes de Impuesto a la Renta</t>
  </si>
  <si>
    <t>Más cargos (menos créditos) a resultados que no representan movimiento de efectivo:</t>
  </si>
  <si>
    <t>Provisión por deterioro de cuentas por cobrar</t>
  </si>
  <si>
    <t>Provisión por deterioro de otras cuentas por cobrar</t>
  </si>
  <si>
    <t>Depreciación de propiedades y equipos</t>
  </si>
  <si>
    <t>Depreciación de propiedades de inversión</t>
  </si>
  <si>
    <t>Depreciación de activos por derechos de uso</t>
  </si>
  <si>
    <t>Bajas de activos fijos</t>
  </si>
  <si>
    <t>Amortización de activos intangibles</t>
  </si>
  <si>
    <t>Participación de los trabajadores en las utilidades</t>
  </si>
  <si>
    <t>Provisión para jubilación patronal y desahucio</t>
  </si>
  <si>
    <t>Variación de impuestos diferidos</t>
  </si>
  <si>
    <t>Otros movimientos menores en el patrimonio</t>
  </si>
  <si>
    <t>Impuesto diferido</t>
  </si>
  <si>
    <t>Cambios en activos y pasivos:</t>
  </si>
  <si>
    <t>Cuentas por cobrar comerciales</t>
  </si>
  <si>
    <t>Cuentas por pagar a proveedores</t>
  </si>
  <si>
    <t>Cuentas por pagar a compañías relacionadas</t>
  </si>
  <si>
    <t>Impuestos por pagar</t>
  </si>
  <si>
    <t>Otras cuentas por pagar</t>
  </si>
  <si>
    <t>Beneficios sociales de largo plazo</t>
  </si>
  <si>
    <t>Ingresos diferidos</t>
  </si>
  <si>
    <t>Provisiones</t>
  </si>
  <si>
    <t>Efectivo generado por las actividades de operación</t>
  </si>
  <si>
    <t>Impuesto a la renta pagado</t>
  </si>
  <si>
    <t>Pago de participación de trabajadores en las utilidades</t>
  </si>
  <si>
    <t>Pagos de jubilación patronal y desahucio</t>
  </si>
  <si>
    <t>Efectivo neto (utilizado en) provisto por las actividades de operación</t>
  </si>
  <si>
    <t>Flujo de efectivo de las actividades de inversión:</t>
  </si>
  <si>
    <t>Disminución (aumento) de inversiones mantenidas hasta el vencimiento</t>
  </si>
  <si>
    <t>Disminución (aumento) de activos financieros a valor razonable</t>
  </si>
  <si>
    <t>Aumento de inversiones en derechos fiduciarios</t>
  </si>
  <si>
    <t>Activos por derechos de uso (pagos)</t>
  </si>
  <si>
    <t>Aumento de inversiones en subsidiarias y asociadas</t>
  </si>
  <si>
    <t>Adiciones de propiedades y equipos</t>
  </si>
  <si>
    <t>Ventas de propiedades de inversión</t>
  </si>
  <si>
    <t>Ventas de activos de grupo enajenable clasificados como mantenidos para la venta</t>
  </si>
  <si>
    <t>Adiciones de activos intangibles</t>
  </si>
  <si>
    <t>Efectivo neto provisto por (utilizado en) las actividades de inversión</t>
  </si>
  <si>
    <t>Flujo de efectivo de las actividades de financiamiento:</t>
  </si>
  <si>
    <t>Obligaciones financieras, neto</t>
  </si>
  <si>
    <t>Pago capital de pasivo por arrendamiento</t>
  </si>
  <si>
    <t>Emisión de obligaciones, neto</t>
  </si>
  <si>
    <t>Pagos de emisión de obligaciones</t>
  </si>
  <si>
    <t>Efectivo neto (utilizado en) provisto por las actividades de financiamiento</t>
  </si>
  <si>
    <t>FlUJOS DE EFECTIVO NETOS</t>
  </si>
  <si>
    <t>(Disminución) incremento neto de efectivo</t>
  </si>
  <si>
    <t>Efectivo y equivalentes de efectivo al inicio del año</t>
  </si>
  <si>
    <t>Efectivo y equivalentes de efectivo al final del año</t>
  </si>
  <si>
    <r>
      <rPr>
        <sz val="9"/>
        <rFont val="Arial"/>
        <family val="2"/>
        <charset val="1"/>
      </rPr>
      <t xml:space="preserve">        </t>
    </r>
    <r>
      <rPr>
        <u/>
        <sz val="9"/>
        <rFont val="Arial"/>
        <family val="2"/>
        <charset val="1"/>
      </rPr>
      <t>Activo</t>
    </r>
  </si>
  <si>
    <r>
      <rPr>
        <sz val="9"/>
        <rFont val="Arial"/>
        <family val="2"/>
        <charset val="1"/>
      </rPr>
      <t xml:space="preserve">        </t>
    </r>
    <r>
      <rPr>
        <u/>
        <sz val="9"/>
        <rFont val="Arial"/>
        <family val="2"/>
        <charset val="1"/>
      </rPr>
      <t>Pasivo y patrimonio</t>
    </r>
  </si>
  <si>
    <t>ACTIVO CORRIENTE</t>
  </si>
  <si>
    <t>PASIVO CORRIENTE</t>
  </si>
  <si>
    <t>Efectivo y Equivalentes de efectivo</t>
  </si>
  <si>
    <t>Sobregiros Bancarios</t>
  </si>
  <si>
    <t>Activos Financieros a valor razonable</t>
  </si>
  <si>
    <t>Porción corriente de las obligaciones financieras</t>
  </si>
  <si>
    <t>Porción corriente de valores emitidos</t>
  </si>
  <si>
    <t>Clientes</t>
  </si>
  <si>
    <t>Proveedores</t>
  </si>
  <si>
    <t>Compañías relacionadas</t>
  </si>
  <si>
    <t>Compañias relacionadas</t>
  </si>
  <si>
    <t>Otros impuestos por pagar</t>
  </si>
  <si>
    <t xml:space="preserve"> Pasivos por arrendamientos</t>
  </si>
  <si>
    <t>Otros Activos Corrientes</t>
  </si>
  <si>
    <t>Beneficios Sociales</t>
  </si>
  <si>
    <t>Pasivos Contingentes</t>
  </si>
  <si>
    <t>Total del activo corriente</t>
  </si>
  <si>
    <t>Total pasivos corrientes</t>
  </si>
  <si>
    <t>ACTIVO NO CORRIENTE</t>
  </si>
  <si>
    <t>PASIVO NO CORRIENTE</t>
  </si>
  <si>
    <t>Obligaciones Financieras</t>
  </si>
  <si>
    <t>Valores emitidos</t>
  </si>
  <si>
    <t>Propiedad y equipos, neto</t>
  </si>
  <si>
    <t>Propiedades de Inversión</t>
  </si>
  <si>
    <t>Activos Intangibles</t>
  </si>
  <si>
    <t>Jubilación Patronal y Bonifcación por desahucio</t>
  </si>
  <si>
    <t>Inversiones en asociadas</t>
  </si>
  <si>
    <t>Pasivos por arrendamientos L/P</t>
  </si>
  <si>
    <t>Total pasivos no corrientes</t>
  </si>
  <si>
    <t>Total del activo no corriente</t>
  </si>
  <si>
    <t>Total pasivos</t>
  </si>
  <si>
    <t>PATRIMONIO (según estado adjunto)</t>
  </si>
  <si>
    <t xml:space="preserve">      Total del activo</t>
  </si>
  <si>
    <t xml:space="preserve">    Total del pasivo y patrimonio</t>
  </si>
  <si>
    <t>INVERSIONES EN ASOCIADAS</t>
  </si>
  <si>
    <t>VARIACION DE PATRIMONIO</t>
  </si>
  <si>
    <t>VPP</t>
  </si>
  <si>
    <t>Utilidad neta</t>
  </si>
  <si>
    <t>Adiciones netas</t>
  </si>
  <si>
    <t>Variación</t>
  </si>
  <si>
    <t>Otras variaciones netas</t>
  </si>
  <si>
    <t>ACTIVOS FIJOS</t>
  </si>
  <si>
    <t>Gasto de depreciación</t>
  </si>
  <si>
    <t>Más Provision de impuesto a la renta</t>
  </si>
  <si>
    <t>Utilidad antes de IR</t>
  </si>
  <si>
    <t>ACTIVOS POR DERECHOS DE USO</t>
  </si>
  <si>
    <t>Registro contra pasivos por arrendamiento</t>
  </si>
  <si>
    <t>Pagos netos</t>
  </si>
  <si>
    <t>JUBILACION Y DESAHUCIO</t>
  </si>
  <si>
    <t>Provision del periodo</t>
  </si>
  <si>
    <t>Pagos, neto</t>
  </si>
  <si>
    <t>ACTIVOS INTANGIBLES</t>
  </si>
  <si>
    <t>Amortizacion del periodo</t>
  </si>
  <si>
    <t>PROPIEDADES DE INVERSION</t>
  </si>
  <si>
    <t>Amortizacion</t>
  </si>
  <si>
    <t>Variacion</t>
  </si>
  <si>
    <t xml:space="preserve">IMPUESTOS POR PAGAR </t>
  </si>
  <si>
    <t>Provision de impuesto a la renta</t>
  </si>
  <si>
    <t>Pago de impuesto a la renta</t>
  </si>
  <si>
    <t>Otros movimientos netos</t>
  </si>
  <si>
    <t>BENEFICIOS SOCIALES POR PAGAR</t>
  </si>
  <si>
    <t>Provision 15% PT</t>
  </si>
  <si>
    <t>Pago de 15% PT</t>
  </si>
  <si>
    <t>CUENTAS POR COBRAR COMERCIALES</t>
  </si>
  <si>
    <t>Provision para incobrables</t>
  </si>
  <si>
    <t>Variacion en cuentas por cobrar comerciales</t>
  </si>
  <si>
    <t>IMPUESTO DIFERIDO</t>
  </si>
  <si>
    <t>Cargo (abono) a resultados</t>
  </si>
  <si>
    <t>PASIVOS POR ARRENDAMIENTO</t>
  </si>
  <si>
    <t>Registro contra derechos de uso</t>
  </si>
  <si>
    <t>ESTADO DE CAMBIOS EN EL PATRIMONIO DE ACCIONISTAS COMBINADO</t>
  </si>
  <si>
    <t>POR LOS AÑOS TERMINADOS EL 31 DE DICIEMBRE DEL 2020 y 2019</t>
  </si>
  <si>
    <t>CAPITAL SOCIAL</t>
  </si>
  <si>
    <t>Saldos previamente reportados al 1o. de enero 2015</t>
  </si>
  <si>
    <t>Saldos reestructurados al 1o. de enero 2015</t>
  </si>
  <si>
    <t>Aumento de capital 30/03/2015</t>
  </si>
  <si>
    <t>Aumento de capital 10/07/2015</t>
  </si>
  <si>
    <t>Aumento de capital 23/09/2015</t>
  </si>
  <si>
    <t xml:space="preserve">Aumento de capital 17/12/2015 </t>
  </si>
  <si>
    <t>Saldo al 1o. de enero del 2016</t>
  </si>
  <si>
    <t>Capitalización de utilidades</t>
  </si>
  <si>
    <t>Saldo al 1o. de enero del 2017 (reexpresado)</t>
  </si>
  <si>
    <t>Aumento de capital 14/07/2017</t>
  </si>
  <si>
    <t>Saldo al 31 de diciembre del 2017</t>
  </si>
  <si>
    <t>Saldo al 31 de diciembre del 2018</t>
  </si>
  <si>
    <t>Aumento de capital según Acta de Accionistas</t>
  </si>
  <si>
    <t>Baja de Capital</t>
  </si>
  <si>
    <t>Saldo al 31 de diciembre del 2019</t>
  </si>
  <si>
    <t>Apropiación reserva legal</t>
  </si>
  <si>
    <t>Saldo al 31 de diciembre del 2020</t>
  </si>
  <si>
    <t>APORTES PARA FUTURAS CAPITALIZACIONES</t>
  </si>
  <si>
    <t>Saldos previamente reportados al 1o. de enero 2014</t>
  </si>
  <si>
    <t>Aporte para futuras capitalizaciones</t>
  </si>
  <si>
    <t>Devolución de aporte de accionistas 13 enero 2015</t>
  </si>
  <si>
    <t>Aplicación de aporte de accionistas a cuentas por cobrar según Acta de Junta de Accionistas del 29 de diciembre de 2017</t>
  </si>
  <si>
    <t>Baja de capital</t>
  </si>
  <si>
    <t>RESERVA LEGAL</t>
  </si>
  <si>
    <t>Transf a . Reserva Legal</t>
  </si>
  <si>
    <t>Apropiacion de reserva legal</t>
  </si>
  <si>
    <t>Saldo al 1o. de enero del 2016 (reexpresado)</t>
  </si>
  <si>
    <t>Incremento a la Reserva Legal Ajuste en 2018</t>
  </si>
  <si>
    <t>Saldos al 31 de diciembre del 2016</t>
  </si>
  <si>
    <t>Saldos al 31 de diciembre del 2017</t>
  </si>
  <si>
    <t>Incremento de la Reserva legal</t>
  </si>
  <si>
    <t>RESERVA FACULTATIVA</t>
  </si>
  <si>
    <t>Saldos al 1o. de enero del 2016</t>
  </si>
  <si>
    <t>Saldos al 1o. de enero del 2016 (reexpresado)</t>
  </si>
  <si>
    <t>Reservas totales</t>
  </si>
  <si>
    <t>RESULTADOS ACUMULADOS - RESERVA DE CAPITAL</t>
  </si>
  <si>
    <t>Saldos al 31 de diciembre del 2018</t>
  </si>
  <si>
    <t>Saldos al 31 de diciembre del 2019</t>
  </si>
  <si>
    <t xml:space="preserve">RESULTADOS ACUMULADOS - POR APLICACIÓN NIIF </t>
  </si>
  <si>
    <t>Saldos reestructurados al 31 de diciembre del 2015</t>
  </si>
  <si>
    <t>OTROS RESULTADOS INTEGRALES</t>
  </si>
  <si>
    <t>Adopción cambios NIC 19</t>
  </si>
  <si>
    <t>Saldos reestructurados al 1o. Enero 2015</t>
  </si>
  <si>
    <t xml:space="preserve">Utilidad neta y resultado integral del año </t>
  </si>
  <si>
    <t>RESULTADOS ACUMULADOS</t>
  </si>
  <si>
    <t>Corrección de errores</t>
  </si>
  <si>
    <t>Saldos reestructurados al 1 de enero del 2015</t>
  </si>
  <si>
    <t>Transferencia a Reserva Legal</t>
  </si>
  <si>
    <t>Adopcion NIC 19</t>
  </si>
  <si>
    <t>Reestructuración de saldos iniciales</t>
  </si>
  <si>
    <t>Saldos reestructurados al 1o. de enero del 2015</t>
  </si>
  <si>
    <t>Incremento de capital</t>
  </si>
  <si>
    <t>Utilidad neta reestructurada y resultado integral del año</t>
  </si>
  <si>
    <t>Correccion de pasivos con Accionistas</t>
  </si>
  <si>
    <t>Saldo al 1o. de enero del 2016, reexpresado</t>
  </si>
  <si>
    <t>Capitalizacion de utilidades</t>
  </si>
  <si>
    <t>Aumento de capital según Acta de Junta de Accionistas del 14 de julio de 2017</t>
  </si>
  <si>
    <t>Otros ajustes menores</t>
  </si>
  <si>
    <t>Eefecto de implantación de la NIIF 9</t>
  </si>
  <si>
    <t xml:space="preserve">Pago de dividendos </t>
  </si>
  <si>
    <t xml:space="preserve">Resultado del ejercicio </t>
  </si>
  <si>
    <t>Efecto de implantacion de la NIIF 16</t>
  </si>
  <si>
    <t>Aumento de capital</t>
  </si>
  <si>
    <t>Resultados acumulados totales</t>
  </si>
  <si>
    <t>TOTAL DEL PATRIMONIO</t>
  </si>
  <si>
    <t>Otros resultados integrales reestructurados</t>
  </si>
  <si>
    <t>Saldos al 31 de diciembre del 2015</t>
  </si>
  <si>
    <t xml:space="preserve">Otros resultados integrales </t>
  </si>
  <si>
    <t>Resultado del ejercicio y otros resultados integrales</t>
  </si>
  <si>
    <t>Saldos al 31 de diciembre del 2020</t>
  </si>
  <si>
    <t>ASIENTOS DE COMBINACION</t>
  </si>
  <si>
    <t>Al 31 de diciembre del 2019 y 2018</t>
  </si>
  <si>
    <t>DEBITO</t>
  </si>
  <si>
    <t>CREDITO</t>
  </si>
  <si>
    <t>-1-</t>
  </si>
  <si>
    <r>
      <rPr>
        <u/>
        <sz val="11"/>
        <color rgb="FF000000"/>
        <rFont val="Calibri"/>
        <family val="2"/>
        <charset val="1"/>
      </rPr>
      <t>Ingresos Megadatos</t>
    </r>
    <r>
      <rPr>
        <sz val="11"/>
        <color rgb="FF000000"/>
        <rFont val="Calibri"/>
        <family val="2"/>
        <charset val="1"/>
      </rPr>
      <t>.-</t>
    </r>
  </si>
  <si>
    <t>Utilidades Retenidas del Ejercicio.-</t>
  </si>
  <si>
    <r>
      <rPr>
        <u/>
        <sz val="11"/>
        <color rgb="FF000000"/>
        <rFont val="Calibri"/>
        <family val="2"/>
        <charset val="1"/>
      </rPr>
      <t>à Costo de Ventas Telconet</t>
    </r>
    <r>
      <rPr>
        <sz val="11"/>
        <color rgb="FF000000"/>
        <rFont val="Calibri"/>
        <family val="2"/>
        <charset val="1"/>
      </rPr>
      <t xml:space="preserve">.- </t>
    </r>
  </si>
  <si>
    <t>Eliminacion de ventas de servicios de Megadatos a Telconet</t>
  </si>
  <si>
    <t>SUMAN</t>
  </si>
  <si>
    <t>-2-</t>
  </si>
  <si>
    <r>
      <rPr>
        <u/>
        <sz val="11"/>
        <color rgb="FF000000"/>
        <rFont val="Calibri"/>
        <family val="2"/>
        <charset val="1"/>
      </rPr>
      <t>Cuenta por Pagar relacionadas C/P (Telconet)</t>
    </r>
    <r>
      <rPr>
        <sz val="11"/>
        <color rgb="FF000000"/>
        <rFont val="Calibri"/>
        <family val="2"/>
        <charset val="1"/>
      </rPr>
      <t>.-</t>
    </r>
  </si>
  <si>
    <t>Otros ingresos (gastos), neto .-</t>
  </si>
  <si>
    <t>Utilidades Retenidas al Principio del Periodo.-</t>
  </si>
  <si>
    <r>
      <rPr>
        <u/>
        <sz val="11"/>
        <color rgb="FF000000"/>
        <rFont val="Calibri"/>
        <family val="2"/>
        <charset val="1"/>
      </rPr>
      <t>à Cuenta por Cobrar relacionadas, C/P</t>
    </r>
    <r>
      <rPr>
        <sz val="11"/>
        <color rgb="FF000000"/>
        <rFont val="Calibri"/>
        <family val="2"/>
        <charset val="1"/>
      </rPr>
      <t xml:space="preserve">.- </t>
    </r>
  </si>
  <si>
    <t>-3-</t>
  </si>
  <si>
    <r>
      <rPr>
        <u/>
        <sz val="11"/>
        <color rgb="FF000000"/>
        <rFont val="Calibri"/>
        <family val="2"/>
        <charset val="1"/>
      </rPr>
      <t>Ingresos por Ventas, Telconet</t>
    </r>
    <r>
      <rPr>
        <sz val="11"/>
        <color rgb="FF000000"/>
        <rFont val="Calibri"/>
        <family val="2"/>
        <charset val="1"/>
      </rPr>
      <t>.-</t>
    </r>
  </si>
  <si>
    <t>à Propiedades y Equipos, Megadatos (Equipos para prestación de servicios).-</t>
  </si>
  <si>
    <r>
      <rPr>
        <u/>
        <sz val="11"/>
        <color rgb="FF000000"/>
        <rFont val="Calibri"/>
        <family val="2"/>
        <charset val="1"/>
      </rPr>
      <t>à Costo de Ventas Megadatos</t>
    </r>
    <r>
      <rPr>
        <sz val="11"/>
        <color rgb="FF000000"/>
        <rFont val="Calibri"/>
        <family val="2"/>
        <charset val="1"/>
      </rPr>
      <t xml:space="preserve">.- </t>
    </r>
  </si>
  <si>
    <r>
      <rPr>
        <u/>
        <sz val="11"/>
        <color rgb="FF000000"/>
        <rFont val="Calibri"/>
        <family val="2"/>
        <charset val="1"/>
      </rPr>
      <t>à Anticipos Proveedores Relacionados (ACTIVO)</t>
    </r>
    <r>
      <rPr>
        <sz val="11"/>
        <color rgb="FF000000"/>
        <rFont val="Calibri"/>
        <family val="2"/>
        <charset val="1"/>
      </rPr>
      <t xml:space="preserve">.- </t>
    </r>
  </si>
  <si>
    <t>Eliminacion de ventas de servicios deTelconet a Megadatos</t>
  </si>
  <si>
    <t>-4-</t>
  </si>
  <si>
    <t>Pasivos del contrato C/P (telconet).-</t>
  </si>
  <si>
    <t>Pasivos del contrato L/P (Telconet).-</t>
  </si>
  <si>
    <t>Otros Egresos.-</t>
  </si>
  <si>
    <r>
      <rPr>
        <u/>
        <sz val="11"/>
        <color rgb="FF000000"/>
        <rFont val="Calibri"/>
        <family val="2"/>
        <charset val="1"/>
      </rPr>
      <t xml:space="preserve">à Cuentas por cobrar relacionadas C/P </t>
    </r>
    <r>
      <rPr>
        <sz val="11"/>
        <color rgb="FF000000"/>
        <rFont val="Calibri"/>
        <family val="2"/>
        <charset val="1"/>
      </rPr>
      <t xml:space="preserve">.- </t>
    </r>
  </si>
  <si>
    <t>-5-</t>
  </si>
  <si>
    <r>
      <rPr>
        <u/>
        <sz val="11"/>
        <color rgb="FF000000"/>
        <rFont val="Calibri"/>
        <family val="2"/>
        <charset val="1"/>
      </rPr>
      <t>Depreciación Acumulada</t>
    </r>
    <r>
      <rPr>
        <sz val="11"/>
        <color rgb="FF000000"/>
        <rFont val="Calibri"/>
        <family val="2"/>
        <charset val="1"/>
      </rPr>
      <t>.-</t>
    </r>
  </si>
  <si>
    <r>
      <rPr>
        <u/>
        <sz val="11"/>
        <color rgb="FF000000"/>
        <rFont val="Calibri"/>
        <family val="2"/>
        <charset val="1"/>
      </rPr>
      <t>á Costo de Ventas (Gasto depreciación)</t>
    </r>
    <r>
      <rPr>
        <sz val="11"/>
        <color rgb="FF000000"/>
        <rFont val="Calibri"/>
        <family val="2"/>
        <charset val="1"/>
      </rPr>
      <t xml:space="preserve">.- </t>
    </r>
  </si>
  <si>
    <t>Eliminación gasto de depreciación de activos fijos en Megadatos; Equipos para la prestación de los servicios</t>
  </si>
  <si>
    <t>-6-</t>
  </si>
  <si>
    <t xml:space="preserve">Utilidades Retenidas al Inicio del Periodo.- </t>
  </si>
  <si>
    <r>
      <rPr>
        <u/>
        <sz val="11"/>
        <color rgb="FF000000"/>
        <rFont val="Calibri"/>
        <family val="2"/>
        <charset val="1"/>
      </rPr>
      <t>Impuesto diferido</t>
    </r>
    <r>
      <rPr>
        <sz val="11"/>
        <color rgb="FF000000"/>
        <rFont val="Calibri"/>
        <family val="2"/>
        <charset val="1"/>
      </rPr>
      <t>.-</t>
    </r>
  </si>
  <si>
    <r>
      <rPr>
        <u/>
        <sz val="11"/>
        <color rgb="FF000000"/>
        <rFont val="Calibri"/>
        <family val="2"/>
        <charset val="1"/>
      </rPr>
      <t>Depreciación acumulada</t>
    </r>
    <r>
      <rPr>
        <sz val="11"/>
        <color rgb="FF000000"/>
        <rFont val="Calibri"/>
        <family val="2"/>
        <charset val="1"/>
      </rPr>
      <t>. -</t>
    </r>
  </si>
  <si>
    <r>
      <rPr>
        <u/>
        <sz val="11"/>
        <color rgb="FF000000"/>
        <rFont val="Calibri"/>
        <family val="2"/>
        <charset val="1"/>
      </rPr>
      <t>Otros ingresos, neto</t>
    </r>
    <r>
      <rPr>
        <sz val="11"/>
        <color rgb="FF000000"/>
        <rFont val="Calibri"/>
        <family val="2"/>
        <charset val="1"/>
      </rPr>
      <t>.-</t>
    </r>
  </si>
  <si>
    <r>
      <rPr>
        <u/>
        <sz val="11"/>
        <color rgb="FF000000"/>
        <rFont val="Calibri"/>
        <family val="2"/>
        <charset val="1"/>
      </rPr>
      <t>à Otros Egresos</t>
    </r>
    <r>
      <rPr>
        <sz val="11"/>
        <color rgb="FF000000"/>
        <rFont val="Calibri"/>
        <family val="2"/>
        <charset val="1"/>
      </rPr>
      <t xml:space="preserve">.- </t>
    </r>
  </si>
  <si>
    <t>à Ingresos por Ventas, Telconet</t>
  </si>
  <si>
    <r>
      <rPr>
        <u/>
        <sz val="11"/>
        <color rgb="FF000000"/>
        <rFont val="Calibri"/>
        <family val="2"/>
        <charset val="1"/>
      </rPr>
      <t>à Costo de Ventas</t>
    </r>
    <r>
      <rPr>
        <sz val="11"/>
        <color rgb="FF000000"/>
        <rFont val="Calibri"/>
        <family val="2"/>
        <charset val="1"/>
      </rPr>
      <t xml:space="preserve">.- </t>
    </r>
  </si>
  <si>
    <r>
      <rPr>
        <u/>
        <sz val="11"/>
        <color rgb="FF000000"/>
        <rFont val="Calibri"/>
        <family val="2"/>
        <charset val="1"/>
      </rPr>
      <t>á Anticipos a Proveedores Relacionados</t>
    </r>
    <r>
      <rPr>
        <sz val="11"/>
        <color rgb="FF000000"/>
        <rFont val="Calibri"/>
        <family val="2"/>
        <charset val="1"/>
      </rPr>
      <t>.-</t>
    </r>
  </si>
  <si>
    <r>
      <rPr>
        <u/>
        <sz val="11"/>
        <color rgb="FF000000"/>
        <rFont val="Calibri"/>
        <family val="2"/>
        <charset val="1"/>
      </rPr>
      <t>à Propiedades y Equipos, Megadatos</t>
    </r>
    <r>
      <rPr>
        <sz val="11"/>
        <color rgb="FF000000"/>
        <rFont val="Calibri"/>
        <family val="2"/>
        <charset val="1"/>
      </rPr>
      <t>.-</t>
    </r>
  </si>
  <si>
    <t>Restauracion de utilidades retenidas al inicio del ejercicio</t>
  </si>
  <si>
    <t>-7-</t>
  </si>
  <si>
    <r>
      <rPr>
        <u/>
        <sz val="11"/>
        <color rgb="FF000000"/>
        <rFont val="Calibri"/>
        <family val="2"/>
        <charset val="1"/>
      </rPr>
      <t>á Impuesto a la renta (GASTO)</t>
    </r>
    <r>
      <rPr>
        <sz val="11"/>
        <color rgb="FF000000"/>
        <rFont val="Calibri"/>
        <family val="2"/>
        <charset val="1"/>
      </rPr>
      <t>.-</t>
    </r>
  </si>
  <si>
    <t>Ajuste del impuesto diferido por cambio en la tasa de 22% a</t>
  </si>
  <si>
    <t>25%</t>
  </si>
  <si>
    <t>Impuesto diferido originado por la venta de activos fijos del anio</t>
  </si>
  <si>
    <t>y ajuste del gasto de depreciación</t>
  </si>
  <si>
    <t>TOTAL</t>
  </si>
  <si>
    <t>Utilidades retenidas al inicio del periodo</t>
  </si>
  <si>
    <t>Utilidades retenidas del ejercicio</t>
  </si>
  <si>
    <t>Total de ajustes a utilidades retenidas</t>
  </si>
  <si>
    <t>TELCONET S.A. Y COMPANIA RELACIONADA</t>
  </si>
  <si>
    <t>ANALISIS DEL IMPUESTO DIFERIDO</t>
  </si>
  <si>
    <t>Al 31 de diciembre del 2019</t>
  </si>
  <si>
    <t>COMENTARIOS</t>
  </si>
  <si>
    <t>EFECTO DE LOS AJUSTES EN RESULTADOS</t>
  </si>
  <si>
    <t>1) Eliminacion de ventas de activos fijos de Telconet a Megadatos</t>
  </si>
  <si>
    <t>Valor de acuerdo con el informe de auditoria de Megadatos</t>
  </si>
  <si>
    <t>2) Eliminación del gasto de depreciación de los activos fijos comprados</t>
  </si>
  <si>
    <t>Gasto total de depreciación de equipos para prestación de servicios (Megadatos)</t>
  </si>
  <si>
    <t>3) Impuesto diferido</t>
  </si>
  <si>
    <t>Otros</t>
  </si>
  <si>
    <t>DETALLE DE TRANSACCIONES ENTRE TELCONET Y MEGADATOS</t>
  </si>
  <si>
    <t>Según informe de Telconet:</t>
  </si>
  <si>
    <t>Ventas de Telconet a Megadatos</t>
  </si>
  <si>
    <t>Sin embargo el ajuste se hizo únicamente por US$42,5 millones</t>
  </si>
  <si>
    <t>Según informe de Megadatos:</t>
  </si>
  <si>
    <t>a) Compras de activos fijos</t>
  </si>
  <si>
    <t>Valores corroborados con el informe de Megadatos</t>
  </si>
  <si>
    <t>b) Cargos al costo de ventas</t>
  </si>
  <si>
    <t>c) Valor registrado como Anticipos a Proveedores Relacionados según la nota 22 b) del informe de Megadatos</t>
  </si>
  <si>
    <t>Por este valor no se registró ajuste adicional pues se asume se está registrado dentro de los saldos de cuentas intercompany ya eliminados. Si no fuera asi, habria que hacer un ajuste adicional por US$6.3 M disminuyendo las utilidades del 2016 en dicho importe más el efecto en el impuesto diferido US$1,4 M daría un ajuste total de US$7.7 (PERDIDA)</t>
  </si>
  <si>
    <t>SI LOS AJUSTES ESTUVIERAN BIEN Y SUPONIENDO QUE NO HAYA MAS VENTAS DE ACTIVOS FIJOS EN EL FUTURO:</t>
  </si>
  <si>
    <t>ANIOS</t>
  </si>
  <si>
    <t>Eliminación de activos fijos</t>
  </si>
  <si>
    <t>Eliminación depreciación</t>
  </si>
  <si>
    <t>Efecto en resultados acumulados</t>
  </si>
  <si>
    <t>Impuesto diferido por combinacion</t>
  </si>
  <si>
    <t>Efecto en resultados</t>
  </si>
  <si>
    <t>Si no se dan más ventas de activos fijos de Telconet a Megadatos, entonces</t>
  </si>
  <si>
    <t>únicamente se eliminará la depreciación en los próximos tres anios (período de</t>
  </si>
  <si>
    <t>depreciación de los equipos), con lo cual en los anios futuros se reversa el efecto</t>
  </si>
  <si>
    <t>del impuesto diferido que surge de la combinación</t>
  </si>
  <si>
    <t>Subtotal</t>
  </si>
  <si>
    <t>INDICADORES FINANCIEROS</t>
  </si>
  <si>
    <t>EBITDA to Net Financial Expenses Ratio</t>
  </si>
  <si>
    <t>EBITDA = Earnings before interests, taxes, depreciation &amp; amortization</t>
  </si>
  <si>
    <t>Earnings before taxes</t>
  </si>
  <si>
    <t>(+) Interests</t>
  </si>
  <si>
    <t>(+) Depreciation &amp; Amortization</t>
  </si>
  <si>
    <t>EBITDA</t>
  </si>
  <si>
    <t>Net Financial Expenses</t>
  </si>
  <si>
    <t>DEBT SERVICE COVERAGE RATIO (DSCR)</t>
  </si>
  <si>
    <t>Net Operation Income</t>
  </si>
  <si>
    <t>Debt Service:</t>
  </si>
  <si>
    <t>…Prestamos y obligaciones financieras (corrientes)</t>
  </si>
  <si>
    <t>…Intereses por pagar</t>
  </si>
  <si>
    <t>Total Debt Service</t>
  </si>
  <si>
    <t>DEBT Service Coverage Ratio (DSCR)</t>
  </si>
  <si>
    <t>FINANCIAL DEBT TO EBITDA RATIO</t>
  </si>
  <si>
    <t>Financial Debt</t>
  </si>
  <si>
    <t>Financial Debt to EBITDA Ratio</t>
  </si>
  <si>
    <t>COMPRAS DE ACTIVOS FIJOS A TELCONET Y DEPRECIACION EN MEGADATOS:</t>
  </si>
  <si>
    <t>COMPRAS</t>
  </si>
  <si>
    <t>% depreciac.</t>
  </si>
  <si>
    <t>GASTO 2016</t>
  </si>
  <si>
    <t>Compras 2016</t>
  </si>
  <si>
    <t>Compras 2015</t>
  </si>
  <si>
    <t>Compras 2014</t>
  </si>
  <si>
    <t>Enero</t>
  </si>
  <si>
    <t>Febrero</t>
  </si>
  <si>
    <t>Marzo</t>
  </si>
  <si>
    <t>Abril</t>
  </si>
  <si>
    <t>Mayo</t>
  </si>
  <si>
    <t>Junio</t>
  </si>
  <si>
    <t>Julio</t>
  </si>
  <si>
    <t>Agosto</t>
  </si>
  <si>
    <t>Septiembre</t>
  </si>
  <si>
    <t>Octubre</t>
  </si>
  <si>
    <t>Noviembre</t>
  </si>
  <si>
    <t>Diciembre</t>
  </si>
  <si>
    <t>Activos fijos cargados a gastos en 2014</t>
  </si>
  <si>
    <t>Activos fijos cargados a gastos en 2015</t>
  </si>
  <si>
    <t>Activos fijos cargados a gastos en 2016</t>
  </si>
  <si>
    <t>Cuentas por pagar relacionadas C/P</t>
  </si>
  <si>
    <t>Eliminacion de cuenta por cobrar de Telconet a Megadatos</t>
  </si>
  <si>
    <t>Eliminacion de cuenta por pagar de Telconet a Megadatos</t>
  </si>
  <si>
    <t>Acciones en tesoreria</t>
  </si>
  <si>
    <t xml:space="preserve">Aumento de capital </t>
  </si>
  <si>
    <t>Capitalizacion</t>
  </si>
  <si>
    <t xml:space="preserve">Otros ajustes   </t>
  </si>
  <si>
    <t>Tasa efectiva de IR</t>
  </si>
  <si>
    <r>
      <t>á Gasto de impuesto a la renta</t>
    </r>
    <r>
      <rPr>
        <sz val="11"/>
        <color rgb="FF000000"/>
        <rFont val="Calibri"/>
        <family val="2"/>
        <charset val="1"/>
      </rPr>
      <t>.-</t>
    </r>
  </si>
  <si>
    <t>Valor calculado como el 25% de los efectos de ajustes por ventas de activos fijos y</t>
  </si>
  <si>
    <t>depreciacion</t>
  </si>
  <si>
    <t>Saldo de US$1,7 millones se origina principalmente por no haber calculado impuesto</t>
  </si>
  <si>
    <t xml:space="preserve">en el primer anio (2015) </t>
  </si>
  <si>
    <r>
      <t>Cuenta por Pagar relacionadas L/P</t>
    </r>
    <r>
      <rPr>
        <sz val="11"/>
        <color rgb="FF000000"/>
        <rFont val="Calibri"/>
        <family val="2"/>
        <charset val="1"/>
      </rPr>
      <t>.-</t>
    </r>
  </si>
  <si>
    <t>Devoluciones de aportes de accionistas</t>
  </si>
  <si>
    <t>Préstamos con entidades financieras</t>
  </si>
  <si>
    <t xml:space="preserve"> Acciones en tesoreria</t>
  </si>
  <si>
    <t>Pagos de capital de pasivo por arrendamientos</t>
  </si>
  <si>
    <t>Pagos de capital</t>
  </si>
  <si>
    <t>Bajas</t>
  </si>
  <si>
    <t>Otros resultados integrales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</si>
</sst>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_ * #,##0.00_ ;_ * \-#,##0.00_ ;_ * \-??_ ;_ @_ "/>
    <numFmt numFmtId="165" formatCode="_(* #,##0.00_);_(* \(#,##0.00\);_(* \-??_);_(@_)"/>
    <numFmt numFmtId="166" formatCode="_(* #,##0_);_(* \(#,##0\);_(* \-??_);_(@_)"/>
    <numFmt numFmtId="167" formatCode="0\ %"/>
    <numFmt numFmtId="168" formatCode="_ * #,##0_ ;_ * \-#,##0_ ;_ * \-??_ ;_ @_ "/>
    <numFmt numFmtId="169" formatCode="_ * #,##0_ ;\(* #,##0\);_ * \-??_ ;_ @_ "/>
    <numFmt numFmtId="170" formatCode="#,##0;[Red]#,##0"/>
    <numFmt numFmtId="171" formatCode="#,##0.00;[Red]#,##0.00"/>
    <numFmt numFmtId="172" formatCode="_ * #,##0_ ;\(* #,##0\);_ * \-_ ;_ @_ "/>
    <numFmt numFmtId="173" formatCode="#,##0_);\(#,##0\)"/>
    <numFmt numFmtId="174" formatCode="0.0%"/>
    <numFmt numFmtId="175" formatCode="0.0"/>
    <numFmt numFmtId="176" formatCode="_(* #,##0.0_);_(* \(#,##0.0\);_(* \-??_);_(@_)"/>
    <numFmt numFmtId="178" formatCode="_(* #,##0_);_(* \(#,##0\);_(* &quot;-&quot;??_);_(@_)"/>
  </numFmts>
  <fonts count="32" x14ac:knownFonts="1">
    <font>
      <sz val="11"/>
      <color rgb="FF000000"/>
      <name val="Calibri"/>
      <family val="2"/>
      <charset val="1"/>
    </font>
    <font>
      <sz val="10"/>
      <name val="Arial"/>
      <family val="2"/>
      <charset val="1"/>
    </font>
    <font>
      <sz val="10"/>
      <color rgb="FF000000"/>
      <name val="MS Sans Serif"/>
      <family val="2"/>
      <charset val="1"/>
    </font>
    <font>
      <u/>
      <sz val="11"/>
      <color rgb="FF0563C1"/>
      <name val="Calibri"/>
      <family val="2"/>
      <charset val="1"/>
    </font>
    <font>
      <b/>
      <u/>
      <sz val="11"/>
      <color rgb="FF000000"/>
      <name val="Calibri"/>
      <family val="2"/>
      <charset val="1"/>
    </font>
    <font>
      <b/>
      <sz val="11"/>
      <color rgb="FF000000"/>
      <name val="Calibri"/>
      <family val="2"/>
      <charset val="1"/>
    </font>
    <font>
      <u/>
      <sz val="11"/>
      <color rgb="FF000000"/>
      <name val="Calibri"/>
      <family val="2"/>
      <charset val="1"/>
    </font>
    <font>
      <b/>
      <sz val="9"/>
      <color rgb="FF000000"/>
      <name val="Calibri"/>
      <family val="2"/>
      <charset val="1"/>
    </font>
    <font>
      <i/>
      <sz val="8"/>
      <color rgb="FF000000"/>
      <name val="Calibri"/>
      <family val="2"/>
      <charset val="1"/>
    </font>
    <font>
      <sz val="9"/>
      <color rgb="FF000000"/>
      <name val="Calibri"/>
      <family val="2"/>
      <charset val="1"/>
    </font>
    <font>
      <sz val="8"/>
      <color rgb="FF000000"/>
      <name val="Calibri"/>
      <family val="2"/>
      <charset val="1"/>
    </font>
    <font>
      <sz val="9"/>
      <color rgb="FF000000"/>
      <name val="Arial"/>
      <family val="2"/>
      <charset val="1"/>
    </font>
    <font>
      <sz val="9"/>
      <color rgb="FFFF0000"/>
      <name val="Arial"/>
      <family val="2"/>
      <charset val="1"/>
    </font>
    <font>
      <sz val="9"/>
      <name val="Arial"/>
      <family val="2"/>
      <charset val="1"/>
    </font>
    <font>
      <u/>
      <sz val="9"/>
      <name val="Arial"/>
      <family val="2"/>
      <charset val="1"/>
    </font>
    <font>
      <u/>
      <sz val="9"/>
      <color rgb="FFFF0000"/>
      <name val="Arial"/>
      <family val="2"/>
      <charset val="1"/>
    </font>
    <font>
      <b/>
      <sz val="9"/>
      <name val="Arial"/>
      <family val="2"/>
      <charset val="1"/>
    </font>
    <font>
      <b/>
      <u/>
      <sz val="9"/>
      <name val="Arial"/>
      <family val="2"/>
      <charset val="1"/>
    </font>
    <font>
      <sz val="7"/>
      <color rgb="FF000000"/>
      <name val="Arial"/>
      <family val="2"/>
      <charset val="1"/>
    </font>
    <font>
      <u/>
      <sz val="9"/>
      <color rgb="FF000000"/>
      <name val="Calibri"/>
      <family val="2"/>
      <charset val="1"/>
    </font>
    <font>
      <sz val="11"/>
      <color rgb="FF000000"/>
      <name val="Calibri"/>
      <family val="2"/>
      <charset val="1"/>
    </font>
    <font>
      <i/>
      <sz val="11"/>
      <color rgb="FF000000"/>
      <name val="Calibri"/>
      <family val="2"/>
    </font>
    <font>
      <b/>
      <sz val="11"/>
      <color rgb="FF000000"/>
      <name val="Calibri"/>
      <family val="2"/>
    </font>
    <font>
      <b/>
      <sz val="11"/>
      <color theme="1"/>
      <name val="Calibri"/>
      <family val="2"/>
      <scheme val="minor"/>
    </font>
    <font>
      <b/>
      <u/>
      <sz val="11"/>
      <color theme="1"/>
      <name val="Calibri"/>
      <family val="2"/>
      <scheme val="minor"/>
    </font>
    <font>
      <u/>
      <sz val="11"/>
      <color theme="1"/>
      <name val="Calibri"/>
      <family val="2"/>
      <scheme val="minor"/>
    </font>
    <font>
      <b/>
      <sz val="10"/>
      <color theme="1"/>
      <name val="Calibri"/>
      <family val="2"/>
      <scheme val="minor"/>
    </font>
    <font>
      <sz val="10"/>
      <color theme="1"/>
      <name val="Calibri"/>
      <family val="2"/>
      <scheme val="minor"/>
    </font>
    <font>
      <sz val="8"/>
      <color theme="1"/>
      <name val="Calibri"/>
      <family val="2"/>
      <scheme val="minor"/>
    </font>
    <font>
      <b/>
      <sz val="9"/>
      <color theme="1"/>
      <name val="Calibri"/>
      <family val="2"/>
      <scheme val="minor"/>
    </font>
    <font>
      <sz val="7"/>
      <color theme="1"/>
      <name val="Calibri"/>
      <family val="2"/>
      <scheme val="minor"/>
    </font>
    <font>
      <sz val="8"/>
      <color rgb="FF000000"/>
      <name val="Arial"/>
      <family val="2"/>
      <charset val="1"/>
    </font>
  </fonts>
  <fills count="7">
    <fill>
      <patternFill patternType="none"/>
    </fill>
    <fill>
      <patternFill patternType="gray125"/>
    </fill>
    <fill>
      <patternFill patternType="solid">
        <fgColor rgb="FFFFFF00"/>
        <bgColor rgb="FFFFFF00"/>
      </patternFill>
    </fill>
    <fill>
      <patternFill patternType="solid">
        <fgColor rgb="FFFFFFFF"/>
        <bgColor rgb="FFE7E6E6"/>
      </patternFill>
    </fill>
    <fill>
      <patternFill patternType="solid">
        <fgColor rgb="FF92D050"/>
        <bgColor rgb="FF81D41A"/>
      </patternFill>
    </fill>
    <fill>
      <patternFill patternType="solid">
        <fgColor rgb="FFFFFF00"/>
        <bgColor indexed="64"/>
      </patternFill>
    </fill>
    <fill>
      <patternFill patternType="solid">
        <fgColor theme="0"/>
        <bgColor indexed="64"/>
      </patternFill>
    </fill>
  </fills>
  <borders count="29">
    <border>
      <left/>
      <right/>
      <top/>
      <bottom/>
      <diagonal/>
    </border>
    <border>
      <left style="thin">
        <color auto="1"/>
      </left>
      <right/>
      <top style="thin">
        <color auto="1"/>
      </top>
      <bottom/>
      <diagonal/>
    </border>
    <border>
      <left style="thin">
        <color auto="1"/>
      </left>
      <right style="thin">
        <color auto="1"/>
      </right>
      <top style="thin">
        <color auto="1"/>
      </top>
      <bottom/>
      <diagonal/>
    </border>
    <border>
      <left/>
      <right/>
      <top style="thin">
        <color auto="1"/>
      </top>
      <bottom/>
      <diagonal/>
    </border>
    <border>
      <left style="thin">
        <color auto="1"/>
      </left>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diagonal/>
    </border>
    <border>
      <left style="thin">
        <color auto="1"/>
      </left>
      <right style="thin">
        <color auto="1"/>
      </right>
      <top/>
      <bottom style="hair">
        <color auto="1"/>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style="hair">
        <color auto="1"/>
      </right>
      <top/>
      <bottom/>
      <diagonal/>
    </border>
    <border>
      <left style="thin">
        <color auto="1"/>
      </left>
      <right style="thin">
        <color auto="1"/>
      </right>
      <top style="thin">
        <color auto="1"/>
      </top>
      <bottom style="double">
        <color auto="1"/>
      </bottom>
      <diagonal/>
    </border>
    <border>
      <left/>
      <right/>
      <top style="thin">
        <color auto="1"/>
      </top>
      <bottom style="double">
        <color auto="1"/>
      </bottom>
      <diagonal/>
    </border>
    <border>
      <left/>
      <right/>
      <top/>
      <bottom style="hair">
        <color auto="1"/>
      </bottom>
      <diagonal/>
    </border>
    <border>
      <left style="thin">
        <color indexed="64"/>
      </left>
      <right style="thin">
        <color indexed="64"/>
      </right>
      <top style="thin">
        <color indexed="64"/>
      </top>
      <bottom style="hair">
        <color auto="1"/>
      </bottom>
      <diagonal/>
    </border>
    <border>
      <left style="thin">
        <color indexed="64"/>
      </left>
      <right style="thin">
        <color indexed="64"/>
      </right>
      <top style="hair">
        <color auto="1"/>
      </top>
      <bottom/>
      <diagonal/>
    </border>
    <border>
      <left style="thin">
        <color indexed="64"/>
      </left>
      <right/>
      <top style="thin">
        <color indexed="64"/>
      </top>
      <bottom style="hair">
        <color auto="1"/>
      </bottom>
      <diagonal/>
    </border>
    <border>
      <left/>
      <right style="hair">
        <color auto="1"/>
      </right>
      <top/>
      <bottom/>
      <diagonal/>
    </border>
    <border>
      <left style="thin">
        <color indexed="64"/>
      </left>
      <right/>
      <top/>
      <bottom style="hair">
        <color auto="1"/>
      </bottom>
      <diagonal/>
    </border>
    <border>
      <left style="thin">
        <color auto="1"/>
      </left>
      <right style="thin">
        <color auto="1"/>
      </right>
      <top/>
      <bottom style="double">
        <color auto="1"/>
      </bottom>
      <diagonal/>
    </border>
  </borders>
  <cellStyleXfs count="9">
    <xf numFmtId="0" fontId="0" fillId="0" borderId="0"/>
    <xf numFmtId="165" fontId="20" fillId="0" borderId="0" applyBorder="0" applyProtection="0"/>
    <xf numFmtId="167" fontId="20" fillId="0" borderId="0" applyBorder="0" applyProtection="0"/>
    <xf numFmtId="0" fontId="3" fillId="0" borderId="0" applyBorder="0" applyProtection="0"/>
    <xf numFmtId="164" fontId="20" fillId="0" borderId="0" applyBorder="0" applyProtection="0"/>
    <xf numFmtId="165" fontId="20" fillId="0" borderId="0" applyBorder="0" applyProtection="0"/>
    <xf numFmtId="165" fontId="20" fillId="0" borderId="0" applyBorder="0" applyProtection="0"/>
    <xf numFmtId="0" fontId="1" fillId="0" borderId="0"/>
    <xf numFmtId="0" fontId="2" fillId="0" borderId="0"/>
  </cellStyleXfs>
  <cellXfs count="322">
    <xf numFmtId="0" fontId="0" fillId="0" borderId="0" xfId="0"/>
    <xf numFmtId="0" fontId="3" fillId="0" borderId="0" xfId="3" applyFont="1" applyBorder="1" applyAlignment="1" applyProtection="1"/>
    <xf numFmtId="166" fontId="0" fillId="0" borderId="0" xfId="1" applyNumberFormat="1" applyFont="1" applyBorder="1" applyAlignment="1" applyProtection="1"/>
    <xf numFmtId="0" fontId="4" fillId="0" borderId="0" xfId="0" applyFont="1"/>
    <xf numFmtId="0" fontId="5" fillId="0" borderId="0" xfId="0" applyFont="1"/>
    <xf numFmtId="166" fontId="0" fillId="0" borderId="1" xfId="1" applyNumberFormat="1" applyFont="1" applyBorder="1" applyAlignment="1" applyProtection="1"/>
    <xf numFmtId="166" fontId="0" fillId="0" borderId="2" xfId="1" applyNumberFormat="1" applyFont="1" applyBorder="1" applyAlignment="1" applyProtection="1"/>
    <xf numFmtId="166" fontId="0" fillId="0" borderId="3" xfId="1" applyNumberFormat="1" applyFont="1" applyBorder="1" applyAlignment="1" applyProtection="1"/>
    <xf numFmtId="0" fontId="0" fillId="0" borderId="0" xfId="0" applyFont="1"/>
    <xf numFmtId="166" fontId="0" fillId="0" borderId="4" xfId="1" applyNumberFormat="1" applyFont="1" applyBorder="1" applyAlignment="1" applyProtection="1"/>
    <xf numFmtId="166" fontId="0" fillId="0" borderId="5" xfId="1" applyNumberFormat="1" applyFont="1" applyBorder="1" applyAlignment="1" applyProtection="1"/>
    <xf numFmtId="166" fontId="0" fillId="0" borderId="4" xfId="1" applyNumberFormat="1" applyFont="1" applyBorder="1" applyAlignment="1" applyProtection="1">
      <alignment horizontal="center"/>
    </xf>
    <xf numFmtId="0" fontId="0" fillId="0" borderId="5" xfId="1" applyNumberFormat="1" applyFont="1" applyBorder="1" applyAlignment="1" applyProtection="1">
      <alignment horizontal="center"/>
    </xf>
    <xf numFmtId="166" fontId="6" fillId="0" borderId="4" xfId="1" applyNumberFormat="1" applyFont="1" applyBorder="1" applyAlignment="1" applyProtection="1">
      <alignment horizontal="center"/>
    </xf>
    <xf numFmtId="166" fontId="6" fillId="0" borderId="5" xfId="1" applyNumberFormat="1" applyFont="1" applyBorder="1" applyAlignment="1" applyProtection="1">
      <alignment horizontal="center"/>
    </xf>
    <xf numFmtId="166" fontId="6" fillId="0" borderId="0" xfId="1" applyNumberFormat="1" applyFont="1" applyBorder="1" applyAlignment="1" applyProtection="1">
      <alignment horizontal="center"/>
    </xf>
    <xf numFmtId="166" fontId="6" fillId="0" borderId="4" xfId="1" applyNumberFormat="1" applyFont="1" applyBorder="1" applyAlignment="1" applyProtection="1"/>
    <xf numFmtId="0" fontId="0" fillId="0" borderId="2" xfId="0" applyBorder="1"/>
    <xf numFmtId="0" fontId="0" fillId="0" borderId="5" xfId="0" applyBorder="1"/>
    <xf numFmtId="166" fontId="0" fillId="0" borderId="6" xfId="1" applyNumberFormat="1" applyFont="1" applyBorder="1" applyAlignment="1" applyProtection="1"/>
    <xf numFmtId="166" fontId="0" fillId="0" borderId="2" xfId="0" applyNumberFormat="1" applyBorder="1"/>
    <xf numFmtId="0" fontId="7" fillId="0" borderId="0" xfId="0" applyFont="1" applyAlignment="1">
      <alignment horizontal="left" wrapText="1"/>
    </xf>
    <xf numFmtId="0" fontId="7" fillId="0" borderId="7" xfId="0" applyFont="1" applyBorder="1" applyAlignment="1">
      <alignment horizontal="left" wrapText="1"/>
    </xf>
    <xf numFmtId="166" fontId="0" fillId="0" borderId="8" xfId="1" applyNumberFormat="1" applyFont="1" applyBorder="1" applyAlignment="1" applyProtection="1"/>
    <xf numFmtId="166" fontId="0" fillId="0" borderId="7" xfId="1" applyNumberFormat="1" applyFont="1" applyBorder="1" applyAlignment="1" applyProtection="1"/>
    <xf numFmtId="166" fontId="0" fillId="0" borderId="9" xfId="1" applyNumberFormat="1" applyFont="1" applyBorder="1" applyAlignment="1" applyProtection="1"/>
    <xf numFmtId="166" fontId="0" fillId="0" borderId="10" xfId="1" applyNumberFormat="1" applyFont="1" applyBorder="1" applyAlignment="1" applyProtection="1"/>
    <xf numFmtId="0" fontId="0" fillId="0" borderId="7" xfId="0" applyBorder="1"/>
    <xf numFmtId="0" fontId="0" fillId="0" borderId="0" xfId="0" applyFont="1" applyAlignment="1">
      <alignment horizontal="center" vertical="center"/>
    </xf>
    <xf numFmtId="0" fontId="0" fillId="0" borderId="5" xfId="0" applyBorder="1" applyAlignment="1">
      <alignment horizontal="center" vertical="center"/>
    </xf>
    <xf numFmtId="0" fontId="0" fillId="0" borderId="4" xfId="0" applyBorder="1"/>
    <xf numFmtId="166" fontId="0" fillId="2" borderId="4" xfId="1" applyNumberFormat="1" applyFont="1" applyFill="1" applyBorder="1" applyAlignment="1" applyProtection="1"/>
    <xf numFmtId="166" fontId="0" fillId="0" borderId="0" xfId="0" applyNumberFormat="1"/>
    <xf numFmtId="166" fontId="0" fillId="3" borderId="4" xfId="1" applyNumberFormat="1" applyFont="1" applyFill="1" applyBorder="1" applyAlignment="1" applyProtection="1"/>
    <xf numFmtId="0" fontId="8" fillId="0" borderId="0" xfId="0" applyFont="1"/>
    <xf numFmtId="166" fontId="8" fillId="0" borderId="0" xfId="1" applyNumberFormat="1" applyFont="1" applyBorder="1" applyAlignment="1" applyProtection="1"/>
    <xf numFmtId="0" fontId="0" fillId="0" borderId="9" xfId="0" applyBorder="1"/>
    <xf numFmtId="0" fontId="0" fillId="0" borderId="5" xfId="0" applyFont="1" applyBorder="1" applyAlignment="1">
      <alignment horizontal="center"/>
    </xf>
    <xf numFmtId="0" fontId="0" fillId="0" borderId="2" xfId="0" applyFont="1" applyBorder="1" applyAlignment="1">
      <alignment horizontal="center"/>
    </xf>
    <xf numFmtId="0" fontId="6" fillId="0" borderId="5" xfId="0" applyFont="1" applyBorder="1" applyAlignment="1">
      <alignment horizontal="center"/>
    </xf>
    <xf numFmtId="0" fontId="6" fillId="0" borderId="5" xfId="0" applyFont="1" applyBorder="1" applyAlignment="1"/>
    <xf numFmtId="166" fontId="0" fillId="0" borderId="11" xfId="1" applyNumberFormat="1" applyFont="1" applyBorder="1" applyAlignment="1" applyProtection="1"/>
    <xf numFmtId="167" fontId="0" fillId="0" borderId="5" xfId="2" applyFont="1" applyBorder="1" applyAlignment="1" applyProtection="1"/>
    <xf numFmtId="0" fontId="9" fillId="0" borderId="10" xfId="0" applyFont="1" applyBorder="1" applyAlignment="1">
      <alignment horizontal="left" wrapText="1"/>
    </xf>
    <xf numFmtId="0" fontId="0" fillId="0" borderId="0" xfId="0" applyBorder="1"/>
    <xf numFmtId="166" fontId="0" fillId="0" borderId="6" xfId="0" applyNumberFormat="1" applyBorder="1"/>
    <xf numFmtId="166" fontId="0" fillId="0" borderId="3" xfId="0" applyNumberFormat="1" applyBorder="1"/>
    <xf numFmtId="166" fontId="0" fillId="0" borderId="0" xfId="0" applyNumberFormat="1" applyAlignment="1">
      <alignment horizontal="center"/>
    </xf>
    <xf numFmtId="166" fontId="0" fillId="0" borderId="0" xfId="0" applyNumberFormat="1" applyBorder="1"/>
    <xf numFmtId="167" fontId="0" fillId="0" borderId="0" xfId="2" applyFont="1" applyBorder="1" applyAlignment="1" applyProtection="1"/>
    <xf numFmtId="0" fontId="0" fillId="0" borderId="3" xfId="0" applyBorder="1"/>
    <xf numFmtId="0" fontId="0" fillId="0" borderId="12" xfId="0" applyBorder="1"/>
    <xf numFmtId="0" fontId="0" fillId="0" borderId="10" xfId="0" applyBorder="1"/>
    <xf numFmtId="0" fontId="5" fillId="0" borderId="4" xfId="0" applyFont="1" applyBorder="1"/>
    <xf numFmtId="0" fontId="0" fillId="0" borderId="0" xfId="0" applyFont="1" applyBorder="1"/>
    <xf numFmtId="0" fontId="0" fillId="0" borderId="10" xfId="0" applyBorder="1" applyAlignment="1">
      <alignment horizontal="left" wrapText="1"/>
    </xf>
    <xf numFmtId="0" fontId="0" fillId="0" borderId="14" xfId="0" applyBorder="1"/>
    <xf numFmtId="0" fontId="0" fillId="0" borderId="15" xfId="0" applyBorder="1"/>
    <xf numFmtId="0" fontId="0" fillId="0" borderId="16" xfId="0" applyBorder="1"/>
    <xf numFmtId="0" fontId="0" fillId="0" borderId="1" xfId="0" applyBorder="1"/>
    <xf numFmtId="166" fontId="0" fillId="0" borderId="5" xfId="0" applyNumberFormat="1" applyBorder="1"/>
    <xf numFmtId="166" fontId="0" fillId="2" borderId="5" xfId="1" applyNumberFormat="1" applyFont="1" applyFill="1" applyBorder="1" applyAlignment="1" applyProtection="1"/>
    <xf numFmtId="0" fontId="5" fillId="0" borderId="13" xfId="0" applyFont="1" applyBorder="1"/>
    <xf numFmtId="166" fontId="5" fillId="0" borderId="6" xfId="1" applyNumberFormat="1" applyFont="1" applyBorder="1" applyAlignment="1" applyProtection="1"/>
    <xf numFmtId="166" fontId="0" fillId="0" borderId="18" xfId="1" applyNumberFormat="1" applyFont="1" applyBorder="1" applyAlignment="1" applyProtection="1"/>
    <xf numFmtId="0" fontId="0" fillId="0" borderId="8" xfId="0" applyFont="1" applyBorder="1"/>
    <xf numFmtId="0" fontId="11" fillId="3" borderId="0" xfId="0" applyFont="1" applyFill="1"/>
    <xf numFmtId="0" fontId="0" fillId="3" borderId="0" xfId="0" applyFill="1"/>
    <xf numFmtId="166" fontId="12" fillId="3" borderId="0" xfId="1" applyNumberFormat="1" applyFont="1" applyFill="1" applyBorder="1" applyAlignment="1" applyProtection="1"/>
    <xf numFmtId="0" fontId="9" fillId="3" borderId="0" xfId="0" applyFont="1" applyFill="1"/>
    <xf numFmtId="0" fontId="13" fillId="3" borderId="0" xfId="0" applyFont="1" applyFill="1"/>
    <xf numFmtId="166" fontId="12" fillId="3" borderId="0" xfId="1" applyNumberFormat="1" applyFont="1" applyFill="1" applyBorder="1" applyAlignment="1" applyProtection="1">
      <alignment horizontal="center"/>
    </xf>
    <xf numFmtId="0" fontId="13" fillId="3" borderId="0" xfId="0" applyFont="1" applyFill="1" applyAlignment="1">
      <alignment horizontal="center"/>
    </xf>
    <xf numFmtId="0" fontId="13" fillId="3" borderId="0" xfId="0" applyFont="1" applyFill="1" applyAlignment="1">
      <alignment horizontal="center" wrapText="1"/>
    </xf>
    <xf numFmtId="0" fontId="13" fillId="3" borderId="6" xfId="0" applyFont="1" applyFill="1" applyBorder="1" applyAlignment="1">
      <alignment horizontal="center"/>
    </xf>
    <xf numFmtId="166" fontId="15" fillId="3" borderId="6" xfId="1" applyNumberFormat="1" applyFont="1" applyFill="1" applyBorder="1" applyAlignment="1" applyProtection="1">
      <alignment horizontal="center"/>
    </xf>
    <xf numFmtId="166" fontId="15" fillId="3" borderId="0" xfId="1" applyNumberFormat="1" applyFont="1" applyFill="1" applyBorder="1" applyAlignment="1" applyProtection="1">
      <alignment horizontal="center"/>
    </xf>
    <xf numFmtId="0" fontId="14" fillId="3" borderId="0" xfId="0" applyFont="1" applyFill="1" applyAlignment="1">
      <alignment horizontal="center"/>
    </xf>
    <xf numFmtId="0" fontId="11" fillId="3" borderId="6" xfId="0" applyFont="1" applyFill="1" applyBorder="1" applyAlignment="1">
      <alignment horizontal="center"/>
    </xf>
    <xf numFmtId="165" fontId="16" fillId="3" borderId="0" xfId="5" applyFont="1" applyFill="1" applyBorder="1" applyAlignment="1" applyProtection="1"/>
    <xf numFmtId="0" fontId="17" fillId="3" borderId="0" xfId="0" applyFont="1" applyFill="1" applyAlignment="1">
      <alignment horizontal="center"/>
    </xf>
    <xf numFmtId="0" fontId="11" fillId="3" borderId="5" xfId="0" applyFont="1" applyFill="1" applyBorder="1"/>
    <xf numFmtId="0" fontId="13" fillId="3" borderId="5" xfId="0" applyFont="1" applyFill="1" applyBorder="1"/>
    <xf numFmtId="166" fontId="12" fillId="3" borderId="5" xfId="1" applyNumberFormat="1" applyFont="1" applyFill="1" applyBorder="1" applyAlignment="1" applyProtection="1">
      <alignment horizontal="center"/>
    </xf>
    <xf numFmtId="0" fontId="13" fillId="3" borderId="5" xfId="0" applyFont="1" applyFill="1" applyBorder="1" applyAlignment="1">
      <alignment horizontal="center"/>
    </xf>
    <xf numFmtId="0" fontId="11" fillId="3" borderId="17" xfId="0" applyFont="1" applyFill="1" applyBorder="1"/>
    <xf numFmtId="168" fontId="13" fillId="3" borderId="5" xfId="0" applyNumberFormat="1" applyFont="1" applyFill="1" applyBorder="1"/>
    <xf numFmtId="0" fontId="13" fillId="3" borderId="17" xfId="0" applyFont="1" applyFill="1" applyBorder="1"/>
    <xf numFmtId="0" fontId="13" fillId="3" borderId="0" xfId="0" applyFont="1" applyFill="1" applyAlignment="1">
      <alignment horizontal="left"/>
    </xf>
    <xf numFmtId="0" fontId="13" fillId="3" borderId="5" xfId="0" applyFont="1" applyFill="1" applyBorder="1" applyAlignment="1">
      <alignment horizontal="left"/>
    </xf>
    <xf numFmtId="0" fontId="13" fillId="3" borderId="0" xfId="7" applyFont="1" applyFill="1" applyAlignment="1">
      <alignment horizontal="left"/>
    </xf>
    <xf numFmtId="0" fontId="11" fillId="3" borderId="19" xfId="0" applyFont="1" applyFill="1" applyBorder="1"/>
    <xf numFmtId="168" fontId="13" fillId="3" borderId="5" xfId="7" applyNumberFormat="1" applyFont="1" applyFill="1" applyBorder="1" applyAlignment="1">
      <alignment horizontal="left"/>
    </xf>
    <xf numFmtId="0" fontId="13" fillId="3" borderId="19" xfId="7" applyFont="1" applyFill="1" applyBorder="1" applyAlignment="1">
      <alignment horizontal="left"/>
    </xf>
    <xf numFmtId="169" fontId="13" fillId="3" borderId="5" xfId="4" applyNumberFormat="1" applyFont="1" applyFill="1" applyBorder="1" applyAlignment="1" applyProtection="1"/>
    <xf numFmtId="169" fontId="13" fillId="3" borderId="0" xfId="4" applyNumberFormat="1" applyFont="1" applyFill="1" applyBorder="1" applyAlignment="1" applyProtection="1"/>
    <xf numFmtId="0" fontId="13" fillId="3" borderId="0" xfId="0" applyFont="1" applyFill="1" applyAlignment="1">
      <alignment horizontal="left" indent="1"/>
    </xf>
    <xf numFmtId="166" fontId="11" fillId="3" borderId="5" xfId="1" applyNumberFormat="1" applyFont="1" applyFill="1" applyBorder="1" applyAlignment="1" applyProtection="1"/>
    <xf numFmtId="166" fontId="12" fillId="3" borderId="5" xfId="1" applyNumberFormat="1" applyFont="1" applyFill="1" applyBorder="1" applyAlignment="1" applyProtection="1">
      <alignment horizontal="right"/>
    </xf>
    <xf numFmtId="170" fontId="13" fillId="3" borderId="5" xfId="5" applyNumberFormat="1" applyFont="1" applyFill="1" applyBorder="1" applyAlignment="1" applyProtection="1"/>
    <xf numFmtId="166" fontId="12" fillId="3" borderId="0" xfId="1" applyNumberFormat="1" applyFont="1" applyFill="1" applyBorder="1" applyAlignment="1" applyProtection="1">
      <alignment horizontal="right"/>
    </xf>
    <xf numFmtId="170" fontId="13" fillId="3" borderId="0" xfId="0" applyNumberFormat="1" applyFont="1" applyFill="1"/>
    <xf numFmtId="166" fontId="11" fillId="3" borderId="19" xfId="1" applyNumberFormat="1" applyFont="1" applyFill="1" applyBorder="1" applyAlignment="1" applyProtection="1"/>
    <xf numFmtId="170" fontId="13" fillId="3" borderId="5" xfId="5" applyNumberFormat="1" applyFont="1" applyFill="1" applyBorder="1" applyAlignment="1" applyProtection="1">
      <alignment horizontal="right"/>
    </xf>
    <xf numFmtId="166" fontId="13" fillId="3" borderId="0" xfId="5" applyNumberFormat="1" applyFont="1" applyFill="1" applyBorder="1" applyAlignment="1" applyProtection="1"/>
    <xf numFmtId="170" fontId="9" fillId="3" borderId="0" xfId="0" applyNumberFormat="1" applyFont="1" applyFill="1"/>
    <xf numFmtId="168" fontId="11" fillId="3" borderId="0" xfId="0" applyNumberFormat="1" applyFont="1" applyFill="1"/>
    <xf numFmtId="165" fontId="11" fillId="3" borderId="0" xfId="5" applyFont="1" applyFill="1" applyBorder="1" applyAlignment="1" applyProtection="1"/>
    <xf numFmtId="170" fontId="13" fillId="3" borderId="5" xfId="4" applyNumberFormat="1" applyFont="1" applyFill="1" applyBorder="1" applyAlignment="1" applyProtection="1">
      <alignment horizontal="right"/>
    </xf>
    <xf numFmtId="166" fontId="11" fillId="3" borderId="0" xfId="0" applyNumberFormat="1" applyFont="1" applyFill="1"/>
    <xf numFmtId="170" fontId="13" fillId="3" borderId="9" xfId="0" applyNumberFormat="1" applyFont="1" applyFill="1" applyBorder="1"/>
    <xf numFmtId="0" fontId="11" fillId="3" borderId="0" xfId="0" applyFont="1" applyFill="1" applyAlignment="1">
      <alignment horizontal="left" indent="1"/>
    </xf>
    <xf numFmtId="166" fontId="12" fillId="3" borderId="5" xfId="1" applyNumberFormat="1" applyFont="1" applyFill="1" applyBorder="1" applyAlignment="1" applyProtection="1"/>
    <xf numFmtId="166" fontId="0" fillId="3" borderId="5" xfId="0" applyNumberFormat="1" applyFill="1" applyBorder="1"/>
    <xf numFmtId="166" fontId="11" fillId="3" borderId="5" xfId="0" applyNumberFormat="1" applyFont="1" applyFill="1" applyBorder="1"/>
    <xf numFmtId="171" fontId="13" fillId="3" borderId="5" xfId="5" applyNumberFormat="1" applyFont="1" applyFill="1" applyBorder="1" applyAlignment="1" applyProtection="1"/>
    <xf numFmtId="171" fontId="13" fillId="3" borderId="0" xfId="0" applyNumberFormat="1" applyFont="1" applyFill="1"/>
    <xf numFmtId="166" fontId="11" fillId="3" borderId="18" xfId="1" applyNumberFormat="1" applyFont="1" applyFill="1" applyBorder="1" applyAlignment="1" applyProtection="1"/>
    <xf numFmtId="166" fontId="11" fillId="3" borderId="2" xfId="1" applyNumberFormat="1" applyFont="1" applyFill="1" applyBorder="1" applyAlignment="1" applyProtection="1"/>
    <xf numFmtId="0" fontId="13" fillId="3" borderId="0" xfId="7" applyFont="1" applyFill="1"/>
    <xf numFmtId="170" fontId="13" fillId="3" borderId="6" xfId="4" applyNumberFormat="1" applyFont="1" applyFill="1" applyBorder="1" applyAlignment="1" applyProtection="1">
      <alignment horizontal="right"/>
    </xf>
    <xf numFmtId="171" fontId="13" fillId="3" borderId="5" xfId="0" applyNumberFormat="1" applyFont="1" applyFill="1" applyBorder="1"/>
    <xf numFmtId="0" fontId="13" fillId="3" borderId="5" xfId="7" applyFont="1" applyFill="1" applyBorder="1" applyAlignment="1">
      <alignment horizontal="left"/>
    </xf>
    <xf numFmtId="0" fontId="13" fillId="3" borderId="0" xfId="7" applyFont="1" applyFill="1" applyAlignment="1">
      <alignment horizontal="left" indent="1"/>
    </xf>
    <xf numFmtId="170" fontId="13" fillId="3" borderId="5" xfId="4" applyNumberFormat="1" applyFont="1" applyFill="1" applyBorder="1" applyAlignment="1" applyProtection="1"/>
    <xf numFmtId="169" fontId="11" fillId="3" borderId="0" xfId="0" applyNumberFormat="1" applyFont="1" applyFill="1"/>
    <xf numFmtId="168" fontId="13" fillId="3" borderId="0" xfId="4" applyNumberFormat="1" applyFont="1" applyFill="1" applyBorder="1" applyAlignment="1" applyProtection="1"/>
    <xf numFmtId="170" fontId="13" fillId="3" borderId="7" xfId="5" applyNumberFormat="1" applyFont="1" applyFill="1" applyBorder="1" applyAlignment="1" applyProtection="1"/>
    <xf numFmtId="165" fontId="11" fillId="3" borderId="9" xfId="1" applyFont="1" applyFill="1" applyBorder="1" applyAlignment="1" applyProtection="1"/>
    <xf numFmtId="170" fontId="13" fillId="3" borderId="0" xfId="4" applyNumberFormat="1" applyFont="1" applyFill="1" applyBorder="1" applyAlignment="1" applyProtection="1"/>
    <xf numFmtId="165" fontId="11" fillId="3" borderId="7" xfId="1" applyFont="1" applyFill="1" applyBorder="1" applyAlignment="1" applyProtection="1"/>
    <xf numFmtId="166" fontId="13" fillId="3" borderId="9" xfId="5" applyNumberFormat="1" applyFont="1" applyFill="1" applyBorder="1" applyAlignment="1" applyProtection="1"/>
    <xf numFmtId="166" fontId="11" fillId="3" borderId="7" xfId="1" applyNumberFormat="1" applyFont="1" applyFill="1" applyBorder="1" applyAlignment="1" applyProtection="1"/>
    <xf numFmtId="166" fontId="11" fillId="3" borderId="6" xfId="1" applyNumberFormat="1" applyFont="1" applyFill="1" applyBorder="1" applyAlignment="1" applyProtection="1"/>
    <xf numFmtId="166" fontId="11" fillId="3" borderId="14" xfId="0" applyNumberFormat="1" applyFont="1" applyFill="1" applyBorder="1"/>
    <xf numFmtId="170" fontId="11" fillId="3" borderId="6" xfId="0" applyNumberFormat="1" applyFont="1" applyFill="1" applyBorder="1"/>
    <xf numFmtId="170" fontId="13" fillId="3" borderId="5" xfId="7" applyNumberFormat="1" applyFont="1" applyFill="1" applyBorder="1"/>
    <xf numFmtId="170" fontId="13" fillId="3" borderId="5" xfId="0" applyNumberFormat="1" applyFont="1" applyFill="1" applyBorder="1"/>
    <xf numFmtId="172" fontId="13" fillId="3" borderId="0" xfId="0" applyNumberFormat="1" applyFont="1" applyFill="1"/>
    <xf numFmtId="172" fontId="13" fillId="3" borderId="0" xfId="0" applyNumberFormat="1" applyFont="1" applyFill="1" applyAlignment="1">
      <alignment horizontal="center"/>
    </xf>
    <xf numFmtId="168" fontId="13" fillId="3" borderId="20" xfId="4" applyNumberFormat="1" applyFont="1" applyFill="1" applyBorder="1" applyAlignment="1" applyProtection="1"/>
    <xf numFmtId="168" fontId="13" fillId="3" borderId="5" xfId="4" applyNumberFormat="1" applyFont="1" applyFill="1" applyBorder="1" applyAlignment="1" applyProtection="1"/>
    <xf numFmtId="168" fontId="13" fillId="3" borderId="21" xfId="4" applyNumberFormat="1" applyFont="1" applyFill="1" applyBorder="1" applyAlignment="1" applyProtection="1"/>
    <xf numFmtId="0" fontId="13" fillId="3" borderId="0" xfId="7" applyFont="1" applyFill="1" applyAlignment="1">
      <alignment wrapText="1"/>
    </xf>
    <xf numFmtId="0" fontId="11" fillId="3" borderId="7" xfId="0" applyFont="1" applyFill="1" applyBorder="1"/>
    <xf numFmtId="166" fontId="12" fillId="3" borderId="7" xfId="1" applyNumberFormat="1" applyFont="1" applyFill="1" applyBorder="1" applyAlignment="1" applyProtection="1"/>
    <xf numFmtId="166" fontId="13" fillId="3" borderId="7" xfId="0" applyNumberFormat="1" applyFont="1" applyFill="1" applyBorder="1"/>
    <xf numFmtId="172" fontId="13" fillId="3" borderId="7" xfId="0" applyNumberFormat="1" applyFont="1" applyFill="1" applyBorder="1"/>
    <xf numFmtId="166" fontId="13" fillId="3" borderId="0" xfId="0" applyNumberFormat="1" applyFont="1" applyFill="1"/>
    <xf numFmtId="0" fontId="11" fillId="3" borderId="1" xfId="0" applyFont="1" applyFill="1" applyBorder="1"/>
    <xf numFmtId="0" fontId="11" fillId="3" borderId="2" xfId="0" applyFont="1" applyFill="1" applyBorder="1"/>
    <xf numFmtId="0" fontId="18" fillId="3" borderId="0" xfId="0" applyFont="1" applyFill="1"/>
    <xf numFmtId="172" fontId="13" fillId="3" borderId="1" xfId="0" applyNumberFormat="1" applyFont="1" applyFill="1" applyBorder="1"/>
    <xf numFmtId="172" fontId="13" fillId="3" borderId="4" xfId="0" applyNumberFormat="1" applyFont="1" applyFill="1" applyBorder="1"/>
    <xf numFmtId="166" fontId="13" fillId="3" borderId="0" xfId="1" applyNumberFormat="1" applyFont="1" applyFill="1" applyBorder="1" applyAlignment="1" applyProtection="1"/>
    <xf numFmtId="0" fontId="11" fillId="3" borderId="4" xfId="0" applyFont="1" applyFill="1" applyBorder="1"/>
    <xf numFmtId="166" fontId="11" fillId="3" borderId="0" xfId="1" applyNumberFormat="1" applyFont="1" applyFill="1" applyBorder="1" applyAlignment="1" applyProtection="1"/>
    <xf numFmtId="173" fontId="13" fillId="3" borderId="4" xfId="0" applyNumberFormat="1" applyFont="1" applyFill="1" applyBorder="1"/>
    <xf numFmtId="173" fontId="13" fillId="3" borderId="0" xfId="0" applyNumberFormat="1" applyFont="1" applyFill="1"/>
    <xf numFmtId="0" fontId="11" fillId="3" borderId="8" xfId="0" applyFont="1" applyFill="1" applyBorder="1"/>
    <xf numFmtId="166" fontId="11" fillId="0" borderId="5" xfId="1" applyNumberFormat="1" applyFont="1" applyBorder="1" applyAlignment="1" applyProtection="1"/>
    <xf numFmtId="166" fontId="18" fillId="3" borderId="0" xfId="1" applyNumberFormat="1" applyFont="1" applyFill="1" applyBorder="1" applyAlignment="1" applyProtection="1"/>
    <xf numFmtId="172" fontId="13" fillId="3" borderId="13" xfId="0" applyNumberFormat="1" applyFont="1" applyFill="1" applyBorder="1"/>
    <xf numFmtId="173" fontId="13" fillId="3" borderId="2" xfId="0" applyNumberFormat="1" applyFont="1" applyFill="1" applyBorder="1"/>
    <xf numFmtId="173" fontId="13" fillId="3" borderId="7" xfId="0" applyNumberFormat="1" applyFont="1" applyFill="1" applyBorder="1"/>
    <xf numFmtId="172" fontId="13" fillId="3" borderId="6" xfId="0" applyNumberFormat="1" applyFont="1" applyFill="1" applyBorder="1"/>
    <xf numFmtId="166" fontId="11" fillId="3" borderId="6" xfId="0" applyNumberFormat="1" applyFont="1" applyFill="1" applyBorder="1"/>
    <xf numFmtId="166" fontId="0" fillId="3" borderId="0" xfId="0" applyNumberFormat="1" applyFill="1"/>
    <xf numFmtId="166" fontId="11" fillId="3" borderId="7" xfId="0" applyNumberFormat="1" applyFont="1" applyFill="1" applyBorder="1"/>
    <xf numFmtId="0" fontId="6" fillId="0" borderId="1" xfId="0" applyFont="1" applyBorder="1"/>
    <xf numFmtId="166" fontId="0" fillId="0" borderId="20" xfId="1" applyNumberFormat="1" applyFont="1" applyBorder="1" applyAlignment="1" applyProtection="1"/>
    <xf numFmtId="0" fontId="6" fillId="0" borderId="4" xfId="0" applyFont="1" applyBorder="1"/>
    <xf numFmtId="166" fontId="0" fillId="4" borderId="5" xfId="1" applyNumberFormat="1" applyFont="1" applyFill="1" applyBorder="1" applyAlignment="1" applyProtection="1"/>
    <xf numFmtId="0" fontId="0" fillId="0" borderId="6" xfId="0" applyBorder="1"/>
    <xf numFmtId="0" fontId="8" fillId="0" borderId="4" xfId="0" applyFont="1" applyBorder="1"/>
    <xf numFmtId="0" fontId="8" fillId="0" borderId="0" xfId="0" applyFont="1" applyBorder="1"/>
    <xf numFmtId="166" fontId="8" fillId="0" borderId="5" xfId="1" applyNumberFormat="1" applyFont="1" applyBorder="1" applyAlignment="1" applyProtection="1"/>
    <xf numFmtId="0" fontId="0" fillId="0" borderId="4" xfId="0" applyFont="1" applyBorder="1"/>
    <xf numFmtId="166" fontId="0" fillId="3" borderId="2" xfId="1" applyNumberFormat="1" applyFont="1" applyFill="1" applyBorder="1" applyAlignment="1" applyProtection="1"/>
    <xf numFmtId="166" fontId="0" fillId="3" borderId="7" xfId="1" applyNumberFormat="1" applyFont="1" applyFill="1" applyBorder="1" applyAlignment="1" applyProtection="1"/>
    <xf numFmtId="166" fontId="0" fillId="3" borderId="5" xfId="1" applyNumberFormat="1" applyFont="1" applyFill="1" applyBorder="1" applyAlignment="1" applyProtection="1"/>
    <xf numFmtId="166" fontId="0" fillId="2" borderId="2" xfId="1" applyNumberFormat="1" applyFont="1" applyFill="1" applyBorder="1" applyAlignment="1" applyProtection="1"/>
    <xf numFmtId="166" fontId="0" fillId="3" borderId="6" xfId="1" applyNumberFormat="1" applyFont="1" applyFill="1" applyBorder="1" applyAlignment="1" applyProtection="1"/>
    <xf numFmtId="166" fontId="0" fillId="0" borderId="19" xfId="1" applyNumberFormat="1" applyFont="1" applyBorder="1" applyAlignment="1" applyProtection="1"/>
    <xf numFmtId="0" fontId="0" fillId="0" borderId="22" xfId="0" applyBorder="1"/>
    <xf numFmtId="0" fontId="0" fillId="0" borderId="6" xfId="0" applyFont="1" applyBorder="1" applyAlignment="1">
      <alignment horizontal="center"/>
    </xf>
    <xf numFmtId="0" fontId="0" fillId="0" borderId="0" xfId="0" applyAlignment="1">
      <alignment horizontal="center"/>
    </xf>
    <xf numFmtId="0" fontId="0" fillId="0" borderId="3" xfId="0" applyFont="1" applyBorder="1" applyAlignment="1">
      <alignment horizontal="center"/>
    </xf>
    <xf numFmtId="0" fontId="19" fillId="0" borderId="4" xfId="0" applyFont="1" applyBorder="1"/>
    <xf numFmtId="0" fontId="0" fillId="0" borderId="0" xfId="0" applyFont="1" applyBorder="1" applyAlignment="1">
      <alignment horizontal="center"/>
    </xf>
    <xf numFmtId="166" fontId="0" fillId="0" borderId="7" xfId="0" applyNumberFormat="1" applyBorder="1"/>
    <xf numFmtId="166" fontId="0" fillId="0" borderId="13" xfId="1" applyNumberFormat="1" applyFont="1" applyBorder="1" applyAlignment="1" applyProtection="1"/>
    <xf numFmtId="166" fontId="0" fillId="0" borderId="1" xfId="0" applyNumberFormat="1" applyBorder="1"/>
    <xf numFmtId="0" fontId="0" fillId="0" borderId="13" xfId="0" applyFont="1" applyBorder="1"/>
    <xf numFmtId="166" fontId="0" fillId="0" borderId="14" xfId="0" applyNumberFormat="1" applyBorder="1"/>
    <xf numFmtId="166" fontId="0" fillId="0" borderId="13" xfId="0" applyNumberFormat="1" applyBorder="1"/>
    <xf numFmtId="0" fontId="6" fillId="0" borderId="2" xfId="0" applyFont="1" applyBorder="1" applyAlignment="1">
      <alignment horizontal="center"/>
    </xf>
    <xf numFmtId="0" fontId="5" fillId="0" borderId="14" xfId="0" applyFont="1" applyBorder="1"/>
    <xf numFmtId="0" fontId="0" fillId="2" borderId="0" xfId="0" applyFill="1"/>
    <xf numFmtId="0" fontId="0" fillId="2" borderId="4" xfId="0" applyFill="1" applyBorder="1"/>
    <xf numFmtId="0" fontId="0" fillId="2" borderId="0" xfId="0" applyFont="1" applyFill="1" applyBorder="1"/>
    <xf numFmtId="0" fontId="0" fillId="2" borderId="6" xfId="0" applyFont="1" applyFill="1" applyBorder="1"/>
    <xf numFmtId="0" fontId="0" fillId="2" borderId="8" xfId="0" applyFill="1" applyBorder="1"/>
    <xf numFmtId="166" fontId="0" fillId="2" borderId="7" xfId="1" applyNumberFormat="1" applyFont="1" applyFill="1" applyBorder="1" applyAlignment="1" applyProtection="1">
      <alignment vertical="center"/>
    </xf>
    <xf numFmtId="0" fontId="0" fillId="2" borderId="6" xfId="0" applyFont="1" applyFill="1" applyBorder="1" applyAlignment="1">
      <alignment wrapText="1"/>
    </xf>
    <xf numFmtId="0" fontId="0" fillId="0" borderId="6" xfId="0" applyFont="1" applyBorder="1" applyAlignment="1">
      <alignment horizontal="center" wrapText="1"/>
    </xf>
    <xf numFmtId="0" fontId="0" fillId="0" borderId="6" xfId="0" applyFont="1" applyBorder="1" applyAlignment="1">
      <alignment wrapText="1"/>
    </xf>
    <xf numFmtId="166" fontId="0" fillId="0" borderId="6" xfId="1" applyNumberFormat="1" applyFont="1" applyBorder="1" applyAlignment="1" applyProtection="1">
      <alignment horizontal="center" wrapText="1"/>
    </xf>
    <xf numFmtId="0" fontId="0" fillId="0" borderId="1" xfId="0" applyBorder="1" applyAlignment="1">
      <alignment horizontal="right"/>
    </xf>
    <xf numFmtId="0" fontId="0" fillId="0" borderId="3" xfId="0" applyBorder="1" applyAlignment="1">
      <alignment horizontal="center"/>
    </xf>
    <xf numFmtId="0" fontId="0" fillId="0" borderId="12" xfId="0" applyBorder="1" applyAlignment="1">
      <alignment horizontal="center"/>
    </xf>
    <xf numFmtId="166" fontId="0" fillId="0" borderId="5" xfId="1" applyNumberFormat="1" applyFont="1" applyBorder="1" applyAlignment="1" applyProtection="1">
      <alignment horizontal="center" wrapText="1"/>
    </xf>
    <xf numFmtId="0" fontId="0" fillId="0" borderId="5" xfId="0" applyBorder="1" applyAlignment="1">
      <alignment wrapText="1"/>
    </xf>
    <xf numFmtId="166" fontId="0" fillId="0" borderId="5" xfId="0" applyNumberFormat="1" applyBorder="1" applyAlignment="1">
      <alignment horizontal="center" wrapText="1"/>
    </xf>
    <xf numFmtId="0" fontId="0" fillId="0" borderId="5" xfId="0" applyBorder="1" applyAlignment="1">
      <alignment horizontal="center" wrapText="1"/>
    </xf>
    <xf numFmtId="174" fontId="0" fillId="0" borderId="0" xfId="2" applyNumberFormat="1" applyFont="1" applyBorder="1" applyAlignment="1" applyProtection="1"/>
    <xf numFmtId="166" fontId="0" fillId="0" borderId="4" xfId="0" applyNumberFormat="1" applyBorder="1"/>
    <xf numFmtId="0" fontId="6" fillId="0" borderId="0" xfId="0" applyFont="1" applyAlignment="1">
      <alignment horizontal="center"/>
    </xf>
    <xf numFmtId="166" fontId="6" fillId="0" borderId="0" xfId="1" applyNumberFormat="1" applyFont="1" applyBorder="1" applyAlignment="1" applyProtection="1"/>
    <xf numFmtId="175" fontId="0" fillId="0" borderId="6" xfId="1" applyNumberFormat="1" applyFont="1" applyBorder="1" applyAlignment="1" applyProtection="1"/>
    <xf numFmtId="176" fontId="0" fillId="0" borderId="6" xfId="1" applyNumberFormat="1" applyFont="1" applyBorder="1" applyAlignment="1" applyProtection="1"/>
    <xf numFmtId="0" fontId="0" fillId="0" borderId="0" xfId="0" applyFont="1" applyAlignment="1">
      <alignment horizontal="center"/>
    </xf>
    <xf numFmtId="166" fontId="0" fillId="2" borderId="0" xfId="1" applyNumberFormat="1" applyFont="1" applyFill="1" applyBorder="1" applyAlignment="1" applyProtection="1"/>
    <xf numFmtId="0" fontId="0" fillId="0" borderId="9" xfId="0" applyFont="1" applyBorder="1"/>
    <xf numFmtId="0" fontId="0" fillId="0" borderId="15" xfId="0" applyFont="1" applyBorder="1" applyAlignment="1">
      <alignment horizontal="center"/>
    </xf>
    <xf numFmtId="166" fontId="0" fillId="0" borderId="15" xfId="1" applyNumberFormat="1" applyFont="1" applyBorder="1" applyAlignment="1" applyProtection="1"/>
    <xf numFmtId="166" fontId="9" fillId="0" borderId="12" xfId="0" applyNumberFormat="1" applyFont="1" applyBorder="1"/>
    <xf numFmtId="166" fontId="0" fillId="0" borderId="10" xfId="0" applyNumberFormat="1" applyBorder="1"/>
    <xf numFmtId="166" fontId="20" fillId="0" borderId="5" xfId="1" applyNumberFormat="1" applyBorder="1"/>
    <xf numFmtId="166" fontId="20" fillId="0" borderId="2" xfId="1" applyNumberFormat="1" applyBorder="1"/>
    <xf numFmtId="166" fontId="20" fillId="0" borderId="7" xfId="1" applyNumberFormat="1" applyBorder="1"/>
    <xf numFmtId="0" fontId="0" fillId="0" borderId="5" xfId="0" applyFont="1" applyBorder="1"/>
    <xf numFmtId="0" fontId="6" fillId="5" borderId="4" xfId="0" applyFont="1" applyFill="1" applyBorder="1"/>
    <xf numFmtId="0" fontId="0" fillId="5" borderId="0" xfId="0" applyFont="1" applyFill="1" applyBorder="1"/>
    <xf numFmtId="166" fontId="20" fillId="5" borderId="5" xfId="1" applyNumberFormat="1" applyFill="1" applyBorder="1"/>
    <xf numFmtId="0" fontId="0" fillId="0" borderId="0" xfId="0" quotePrefix="1" applyFont="1" applyBorder="1" applyAlignment="1">
      <alignment horizontal="center"/>
    </xf>
    <xf numFmtId="166" fontId="0" fillId="0" borderId="23" xfId="1" applyNumberFormat="1" applyFont="1" applyBorder="1" applyAlignment="1" applyProtection="1"/>
    <xf numFmtId="166" fontId="0" fillId="0" borderId="24" xfId="1" applyNumberFormat="1" applyFont="1" applyBorder="1" applyAlignment="1" applyProtection="1"/>
    <xf numFmtId="166" fontId="0" fillId="0" borderId="25" xfId="1" applyNumberFormat="1" applyFont="1" applyBorder="1" applyAlignment="1" applyProtection="1"/>
    <xf numFmtId="166" fontId="0" fillId="0" borderId="26" xfId="1" applyNumberFormat="1" applyFont="1" applyBorder="1" applyAlignment="1" applyProtection="1"/>
    <xf numFmtId="0" fontId="0" fillId="0" borderId="27" xfId="0" applyFont="1" applyBorder="1"/>
    <xf numFmtId="166" fontId="0" fillId="0" borderId="28" xfId="1" applyNumberFormat="1" applyFont="1" applyBorder="1" applyAlignment="1" applyProtection="1"/>
    <xf numFmtId="166" fontId="0" fillId="6" borderId="0" xfId="0" applyNumberFormat="1" applyFill="1"/>
    <xf numFmtId="0" fontId="0" fillId="6" borderId="0" xfId="0" applyFont="1" applyFill="1"/>
    <xf numFmtId="166" fontId="20" fillId="6" borderId="0" xfId="1" applyNumberFormat="1" applyFill="1"/>
    <xf numFmtId="166" fontId="20" fillId="0" borderId="5" xfId="1" applyNumberFormat="1" applyFill="1" applyBorder="1"/>
    <xf numFmtId="166" fontId="0" fillId="0" borderId="5" xfId="0" applyNumberFormat="1" applyFill="1" applyBorder="1"/>
    <xf numFmtId="0" fontId="0" fillId="0" borderId="4" xfId="0" applyFill="1" applyBorder="1"/>
    <xf numFmtId="0" fontId="0" fillId="0" borderId="0" xfId="0" applyFont="1" applyFill="1" applyBorder="1"/>
    <xf numFmtId="166" fontId="0" fillId="0" borderId="5" xfId="1" applyNumberFormat="1" applyFont="1" applyFill="1" applyBorder="1" applyAlignment="1" applyProtection="1"/>
    <xf numFmtId="166" fontId="0" fillId="0" borderId="7" xfId="1" applyNumberFormat="1" applyFont="1" applyFill="1" applyBorder="1" applyAlignment="1" applyProtection="1"/>
    <xf numFmtId="166" fontId="0" fillId="0" borderId="2" xfId="1" applyNumberFormat="1" applyFont="1" applyFill="1" applyBorder="1" applyAlignment="1" applyProtection="1"/>
    <xf numFmtId="0" fontId="6" fillId="0" borderId="4" xfId="0" applyFont="1" applyFill="1" applyBorder="1"/>
    <xf numFmtId="166" fontId="0" fillId="0" borderId="0" xfId="0" applyNumberFormat="1" applyFont="1" applyBorder="1"/>
    <xf numFmtId="0" fontId="0" fillId="0" borderId="5" xfId="0" applyFill="1" applyBorder="1"/>
    <xf numFmtId="166" fontId="0" fillId="0" borderId="4" xfId="1" applyNumberFormat="1" applyFont="1" applyFill="1" applyBorder="1" applyAlignment="1" applyProtection="1"/>
    <xf numFmtId="0" fontId="21" fillId="0" borderId="0" xfId="0" applyFont="1"/>
    <xf numFmtId="167" fontId="21" fillId="0" borderId="0" xfId="2" applyFont="1"/>
    <xf numFmtId="166" fontId="0" fillId="0" borderId="0" xfId="0" applyNumberFormat="1" applyFill="1"/>
    <xf numFmtId="166" fontId="10" fillId="0" borderId="3" xfId="1" applyNumberFormat="1" applyFont="1" applyFill="1" applyBorder="1" applyAlignment="1" applyProtection="1"/>
    <xf numFmtId="166" fontId="8" fillId="0" borderId="0" xfId="1" applyNumberFormat="1" applyFont="1" applyFill="1" applyBorder="1" applyAlignment="1" applyProtection="1"/>
    <xf numFmtId="166" fontId="0" fillId="0" borderId="0" xfId="0" applyNumberFormat="1" applyFont="1"/>
    <xf numFmtId="166" fontId="22" fillId="6" borderId="6" xfId="0" applyNumberFormat="1" applyFont="1" applyFill="1" applyBorder="1"/>
    <xf numFmtId="166" fontId="20" fillId="0" borderId="0" xfId="1" applyNumberFormat="1"/>
    <xf numFmtId="166" fontId="22" fillId="0" borderId="6" xfId="0" applyNumberFormat="1" applyFont="1" applyBorder="1"/>
    <xf numFmtId="0" fontId="7" fillId="0" borderId="0" xfId="0" applyFont="1" applyBorder="1" applyAlignment="1">
      <alignment horizontal="left" wrapText="1"/>
    </xf>
    <xf numFmtId="0" fontId="9" fillId="0" borderId="10" xfId="0" applyFont="1" applyBorder="1" applyAlignment="1">
      <alignment horizontal="left" wrapText="1"/>
    </xf>
    <xf numFmtId="0" fontId="9" fillId="0" borderId="5" xfId="0" applyFont="1" applyBorder="1" applyAlignment="1">
      <alignment horizontal="left" wrapText="1"/>
    </xf>
    <xf numFmtId="0" fontId="0" fillId="0" borderId="5" xfId="0" applyFont="1" applyBorder="1" applyAlignment="1">
      <alignment horizontal="left"/>
    </xf>
    <xf numFmtId="0" fontId="10" fillId="0" borderId="5" xfId="0" applyFont="1" applyBorder="1" applyAlignment="1">
      <alignment horizontal="left" wrapText="1"/>
    </xf>
    <xf numFmtId="0" fontId="0" fillId="0" borderId="6" xfId="0" applyBorder="1" applyAlignment="1">
      <alignment horizontal="center"/>
    </xf>
    <xf numFmtId="0" fontId="0" fillId="0" borderId="4" xfId="0" applyFont="1" applyBorder="1" applyAlignment="1">
      <alignment horizontal="left" wrapText="1"/>
    </xf>
    <xf numFmtId="166" fontId="0" fillId="0" borderId="3" xfId="1" applyNumberFormat="1" applyFont="1" applyBorder="1" applyAlignment="1" applyProtection="1">
      <alignment horizontal="center"/>
    </xf>
    <xf numFmtId="166" fontId="0" fillId="0" borderId="0" xfId="1" applyNumberFormat="1" applyFont="1" applyBorder="1" applyAlignment="1" applyProtection="1">
      <alignment horizontal="center"/>
    </xf>
    <xf numFmtId="0" fontId="0" fillId="0" borderId="6" xfId="0" applyBorder="1" applyAlignment="1">
      <alignment horizontal="center" vertical="center"/>
    </xf>
    <xf numFmtId="0" fontId="0" fillId="0" borderId="15" xfId="0" applyBorder="1" applyAlignment="1">
      <alignment horizontal="center"/>
    </xf>
    <xf numFmtId="0" fontId="0" fillId="2" borderId="16" xfId="0" applyFont="1" applyFill="1" applyBorder="1" applyAlignment="1">
      <alignment horizontal="left" vertical="center" wrapText="1"/>
    </xf>
    <xf numFmtId="0" fontId="0" fillId="0" borderId="6" xfId="0" applyFont="1" applyBorder="1" applyAlignment="1">
      <alignment horizontal="center"/>
    </xf>
    <xf numFmtId="0" fontId="0" fillId="0" borderId="0" xfId="0" applyFont="1" applyBorder="1" applyAlignment="1">
      <alignment horizontal="center"/>
    </xf>
    <xf numFmtId="0" fontId="24" fillId="0" borderId="0" xfId="0" applyFont="1"/>
    <xf numFmtId="178" fontId="0" fillId="0" borderId="0" xfId="1" applyNumberFormat="1" applyFont="1"/>
    <xf numFmtId="0" fontId="23" fillId="0" borderId="0" xfId="0" applyFont="1"/>
    <xf numFmtId="178" fontId="0" fillId="0" borderId="2" xfId="1" applyNumberFormat="1" applyFont="1" applyBorder="1"/>
    <xf numFmtId="178" fontId="0" fillId="0" borderId="5" xfId="1" applyNumberFormat="1" applyFont="1" applyBorder="1"/>
    <xf numFmtId="0" fontId="0" fillId="0" borderId="5" xfId="0" applyBorder="1" applyAlignment="1">
      <alignment horizontal="center"/>
    </xf>
    <xf numFmtId="178" fontId="25" fillId="0" borderId="5" xfId="1" applyNumberFormat="1" applyFont="1" applyBorder="1" applyAlignment="1">
      <alignment horizontal="center"/>
    </xf>
    <xf numFmtId="0" fontId="25" fillId="0" borderId="5" xfId="0" applyFont="1" applyBorder="1" applyAlignment="1">
      <alignment horizontal="center"/>
    </xf>
    <xf numFmtId="0" fontId="25" fillId="0" borderId="5" xfId="0" applyFont="1" applyBorder="1"/>
    <xf numFmtId="0" fontId="23" fillId="0" borderId="1" xfId="0" applyFont="1" applyBorder="1"/>
    <xf numFmtId="0" fontId="23" fillId="0" borderId="4" xfId="0" applyFont="1" applyBorder="1"/>
    <xf numFmtId="0" fontId="0" fillId="0" borderId="4" xfId="0" applyBorder="1" applyAlignment="1">
      <alignment horizontal="left" wrapText="1"/>
    </xf>
    <xf numFmtId="0" fontId="0" fillId="0" borderId="0" xfId="0" applyAlignment="1">
      <alignment horizontal="left" wrapText="1"/>
    </xf>
    <xf numFmtId="0" fontId="0" fillId="0" borderId="10" xfId="0" applyBorder="1" applyAlignment="1">
      <alignment horizontal="left" wrapText="1"/>
    </xf>
    <xf numFmtId="165" fontId="0" fillId="0" borderId="2" xfId="1" applyFont="1" applyBorder="1"/>
    <xf numFmtId="178" fontId="0" fillId="0" borderId="7" xfId="1" applyNumberFormat="1" applyFont="1" applyBorder="1"/>
    <xf numFmtId="0" fontId="26" fillId="0" borderId="13" xfId="0" applyFont="1" applyBorder="1"/>
    <xf numFmtId="178" fontId="0" fillId="0" borderId="6" xfId="1" applyNumberFormat="1" applyFont="1" applyBorder="1"/>
    <xf numFmtId="0" fontId="27" fillId="0" borderId="0" xfId="0" applyFont="1" applyAlignment="1">
      <alignment horizontal="left" wrapText="1"/>
    </xf>
    <xf numFmtId="0" fontId="27" fillId="0" borderId="10" xfId="0" applyFont="1" applyBorder="1" applyAlignment="1">
      <alignment horizontal="left" wrapText="1"/>
    </xf>
    <xf numFmtId="0" fontId="27" fillId="0" borderId="0" xfId="0" applyFont="1"/>
    <xf numFmtId="0" fontId="0" fillId="0" borderId="0" xfId="0" applyAlignment="1">
      <alignment horizontal="left"/>
    </xf>
    <xf numFmtId="0" fontId="0" fillId="0" borderId="10" xfId="0" applyBorder="1" applyAlignment="1">
      <alignment horizontal="left"/>
    </xf>
    <xf numFmtId="0" fontId="28" fillId="0" borderId="0" xfId="0" applyFont="1"/>
    <xf numFmtId="178" fontId="0" fillId="0" borderId="5" xfId="0" applyNumberFormat="1" applyBorder="1"/>
    <xf numFmtId="178" fontId="0" fillId="5" borderId="5" xfId="1" applyNumberFormat="1" applyFont="1" applyFill="1" applyBorder="1"/>
    <xf numFmtId="0" fontId="29" fillId="0" borderId="13" xfId="0" applyFont="1" applyBorder="1"/>
    <xf numFmtId="0" fontId="23" fillId="0" borderId="13" xfId="0" applyFont="1" applyBorder="1"/>
    <xf numFmtId="178" fontId="23" fillId="0" borderId="7" xfId="1" applyNumberFormat="1" applyFont="1" applyBorder="1"/>
    <xf numFmtId="178" fontId="23" fillId="0" borderId="6" xfId="1" applyNumberFormat="1" applyFont="1" applyBorder="1"/>
    <xf numFmtId="1" fontId="23" fillId="0" borderId="6" xfId="1" applyNumberFormat="1" applyFont="1" applyBorder="1"/>
    <xf numFmtId="178" fontId="0" fillId="0" borderId="0" xfId="0" applyNumberFormat="1"/>
    <xf numFmtId="178" fontId="0" fillId="0" borderId="2" xfId="0" applyNumberFormat="1" applyBorder="1"/>
    <xf numFmtId="0" fontId="0" fillId="0" borderId="8" xfId="0" applyBorder="1"/>
    <xf numFmtId="178" fontId="30" fillId="0" borderId="0" xfId="1" applyNumberFormat="1" applyFont="1"/>
    <xf numFmtId="178" fontId="0" fillId="0" borderId="0" xfId="1" applyNumberFormat="1" applyFont="1" applyBorder="1"/>
    <xf numFmtId="178" fontId="0" fillId="0" borderId="3" xfId="1" applyNumberFormat="1" applyFont="1" applyBorder="1"/>
    <xf numFmtId="0" fontId="27" fillId="0" borderId="10" xfId="0" applyFont="1" applyBorder="1" applyAlignment="1">
      <alignment horizontal="left" wrapText="1"/>
    </xf>
    <xf numFmtId="0" fontId="0" fillId="0" borderId="10" xfId="0" applyBorder="1" applyAlignment="1">
      <alignment horizontal="left"/>
    </xf>
    <xf numFmtId="166" fontId="31" fillId="3" borderId="0" xfId="1" applyNumberFormat="1" applyFont="1" applyFill="1" applyBorder="1" applyAlignment="1" applyProtection="1"/>
    <xf numFmtId="178" fontId="0" fillId="0" borderId="5" xfId="1" applyNumberFormat="1" applyFont="1" applyFill="1" applyBorder="1"/>
    <xf numFmtId="178" fontId="0" fillId="0" borderId="2" xfId="1" applyNumberFormat="1" applyFont="1" applyFill="1" applyBorder="1"/>
    <xf numFmtId="178" fontId="30" fillId="5" borderId="0" xfId="1" applyNumberFormat="1" applyFont="1" applyFill="1"/>
  </cellXfs>
  <cellStyles count="9">
    <cellStyle name="Comma" xfId="1" builtinId="3"/>
    <cellStyle name="Comma 2" xfId="4" xr:uid="{00000000-0005-0000-0000-000006000000}"/>
    <cellStyle name="Hyperlink" xfId="3" builtinId="8"/>
    <cellStyle name="Millares 10" xfId="5" xr:uid="{00000000-0005-0000-0000-000007000000}"/>
    <cellStyle name="Millares 11" xfId="6" xr:uid="{00000000-0005-0000-0000-000008000000}"/>
    <cellStyle name="Normal" xfId="0" builtinId="0"/>
    <cellStyle name="Normal 2 10" xfId="7" xr:uid="{00000000-0005-0000-0000-000009000000}"/>
    <cellStyle name="Normal 4" xfId="8" xr:uid="{00000000-0005-0000-0000-00000A000000}"/>
    <cellStyle name="Percent" xfId="2"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92D050"/>
      <rgbColor rgb="FF808080"/>
      <rgbColor rgb="FF9999FF"/>
      <rgbColor rgb="FF993366"/>
      <rgbColor rgb="FFE7E6E6"/>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81D41A"/>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stefita/Documentos/GitHub/consolidados/home/stefita/Documentos/GitHub/consolidados/home/stefita/Documentos/GitHub/consolidados/home/stefita/Documentos/GitHub/consolidados/home/stefita/Documentos/GitHub/consolidados/home/stefita/Documentos/GitHub/consolidados/Users/Carlos%20Almeida/Documents/CPAlmeida/CLIENTES/Telconet%202019/Consolidado%20Telconet%20&amp;%20subsidiarias%202019/Consolidado%20Telconet%20&amp;%20Subsidiarias%202019-2018.xlsx?8F9CE4A9" TargetMode="External"/><Relationship Id="rId1" Type="http://schemas.openxmlformats.org/officeDocument/2006/relationships/externalLinkPath" Target="file:///\\8F9CE4A9\Consolidado%20Telconet%20&amp;%20Subsidiarias%202019-20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lconet%20EFs%20combinado%20final%202019-2018%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F - ERI"/>
      <sheetName val="EF Informe"/>
      <sheetName val="PyG Informe"/>
      <sheetName val="Estado de Cambios en el Patr."/>
      <sheetName val="Diario 2015 (a)"/>
      <sheetName val="Diarios Cxc Cxp relac (c)"/>
      <sheetName val="Ventas-Compras (d)"/>
      <sheetName val="Asientos - para Consolidado"/>
      <sheetName val="PNC"/>
      <sheetName val="Hoja2"/>
      <sheetName val="Variación Patrimonio 2017-2016"/>
      <sheetName val="Variación Patrimonio 2018-2017"/>
      <sheetName val="Inversiones"/>
      <sheetName val="Participaciones"/>
      <sheetName val="Saldos interco."/>
      <sheetName val="Planilla final"/>
      <sheetName val="AD ESF"/>
      <sheetName val="AD ERI"/>
      <sheetName val="ESF19"/>
      <sheetName val="ERI19"/>
      <sheetName val="ECP19"/>
      <sheetName val="PAT19"/>
      <sheetName val="EFE19"/>
      <sheetName val="Planilla Final 2017"/>
      <sheetName val="Participaciones 201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row r="5">
          <cell r="R5">
            <v>1742562</v>
          </cell>
        </row>
        <row r="6">
          <cell r="R6">
            <v>2644455</v>
          </cell>
        </row>
        <row r="7">
          <cell r="R7">
            <v>102620</v>
          </cell>
        </row>
        <row r="8">
          <cell r="R8">
            <v>15563404</v>
          </cell>
        </row>
        <row r="9">
          <cell r="R9">
            <v>25074997</v>
          </cell>
        </row>
        <row r="10">
          <cell r="R10">
            <v>5538448</v>
          </cell>
        </row>
        <row r="11">
          <cell r="R11">
            <v>1124779</v>
          </cell>
        </row>
        <row r="12">
          <cell r="R12">
            <v>642184</v>
          </cell>
        </row>
        <row r="13">
          <cell r="R13">
            <v>14885027</v>
          </cell>
        </row>
        <row r="14">
          <cell r="R14">
            <v>3150764</v>
          </cell>
        </row>
        <row r="15">
          <cell r="R15">
            <v>3212434</v>
          </cell>
        </row>
        <row r="16">
          <cell r="R16">
            <v>112886401</v>
          </cell>
        </row>
        <row r="17">
          <cell r="R17">
            <v>661755</v>
          </cell>
        </row>
        <row r="18">
          <cell r="R18">
            <v>11276112</v>
          </cell>
        </row>
        <row r="19">
          <cell r="R19">
            <v>1422229</v>
          </cell>
        </row>
        <row r="20">
          <cell r="R20">
            <v>3318028</v>
          </cell>
        </row>
        <row r="21">
          <cell r="R21">
            <v>883849</v>
          </cell>
        </row>
        <row r="22">
          <cell r="R22">
            <v>3442838</v>
          </cell>
        </row>
        <row r="24">
          <cell r="R24">
            <v>260402</v>
          </cell>
        </row>
        <row r="25">
          <cell r="R25">
            <v>13413675</v>
          </cell>
        </row>
        <row r="26">
          <cell r="R26">
            <v>11459310</v>
          </cell>
        </row>
        <row r="27">
          <cell r="R27">
            <v>20436045</v>
          </cell>
        </row>
        <row r="28">
          <cell r="R28">
            <v>1913629</v>
          </cell>
        </row>
        <row r="29">
          <cell r="R29">
            <v>4274907</v>
          </cell>
        </row>
        <row r="30">
          <cell r="R30">
            <v>3688368</v>
          </cell>
        </row>
        <row r="31">
          <cell r="R31">
            <v>1953502</v>
          </cell>
        </row>
        <row r="32">
          <cell r="R32">
            <v>4559467</v>
          </cell>
        </row>
        <row r="33">
          <cell r="R33">
            <v>4183053</v>
          </cell>
        </row>
        <row r="34">
          <cell r="R34">
            <v>9674932</v>
          </cell>
        </row>
        <row r="35">
          <cell r="R35">
            <v>6710516</v>
          </cell>
        </row>
        <row r="36">
          <cell r="R36">
            <v>2203673</v>
          </cell>
        </row>
        <row r="37">
          <cell r="R37">
            <v>10628880</v>
          </cell>
        </row>
        <row r="38">
          <cell r="R38">
            <v>2315979</v>
          </cell>
        </row>
        <row r="39">
          <cell r="R39">
            <v>5185547</v>
          </cell>
        </row>
        <row r="40">
          <cell r="R40">
            <v>20813206</v>
          </cell>
        </row>
        <row r="41">
          <cell r="R41">
            <v>3572443</v>
          </cell>
        </row>
        <row r="51">
          <cell r="R51">
            <v>80325352</v>
          </cell>
        </row>
      </sheetData>
      <sheetData sheetId="2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e"/>
      <sheetName val="BG "/>
      <sheetName val="ER"/>
      <sheetName val="EFE"/>
      <sheetName val="Hoja de trabajo"/>
      <sheetName val="PAT"/>
      <sheetName val="AD"/>
      <sheetName val="Impuesto diferido"/>
      <sheetName val="Ratios"/>
      <sheetName val="PP&amp;E"/>
      <sheetName val="Impto diferido"/>
    </sheetNames>
    <sheetDataSet>
      <sheetData sheetId="0"/>
      <sheetData sheetId="1"/>
      <sheetData sheetId="2">
        <row r="32">
          <cell r="J32">
            <v>13627931.449999988</v>
          </cell>
          <cell r="M32">
            <v>3639537</v>
          </cell>
          <cell r="S32">
            <v>1245089</v>
          </cell>
        </row>
        <row r="35">
          <cell r="M35">
            <v>-555396.5</v>
          </cell>
        </row>
      </sheetData>
      <sheetData sheetId="3"/>
      <sheetData sheetId="4">
        <row r="5">
          <cell r="B5">
            <v>7639576</v>
          </cell>
          <cell r="K5">
            <v>50776</v>
          </cell>
        </row>
      </sheetData>
      <sheetData sheetId="5"/>
      <sheetData sheetId="6">
        <row r="23">
          <cell r="J23">
            <v>5827272</v>
          </cell>
          <cell r="L23">
            <v>7144181</v>
          </cell>
        </row>
        <row r="41">
          <cell r="J41">
            <v>9726442</v>
          </cell>
          <cell r="L41">
            <v>8402210</v>
          </cell>
        </row>
      </sheetData>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C8"/>
  <sheetViews>
    <sheetView zoomScaleNormal="100" workbookViewId="0">
      <selection activeCell="C13" sqref="C13"/>
    </sheetView>
  </sheetViews>
  <sheetFormatPr defaultColWidth="9.28515625" defaultRowHeight="15" x14ac:dyDescent="0.25"/>
  <cols>
    <col min="2" max="2" width="2.5703125" customWidth="1"/>
    <col min="3" max="3" width="59" customWidth="1"/>
  </cols>
  <sheetData>
    <row r="3" spans="2:3" x14ac:dyDescent="0.25">
      <c r="B3" t="s">
        <v>0</v>
      </c>
      <c r="C3" s="1" t="s">
        <v>1</v>
      </c>
    </row>
    <row r="4" spans="2:3" x14ac:dyDescent="0.25">
      <c r="B4" t="s">
        <v>2</v>
      </c>
      <c r="C4" s="1" t="s">
        <v>3</v>
      </c>
    </row>
    <row r="5" spans="2:3" x14ac:dyDescent="0.25">
      <c r="B5" t="s">
        <v>4</v>
      </c>
      <c r="C5" s="1" t="s">
        <v>5</v>
      </c>
    </row>
    <row r="6" spans="2:3" x14ac:dyDescent="0.25">
      <c r="B6" t="s">
        <v>6</v>
      </c>
      <c r="C6" s="1" t="s">
        <v>7</v>
      </c>
    </row>
    <row r="7" spans="2:3" x14ac:dyDescent="0.25">
      <c r="B7" t="s">
        <v>8</v>
      </c>
      <c r="C7" s="1" t="s">
        <v>9</v>
      </c>
    </row>
    <row r="8" spans="2:3" x14ac:dyDescent="0.25">
      <c r="B8" t="s">
        <v>10</v>
      </c>
      <c r="C8" s="1" t="s">
        <v>11</v>
      </c>
    </row>
  </sheetData>
  <hyperlinks>
    <hyperlink ref="C3" location="'BG '!A1" display="ESTADOS DE SITUACION FINANCIERA COMBINADOS" xr:uid="{00000000-0004-0000-0000-000000000000}"/>
    <hyperlink ref="C4" location="ER!A1" display="ESTADOS DE RESULTADOS COMBINADOS" xr:uid="{00000000-0004-0000-0000-000001000000}"/>
    <hyperlink ref="C5" location="FE!A1" display="FLUJOS DE EFECTIVO COMBINADOS" xr:uid="{00000000-0004-0000-0000-000002000000}"/>
    <hyperlink ref="C6" location="PAT!A1" display="MOVIMIENTO DEL PATRIMONIO DE ACCIONISTAS COMIBINADOS" xr:uid="{00000000-0004-0000-0000-000003000000}"/>
    <hyperlink ref="C7" location="AD!A1" display="ASIENTOS CONTABLES DE COMBINACION" xr:uid="{00000000-0004-0000-0000-000004000000}"/>
    <hyperlink ref="C8" location="Ratios!A1" display="RATIOS FINANCIEROS" xr:uid="{00000000-0004-0000-0000-000005000000}"/>
  </hyperlink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O32"/>
  <sheetViews>
    <sheetView topLeftCell="A4" zoomScaleNormal="100" workbookViewId="0">
      <selection activeCell="D20" sqref="D20"/>
    </sheetView>
  </sheetViews>
  <sheetFormatPr defaultColWidth="11.5703125" defaultRowHeight="15" x14ac:dyDescent="0.25"/>
  <cols>
    <col min="3" max="3" width="11.5703125" customWidth="1"/>
    <col min="7" max="7" width="12.7109375" customWidth="1"/>
    <col min="8" max="8" width="12.5703125" customWidth="1"/>
    <col min="9" max="9" width="12.7109375" customWidth="1"/>
    <col min="10" max="10" width="12.5703125" customWidth="1"/>
  </cols>
  <sheetData>
    <row r="2" spans="2:10" x14ac:dyDescent="0.25">
      <c r="B2" t="s">
        <v>408</v>
      </c>
    </row>
    <row r="4" spans="2:10" x14ac:dyDescent="0.25">
      <c r="C4" s="278" t="s">
        <v>409</v>
      </c>
      <c r="D4" s="278"/>
      <c r="E4" s="278"/>
      <c r="F4" s="221" t="s">
        <v>410</v>
      </c>
      <c r="H4" t="s">
        <v>411</v>
      </c>
    </row>
    <row r="5" spans="2:10" x14ac:dyDescent="0.25">
      <c r="C5">
        <v>2016</v>
      </c>
      <c r="D5">
        <v>2015</v>
      </c>
      <c r="E5">
        <v>2014</v>
      </c>
      <c r="F5" s="221">
        <v>0.33329999999999999</v>
      </c>
      <c r="G5" t="s">
        <v>412</v>
      </c>
      <c r="H5" t="s">
        <v>413</v>
      </c>
      <c r="I5" t="s">
        <v>414</v>
      </c>
      <c r="J5" s="221" t="s">
        <v>353</v>
      </c>
    </row>
    <row r="6" spans="2:10" x14ac:dyDescent="0.25">
      <c r="B6" t="s">
        <v>415</v>
      </c>
      <c r="C6" s="2"/>
      <c r="D6" s="2"/>
      <c r="E6" s="2"/>
      <c r="G6">
        <f t="shared" ref="G6:G17" si="0">+O21</f>
        <v>0</v>
      </c>
    </row>
    <row r="7" spans="2:10" x14ac:dyDescent="0.25">
      <c r="B7" t="s">
        <v>416</v>
      </c>
      <c r="C7" s="2"/>
      <c r="D7" s="2"/>
      <c r="E7" s="2"/>
      <c r="G7">
        <f t="shared" si="0"/>
        <v>0</v>
      </c>
    </row>
    <row r="8" spans="2:10" x14ac:dyDescent="0.25">
      <c r="B8" t="s">
        <v>417</v>
      </c>
      <c r="C8" s="2"/>
      <c r="D8" s="2"/>
      <c r="E8" s="2"/>
      <c r="G8">
        <f t="shared" si="0"/>
        <v>0</v>
      </c>
    </row>
    <row r="9" spans="2:10" x14ac:dyDescent="0.25">
      <c r="B9" t="s">
        <v>418</v>
      </c>
      <c r="C9" s="2"/>
      <c r="D9" s="2"/>
      <c r="E9" s="2"/>
      <c r="G9">
        <f t="shared" si="0"/>
        <v>0</v>
      </c>
    </row>
    <row r="10" spans="2:10" x14ac:dyDescent="0.25">
      <c r="B10" t="s">
        <v>419</v>
      </c>
      <c r="C10" s="2"/>
      <c r="D10" s="2"/>
      <c r="E10" s="2"/>
      <c r="G10">
        <f t="shared" si="0"/>
        <v>0</v>
      </c>
    </row>
    <row r="11" spans="2:10" x14ac:dyDescent="0.25">
      <c r="B11" t="s">
        <v>420</v>
      </c>
      <c r="C11" s="2"/>
      <c r="D11" s="2"/>
      <c r="E11" s="2"/>
      <c r="G11">
        <f t="shared" si="0"/>
        <v>0</v>
      </c>
    </row>
    <row r="12" spans="2:10" x14ac:dyDescent="0.25">
      <c r="B12" t="s">
        <v>421</v>
      </c>
      <c r="C12" s="2"/>
      <c r="D12" s="2"/>
      <c r="E12" s="2"/>
      <c r="G12">
        <f t="shared" si="0"/>
        <v>0</v>
      </c>
    </row>
    <row r="13" spans="2:10" x14ac:dyDescent="0.25">
      <c r="B13" t="s">
        <v>422</v>
      </c>
      <c r="C13" s="2"/>
      <c r="D13" s="2"/>
      <c r="E13" s="2"/>
      <c r="G13">
        <f t="shared" si="0"/>
        <v>0</v>
      </c>
    </row>
    <row r="14" spans="2:10" x14ac:dyDescent="0.25">
      <c r="B14" t="s">
        <v>423</v>
      </c>
      <c r="C14" s="2"/>
      <c r="D14" s="2"/>
      <c r="E14" s="2"/>
      <c r="G14">
        <f t="shared" si="0"/>
        <v>0</v>
      </c>
    </row>
    <row r="15" spans="2:10" x14ac:dyDescent="0.25">
      <c r="B15" t="s">
        <v>424</v>
      </c>
      <c r="C15" s="2"/>
      <c r="D15" s="2"/>
      <c r="E15" s="2"/>
      <c r="G15">
        <f t="shared" si="0"/>
        <v>0</v>
      </c>
    </row>
    <row r="16" spans="2:10" x14ac:dyDescent="0.25">
      <c r="B16" t="s">
        <v>425</v>
      </c>
      <c r="C16" s="2"/>
      <c r="D16" s="2"/>
      <c r="E16" s="2"/>
      <c r="G16">
        <f t="shared" si="0"/>
        <v>0</v>
      </c>
    </row>
    <row r="17" spans="2:15" x14ac:dyDescent="0.25">
      <c r="B17" t="s">
        <v>426</v>
      </c>
      <c r="C17" s="2"/>
      <c r="D17" s="2"/>
      <c r="E17" s="2"/>
      <c r="G17">
        <f t="shared" si="0"/>
        <v>0</v>
      </c>
    </row>
    <row r="18" spans="2:15" x14ac:dyDescent="0.25">
      <c r="B18" t="s">
        <v>315</v>
      </c>
      <c r="C18" s="2">
        <v>15846166</v>
      </c>
      <c r="D18" s="2">
        <v>5700370</v>
      </c>
      <c r="E18" s="2">
        <v>1475332</v>
      </c>
      <c r="G18" s="222">
        <f>3922517-2391661</f>
        <v>1530856</v>
      </c>
      <c r="H18" s="2">
        <f>+D18*F5</f>
        <v>1899933.321</v>
      </c>
      <c r="I18" s="2">
        <f>+E18*F5</f>
        <v>491728.1556</v>
      </c>
      <c r="J18" s="2">
        <f>SUM(G18:I18)</f>
        <v>3922517.4766000002</v>
      </c>
    </row>
    <row r="19" spans="2:15" x14ac:dyDescent="0.25">
      <c r="G19" s="32"/>
      <c r="J19" s="2"/>
    </row>
    <row r="20" spans="2:15" x14ac:dyDescent="0.25">
      <c r="C20" t="s">
        <v>415</v>
      </c>
      <c r="D20" t="s">
        <v>416</v>
      </c>
      <c r="E20" t="s">
        <v>417</v>
      </c>
      <c r="F20" t="s">
        <v>418</v>
      </c>
      <c r="G20" t="s">
        <v>419</v>
      </c>
      <c r="H20" t="s">
        <v>420</v>
      </c>
      <c r="I20" t="s">
        <v>421</v>
      </c>
      <c r="J20" t="s">
        <v>422</v>
      </c>
      <c r="K20" t="s">
        <v>423</v>
      </c>
      <c r="L20" t="s">
        <v>424</v>
      </c>
      <c r="M20" t="s">
        <v>425</v>
      </c>
      <c r="N20" t="s">
        <v>426</v>
      </c>
      <c r="O20" t="s">
        <v>315</v>
      </c>
    </row>
    <row r="21" spans="2:15" x14ac:dyDescent="0.25">
      <c r="B21" t="s">
        <v>415</v>
      </c>
      <c r="C21">
        <v>0</v>
      </c>
      <c r="D21">
        <f t="shared" ref="D21:N21" si="1">(+$C$6*$F$5)/12</f>
        <v>0</v>
      </c>
      <c r="E21">
        <f t="shared" si="1"/>
        <v>0</v>
      </c>
      <c r="F21">
        <f t="shared" si="1"/>
        <v>0</v>
      </c>
      <c r="G21">
        <f t="shared" si="1"/>
        <v>0</v>
      </c>
      <c r="H21">
        <f t="shared" si="1"/>
        <v>0</v>
      </c>
      <c r="I21">
        <f t="shared" si="1"/>
        <v>0</v>
      </c>
      <c r="J21">
        <f t="shared" si="1"/>
        <v>0</v>
      </c>
      <c r="K21">
        <f t="shared" si="1"/>
        <v>0</v>
      </c>
      <c r="L21">
        <f t="shared" si="1"/>
        <v>0</v>
      </c>
      <c r="M21">
        <f t="shared" si="1"/>
        <v>0</v>
      </c>
      <c r="N21">
        <f t="shared" si="1"/>
        <v>0</v>
      </c>
      <c r="O21">
        <f>SUM(C21:N21)</f>
        <v>0</v>
      </c>
    </row>
    <row r="22" spans="2:15" x14ac:dyDescent="0.25">
      <c r="B22" t="s">
        <v>416</v>
      </c>
    </row>
    <row r="23" spans="2:15" x14ac:dyDescent="0.25">
      <c r="B23" t="s">
        <v>417</v>
      </c>
    </row>
    <row r="24" spans="2:15" x14ac:dyDescent="0.25">
      <c r="B24" t="s">
        <v>418</v>
      </c>
    </row>
    <row r="25" spans="2:15" x14ac:dyDescent="0.25">
      <c r="B25" t="s">
        <v>419</v>
      </c>
    </row>
    <row r="26" spans="2:15" x14ac:dyDescent="0.25">
      <c r="B26" t="s">
        <v>420</v>
      </c>
    </row>
    <row r="27" spans="2:15" x14ac:dyDescent="0.25">
      <c r="B27" t="s">
        <v>421</v>
      </c>
    </row>
    <row r="28" spans="2:15" x14ac:dyDescent="0.25">
      <c r="B28" t="s">
        <v>422</v>
      </c>
    </row>
    <row r="29" spans="2:15" x14ac:dyDescent="0.25">
      <c r="B29" t="s">
        <v>423</v>
      </c>
    </row>
    <row r="30" spans="2:15" x14ac:dyDescent="0.25">
      <c r="B30" t="s">
        <v>424</v>
      </c>
    </row>
    <row r="31" spans="2:15" x14ac:dyDescent="0.25">
      <c r="B31" t="s">
        <v>425</v>
      </c>
    </row>
    <row r="32" spans="2:15" x14ac:dyDescent="0.25">
      <c r="B32" t="s">
        <v>426</v>
      </c>
    </row>
  </sheetData>
  <mergeCells count="1">
    <mergeCell ref="C4:E4"/>
  </mergeCells>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3:E5"/>
  <sheetViews>
    <sheetView zoomScaleNormal="100" workbookViewId="0">
      <selection activeCell="E9" sqref="E9"/>
    </sheetView>
  </sheetViews>
  <sheetFormatPr defaultColWidth="11.5703125" defaultRowHeight="15" x14ac:dyDescent="0.25"/>
  <cols>
    <col min="5" max="5" width="11.5703125" customWidth="1"/>
  </cols>
  <sheetData>
    <row r="3" spans="2:5" x14ac:dyDescent="0.25">
      <c r="B3" t="s">
        <v>427</v>
      </c>
      <c r="E3" s="2">
        <f>+'PP&amp;E'!E18</f>
        <v>1475332</v>
      </c>
    </row>
    <row r="4" spans="2:5" x14ac:dyDescent="0.25">
      <c r="B4" t="s">
        <v>428</v>
      </c>
      <c r="E4" s="2">
        <f>+'PP&amp;E'!D18</f>
        <v>5700370</v>
      </c>
    </row>
    <row r="5" spans="2:5" x14ac:dyDescent="0.25">
      <c r="B5" t="s">
        <v>429</v>
      </c>
      <c r="E5" s="2">
        <f>+'PP&amp;E'!C18</f>
        <v>15846166</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80"/>
  <sheetViews>
    <sheetView zoomScaleNormal="100" workbookViewId="0">
      <pane xSplit="3" ySplit="5" topLeftCell="E6" activePane="bottomRight" state="frozen"/>
      <selection pane="topRight" activeCell="F1" sqref="F1"/>
      <selection pane="bottomLeft" activeCell="A38" sqref="A38"/>
      <selection pane="bottomRight" activeCell="H71" sqref="H71"/>
    </sheetView>
  </sheetViews>
  <sheetFormatPr defaultColWidth="11.5703125" defaultRowHeight="15" x14ac:dyDescent="0.25"/>
  <cols>
    <col min="1" max="1" width="2.85546875" customWidth="1"/>
    <col min="3" max="3" width="30.5703125" customWidth="1"/>
    <col min="4" max="4" width="2.28515625" customWidth="1"/>
    <col min="5" max="5" width="12.5703125" customWidth="1"/>
    <col min="6" max="6" width="11.85546875" customWidth="1"/>
    <col min="7" max="7" width="12.5703125" customWidth="1"/>
    <col min="8" max="8" width="14.140625" customWidth="1"/>
    <col min="9" max="9" width="12.5703125" customWidth="1"/>
    <col min="10" max="10" width="1.42578125" customWidth="1"/>
    <col min="11" max="11" width="13.28515625" customWidth="1"/>
    <col min="12" max="12" width="12.140625" customWidth="1"/>
    <col min="13" max="13" width="12.85546875" customWidth="1"/>
    <col min="14" max="14" width="14" customWidth="1"/>
    <col min="15" max="15" width="13.42578125" customWidth="1"/>
    <col min="16" max="16" width="2.7109375" hidden="1" customWidth="1"/>
    <col min="17" max="19" width="12.28515625" style="2" hidden="1" customWidth="1"/>
    <col min="20" max="20" width="12.7109375" style="2" hidden="1" customWidth="1"/>
    <col min="21" max="21" width="12.28515625" style="2" hidden="1" customWidth="1"/>
    <col min="22" max="22" width="2.7109375" customWidth="1"/>
  </cols>
  <sheetData>
    <row r="1" spans="1:21" x14ac:dyDescent="0.25">
      <c r="A1" s="3" t="s">
        <v>12</v>
      </c>
    </row>
    <row r="2" spans="1:21" x14ac:dyDescent="0.25">
      <c r="A2" s="4" t="s">
        <v>1</v>
      </c>
    </row>
    <row r="3" spans="1:21" x14ac:dyDescent="0.25">
      <c r="A3" s="4" t="s">
        <v>13</v>
      </c>
      <c r="E3" s="5"/>
      <c r="F3" s="6"/>
      <c r="G3" s="7"/>
      <c r="H3" s="5"/>
      <c r="I3" s="6"/>
      <c r="K3" s="5"/>
      <c r="L3" s="6"/>
      <c r="M3" s="7"/>
      <c r="N3" s="5"/>
      <c r="O3" s="6"/>
      <c r="Q3" s="5"/>
      <c r="R3" s="6"/>
      <c r="S3" s="7"/>
      <c r="T3" s="5"/>
      <c r="U3" s="6"/>
    </row>
    <row r="4" spans="1:21" x14ac:dyDescent="0.25">
      <c r="A4" s="8" t="s">
        <v>14</v>
      </c>
      <c r="E4" s="9"/>
      <c r="F4" s="10"/>
      <c r="G4" s="2"/>
      <c r="H4" s="11" t="s">
        <v>15</v>
      </c>
      <c r="I4" s="12">
        <v>2020</v>
      </c>
      <c r="K4" s="9"/>
      <c r="L4" s="10"/>
      <c r="M4" s="2"/>
      <c r="N4" s="11" t="s">
        <v>15</v>
      </c>
      <c r="O4" s="12">
        <v>2019</v>
      </c>
      <c r="Q4" s="9"/>
      <c r="R4" s="10"/>
      <c r="T4" s="11" t="s">
        <v>15</v>
      </c>
      <c r="U4" s="12">
        <v>2017</v>
      </c>
    </row>
    <row r="5" spans="1:21" x14ac:dyDescent="0.25">
      <c r="E5" s="13" t="s">
        <v>16</v>
      </c>
      <c r="F5" s="14" t="s">
        <v>17</v>
      </c>
      <c r="G5" s="15" t="s">
        <v>18</v>
      </c>
      <c r="H5" s="16" t="s">
        <v>19</v>
      </c>
      <c r="I5" s="14" t="s">
        <v>20</v>
      </c>
      <c r="K5" s="13" t="s">
        <v>16</v>
      </c>
      <c r="L5" s="14" t="s">
        <v>17</v>
      </c>
      <c r="M5" s="15" t="s">
        <v>18</v>
      </c>
      <c r="N5" s="16" t="s">
        <v>19</v>
      </c>
      <c r="O5" s="14" t="s">
        <v>20</v>
      </c>
      <c r="Q5" s="13" t="s">
        <v>16</v>
      </c>
      <c r="R5" s="14" t="s">
        <v>17</v>
      </c>
      <c r="S5" s="15" t="s">
        <v>18</v>
      </c>
      <c r="T5" s="16" t="s">
        <v>19</v>
      </c>
      <c r="U5" s="14" t="s">
        <v>20</v>
      </c>
    </row>
    <row r="6" spans="1:21" x14ac:dyDescent="0.25">
      <c r="C6" t="s">
        <v>21</v>
      </c>
      <c r="E6" s="17"/>
      <c r="F6" s="17"/>
      <c r="G6" s="17"/>
      <c r="H6" s="17"/>
      <c r="I6" s="17"/>
      <c r="K6" s="17"/>
      <c r="L6" s="17"/>
      <c r="M6" s="17"/>
      <c r="N6" s="17"/>
      <c r="O6" s="17"/>
      <c r="Q6" s="9"/>
      <c r="R6" s="6"/>
      <c r="T6" s="9"/>
      <c r="U6" s="10"/>
    </row>
    <row r="7" spans="1:21" x14ac:dyDescent="0.25">
      <c r="A7" s="4" t="s">
        <v>22</v>
      </c>
      <c r="E7" s="9"/>
      <c r="F7" s="18"/>
      <c r="G7" s="18"/>
      <c r="H7" s="18"/>
      <c r="I7" s="18"/>
      <c r="K7" s="9"/>
      <c r="L7" s="18"/>
      <c r="M7" s="18"/>
      <c r="N7" s="18"/>
      <c r="O7" s="18"/>
      <c r="Q7" s="9"/>
      <c r="R7" s="10"/>
      <c r="T7" s="9"/>
      <c r="U7" s="10"/>
    </row>
    <row r="8" spans="1:21" x14ac:dyDescent="0.25">
      <c r="B8" t="s">
        <v>23</v>
      </c>
      <c r="E8" s="9">
        <v>19454167</v>
      </c>
      <c r="F8" s="9">
        <v>3657400</v>
      </c>
      <c r="G8" s="10">
        <f>+E8+F8</f>
        <v>23111567</v>
      </c>
      <c r="H8" s="18"/>
      <c r="I8" s="10">
        <f t="shared" ref="I8:I18" si="0">+G8+H8</f>
        <v>23111567</v>
      </c>
      <c r="K8" s="9">
        <v>5683172</v>
      </c>
      <c r="L8" s="9">
        <v>1956404</v>
      </c>
      <c r="M8" s="10">
        <f>+K8+L8</f>
        <v>7639576</v>
      </c>
      <c r="N8" s="18"/>
      <c r="O8" s="10">
        <f t="shared" ref="O8:O17" si="1">+M8+N8</f>
        <v>7639576</v>
      </c>
      <c r="Q8" s="9">
        <v>1607132</v>
      </c>
      <c r="R8" s="10">
        <v>585324</v>
      </c>
      <c r="S8" s="2">
        <f t="shared" ref="S8:S17" si="2">Q8+R8</f>
        <v>2192456</v>
      </c>
      <c r="T8" s="9"/>
      <c r="U8" s="10">
        <f>+S8+T8</f>
        <v>2192456</v>
      </c>
    </row>
    <row r="9" spans="1:21" x14ac:dyDescent="0.25">
      <c r="B9" t="s">
        <v>24</v>
      </c>
      <c r="E9" s="9">
        <v>3119911</v>
      </c>
      <c r="F9" s="9">
        <v>0</v>
      </c>
      <c r="G9" s="10">
        <f>+E9+F9</f>
        <v>3119911</v>
      </c>
      <c r="H9" s="18"/>
      <c r="I9" s="10">
        <f t="shared" si="0"/>
        <v>3119911</v>
      </c>
      <c r="K9" s="9">
        <v>11919</v>
      </c>
      <c r="L9" s="9"/>
      <c r="M9" s="10">
        <f>+K9+L9</f>
        <v>11919</v>
      </c>
      <c r="N9" s="18"/>
      <c r="O9" s="10">
        <f t="shared" si="1"/>
        <v>11919</v>
      </c>
      <c r="Q9" s="9">
        <v>102620</v>
      </c>
      <c r="R9" s="18"/>
      <c r="S9" s="2">
        <f t="shared" si="2"/>
        <v>102620</v>
      </c>
      <c r="T9" s="9"/>
      <c r="U9" s="10">
        <f>+S9+T9</f>
        <v>102620</v>
      </c>
    </row>
    <row r="10" spans="1:21" x14ac:dyDescent="0.25">
      <c r="B10" t="s">
        <v>25</v>
      </c>
      <c r="E10" s="9">
        <v>0</v>
      </c>
      <c r="F10" s="9">
        <v>0</v>
      </c>
      <c r="G10" s="10">
        <f>+E10+F10</f>
        <v>0</v>
      </c>
      <c r="H10" s="18"/>
      <c r="I10" s="10">
        <f t="shared" si="0"/>
        <v>0</v>
      </c>
      <c r="K10" s="9">
        <v>3358789</v>
      </c>
      <c r="L10" s="9"/>
      <c r="M10" s="10">
        <f>+K10+L10</f>
        <v>3358789</v>
      </c>
      <c r="N10" s="18"/>
      <c r="O10" s="10">
        <f t="shared" si="1"/>
        <v>3358789</v>
      </c>
      <c r="Q10" s="9">
        <v>2644455</v>
      </c>
      <c r="R10" s="18"/>
      <c r="S10" s="2">
        <f t="shared" si="2"/>
        <v>2644455</v>
      </c>
      <c r="T10" s="9"/>
      <c r="U10" s="10">
        <f>+S10+T10</f>
        <v>2644455</v>
      </c>
    </row>
    <row r="11" spans="1:21" x14ac:dyDescent="0.25">
      <c r="B11" t="s">
        <v>26</v>
      </c>
      <c r="E11" s="9"/>
      <c r="F11" s="9"/>
      <c r="G11" s="10"/>
      <c r="H11" s="18"/>
      <c r="I11" s="10">
        <f t="shared" si="0"/>
        <v>0</v>
      </c>
      <c r="K11" s="9"/>
      <c r="L11" s="9"/>
      <c r="M11" s="10"/>
      <c r="N11" s="18"/>
      <c r="O11" s="10">
        <f t="shared" si="1"/>
        <v>0</v>
      </c>
      <c r="Q11" s="9"/>
      <c r="R11" s="18"/>
      <c r="S11" s="2">
        <f t="shared" si="2"/>
        <v>0</v>
      </c>
      <c r="T11" s="9"/>
      <c r="U11" s="10"/>
    </row>
    <row r="12" spans="1:21" x14ac:dyDescent="0.25">
      <c r="B12" t="s">
        <v>27</v>
      </c>
      <c r="E12" s="9">
        <v>15126973</v>
      </c>
      <c r="F12" s="9">
        <v>7765139</v>
      </c>
      <c r="G12" s="10">
        <f t="shared" ref="G12:G18" si="3">+E12+F12</f>
        <v>22892112</v>
      </c>
      <c r="H12" s="18"/>
      <c r="I12" s="10">
        <f t="shared" si="0"/>
        <v>22892112</v>
      </c>
      <c r="K12" s="9">
        <v>10095277</v>
      </c>
      <c r="L12" s="9">
        <v>2517669</v>
      </c>
      <c r="M12" s="10">
        <f t="shared" ref="M12:M17" si="4">+K12+L12</f>
        <v>12612946</v>
      </c>
      <c r="N12" s="18"/>
      <c r="O12" s="10">
        <f t="shared" si="1"/>
        <v>12612946</v>
      </c>
      <c r="Q12" s="9">
        <v>10565005</v>
      </c>
      <c r="R12" s="10">
        <v>1247603</v>
      </c>
      <c r="S12" s="2">
        <f t="shared" si="2"/>
        <v>11812608</v>
      </c>
      <c r="T12" s="9"/>
      <c r="U12" s="10">
        <f t="shared" ref="U12:U17" si="5">+S12+T12</f>
        <v>11812608</v>
      </c>
    </row>
    <row r="13" spans="1:21" x14ac:dyDescent="0.25">
      <c r="B13" t="s">
        <v>28</v>
      </c>
      <c r="E13" s="9">
        <v>43757949</v>
      </c>
      <c r="F13" s="9">
        <v>28737194</v>
      </c>
      <c r="G13" s="10">
        <f t="shared" si="3"/>
        <v>72495143</v>
      </c>
      <c r="H13" s="10">
        <f>-AD!H18-AD!H33</f>
        <v>-58623434</v>
      </c>
      <c r="I13" s="10">
        <f t="shared" si="0"/>
        <v>13871709</v>
      </c>
      <c r="K13" s="9">
        <v>41013343</v>
      </c>
      <c r="L13" s="9">
        <v>19912295</v>
      </c>
      <c r="M13" s="10">
        <f t="shared" si="4"/>
        <v>60925638</v>
      </c>
      <c r="N13" s="10">
        <v>-34305534</v>
      </c>
      <c r="O13" s="10">
        <f t="shared" si="1"/>
        <v>26620104</v>
      </c>
      <c r="Q13" s="9">
        <v>32908556</v>
      </c>
      <c r="R13" s="10">
        <v>5055818</v>
      </c>
      <c r="S13" s="2">
        <f t="shared" si="2"/>
        <v>37964374</v>
      </c>
      <c r="T13" s="9">
        <f>-AD!N18-AD!N33</f>
        <v>-10306018</v>
      </c>
      <c r="U13" s="10">
        <f t="shared" si="5"/>
        <v>27658356</v>
      </c>
    </row>
    <row r="14" spans="1:21" x14ac:dyDescent="0.25">
      <c r="B14" t="s">
        <v>29</v>
      </c>
      <c r="E14" s="9">
        <v>6462502</v>
      </c>
      <c r="F14" s="9">
        <v>224008</v>
      </c>
      <c r="G14" s="10">
        <f t="shared" si="3"/>
        <v>6686510</v>
      </c>
      <c r="H14" s="18"/>
      <c r="I14" s="10">
        <f t="shared" si="0"/>
        <v>6686510</v>
      </c>
      <c r="K14" s="9">
        <v>16875125</v>
      </c>
      <c r="L14" s="9">
        <v>1181923</v>
      </c>
      <c r="M14" s="10">
        <f t="shared" si="4"/>
        <v>18057048</v>
      </c>
      <c r="N14" s="18"/>
      <c r="O14" s="10">
        <f t="shared" si="1"/>
        <v>18057048</v>
      </c>
      <c r="Q14" s="9">
        <v>5481731</v>
      </c>
      <c r="R14" s="10">
        <v>156705</v>
      </c>
      <c r="S14" s="2">
        <f t="shared" si="2"/>
        <v>5638436</v>
      </c>
      <c r="T14" s="9"/>
      <c r="U14" s="10">
        <f t="shared" si="5"/>
        <v>5638436</v>
      </c>
    </row>
    <row r="15" spans="1:21" x14ac:dyDescent="0.25">
      <c r="B15" t="s">
        <v>30</v>
      </c>
      <c r="E15" s="9">
        <v>5359704</v>
      </c>
      <c r="F15" s="9">
        <v>1698179</v>
      </c>
      <c r="G15" s="10">
        <f t="shared" si="3"/>
        <v>7057883</v>
      </c>
      <c r="H15" s="18"/>
      <c r="I15" s="10">
        <f t="shared" si="0"/>
        <v>7057883</v>
      </c>
      <c r="K15" s="9">
        <v>4638</v>
      </c>
      <c r="L15" s="9">
        <v>1969204</v>
      </c>
      <c r="M15" s="10">
        <f t="shared" si="4"/>
        <v>1973842</v>
      </c>
      <c r="N15" s="18"/>
      <c r="O15" s="10">
        <f t="shared" si="1"/>
        <v>1973842</v>
      </c>
      <c r="Q15" s="9">
        <v>480186</v>
      </c>
      <c r="R15" s="10">
        <v>1484699</v>
      </c>
      <c r="S15" s="2">
        <f t="shared" si="2"/>
        <v>1964885</v>
      </c>
      <c r="T15" s="9"/>
      <c r="U15" s="10">
        <f t="shared" si="5"/>
        <v>1964885</v>
      </c>
    </row>
    <row r="16" spans="1:21" x14ac:dyDescent="0.25">
      <c r="B16" t="s">
        <v>31</v>
      </c>
      <c r="E16" s="9">
        <v>1748307</v>
      </c>
      <c r="F16" s="9">
        <v>4492933</v>
      </c>
      <c r="G16" s="10">
        <f t="shared" si="3"/>
        <v>6241240</v>
      </c>
      <c r="H16" s="18"/>
      <c r="I16" s="10">
        <f t="shared" si="0"/>
        <v>6241240</v>
      </c>
      <c r="K16" s="9">
        <v>747264</v>
      </c>
      <c r="L16" s="9"/>
      <c r="M16" s="10">
        <f t="shared" si="4"/>
        <v>747264</v>
      </c>
      <c r="N16" s="18"/>
      <c r="O16" s="10">
        <f t="shared" si="1"/>
        <v>747264</v>
      </c>
      <c r="Q16" s="9">
        <v>625964</v>
      </c>
      <c r="R16" s="18"/>
      <c r="S16" s="2">
        <f t="shared" si="2"/>
        <v>625964</v>
      </c>
      <c r="T16" s="9">
        <f>-AD!P49-AD!P25</f>
        <v>0</v>
      </c>
      <c r="U16" s="10">
        <f t="shared" si="5"/>
        <v>625964</v>
      </c>
    </row>
    <row r="17" spans="1:21" x14ac:dyDescent="0.25">
      <c r="B17" t="s">
        <v>32</v>
      </c>
      <c r="E17" s="9">
        <v>28373524</v>
      </c>
      <c r="F17" s="9">
        <v>0</v>
      </c>
      <c r="G17" s="10">
        <f t="shared" si="3"/>
        <v>28373524</v>
      </c>
      <c r="H17" s="18"/>
      <c r="I17" s="10">
        <f t="shared" si="0"/>
        <v>28373524</v>
      </c>
      <c r="K17" s="9">
        <v>28594642</v>
      </c>
      <c r="L17" s="9"/>
      <c r="M17" s="10">
        <f t="shared" si="4"/>
        <v>28594642</v>
      </c>
      <c r="N17" s="18"/>
      <c r="O17" s="10">
        <f t="shared" si="1"/>
        <v>28594642</v>
      </c>
      <c r="Q17" s="9">
        <v>14883321</v>
      </c>
      <c r="R17" s="18"/>
      <c r="S17" s="2">
        <f t="shared" si="2"/>
        <v>14883321</v>
      </c>
      <c r="T17" s="9"/>
      <c r="U17" s="10">
        <f t="shared" si="5"/>
        <v>14883321</v>
      </c>
    </row>
    <row r="18" spans="1:21" x14ac:dyDescent="0.25">
      <c r="B18" t="s">
        <v>33</v>
      </c>
      <c r="E18" s="9">
        <v>413564</v>
      </c>
      <c r="F18" s="9">
        <v>0</v>
      </c>
      <c r="G18" s="10">
        <f t="shared" si="3"/>
        <v>413564</v>
      </c>
      <c r="H18" s="18"/>
      <c r="I18" s="10">
        <f t="shared" si="0"/>
        <v>413564</v>
      </c>
      <c r="K18" s="9"/>
      <c r="L18" s="9"/>
      <c r="M18" s="10"/>
      <c r="N18" s="18"/>
      <c r="O18" s="10"/>
      <c r="Q18" s="9"/>
      <c r="R18" s="18"/>
      <c r="T18" s="9"/>
      <c r="U18" s="10"/>
    </row>
    <row r="19" spans="1:21" x14ac:dyDescent="0.25">
      <c r="A19" s="4" t="s">
        <v>34</v>
      </c>
      <c r="E19" s="19">
        <f>SUM(E8:E18)</f>
        <v>123816601</v>
      </c>
      <c r="F19" s="19">
        <f>SUM(F8:F18)</f>
        <v>46574853</v>
      </c>
      <c r="G19" s="19">
        <f>SUM(G8:G18)</f>
        <v>170391454</v>
      </c>
      <c r="H19" s="19">
        <f>SUM(H8:H18)</f>
        <v>-58623434</v>
      </c>
      <c r="I19" s="19">
        <f>SUM(I8:I18)</f>
        <v>111768020</v>
      </c>
      <c r="K19" s="19">
        <f>SUM(K8:K18)</f>
        <v>106384169</v>
      </c>
      <c r="L19" s="19">
        <f>SUM(L8:L18)</f>
        <v>27537495</v>
      </c>
      <c r="M19" s="19">
        <f>SUM(M8:M18)</f>
        <v>133921664</v>
      </c>
      <c r="N19" s="19">
        <f>SUM(N8:N18)</f>
        <v>-34305534</v>
      </c>
      <c r="O19" s="19">
        <f>SUM(O8:O18)</f>
        <v>99616130</v>
      </c>
      <c r="Q19" s="19">
        <f>SUM(Q8:Q17)</f>
        <v>69298970</v>
      </c>
      <c r="R19" s="19">
        <f>SUM(R8:R17)</f>
        <v>8530149</v>
      </c>
      <c r="S19" s="19">
        <f>Q19+R19</f>
        <v>77829119</v>
      </c>
      <c r="T19" s="19">
        <f>SUM(T8:T17)</f>
        <v>-10306018</v>
      </c>
      <c r="U19" s="19">
        <f>SUM(U8:U17)</f>
        <v>67523101</v>
      </c>
    </row>
    <row r="20" spans="1:21" x14ac:dyDescent="0.25">
      <c r="E20" s="17"/>
      <c r="F20" s="20"/>
      <c r="G20" s="17"/>
      <c r="H20" s="17"/>
      <c r="I20" s="17"/>
      <c r="K20" s="17"/>
      <c r="L20" s="17"/>
      <c r="M20" s="17"/>
      <c r="N20" s="17"/>
      <c r="O20" s="17"/>
      <c r="Q20" s="9"/>
      <c r="R20" s="10"/>
      <c r="T20" s="9"/>
      <c r="U20" s="10"/>
    </row>
    <row r="21" spans="1:21" ht="27" hidden="1" customHeight="1" x14ac:dyDescent="0.25">
      <c r="A21" s="265" t="s">
        <v>35</v>
      </c>
      <c r="B21" s="265"/>
      <c r="C21" s="265"/>
      <c r="D21" s="21"/>
      <c r="E21" s="22"/>
      <c r="F21" s="22"/>
      <c r="G21" s="22"/>
      <c r="H21" s="22"/>
      <c r="I21" s="22"/>
      <c r="J21" s="21"/>
      <c r="K21" s="22"/>
      <c r="L21" s="22"/>
      <c r="M21" s="22"/>
      <c r="N21" s="22"/>
      <c r="O21" s="22"/>
      <c r="P21" s="21"/>
      <c r="Q21" s="23"/>
      <c r="R21" s="24"/>
      <c r="S21" s="25"/>
      <c r="T21" s="23"/>
      <c r="U21" s="24">
        <f>+S21+T21</f>
        <v>0</v>
      </c>
    </row>
    <row r="22" spans="1:21" hidden="1" x14ac:dyDescent="0.25">
      <c r="E22" s="17"/>
      <c r="F22" s="17"/>
      <c r="G22" s="17"/>
      <c r="H22" s="17"/>
      <c r="I22" s="17"/>
      <c r="K22" s="17"/>
      <c r="L22" s="17"/>
      <c r="M22" s="17"/>
      <c r="N22" s="17"/>
      <c r="O22" s="17"/>
      <c r="Q22" s="6"/>
      <c r="R22" s="26"/>
      <c r="S22" s="6"/>
      <c r="T22" s="26"/>
      <c r="U22" s="6"/>
    </row>
    <row r="23" spans="1:21" x14ac:dyDescent="0.25">
      <c r="A23" s="4" t="s">
        <v>36</v>
      </c>
      <c r="B23" s="4"/>
      <c r="E23" s="18"/>
      <c r="F23" s="18"/>
      <c r="G23" s="18"/>
      <c r="H23" s="18"/>
      <c r="I23" s="18"/>
      <c r="K23" s="18"/>
      <c r="L23" s="18"/>
      <c r="M23" s="18"/>
      <c r="N23" s="18"/>
      <c r="O23" s="18"/>
      <c r="Q23" s="10"/>
      <c r="R23" s="26"/>
      <c r="S23" s="10"/>
      <c r="T23" s="26"/>
      <c r="U23" s="10"/>
    </row>
    <row r="24" spans="1:21" x14ac:dyDescent="0.25">
      <c r="A24" s="4"/>
      <c r="B24" s="8" t="s">
        <v>37</v>
      </c>
      <c r="E24" s="9">
        <v>0</v>
      </c>
      <c r="F24" s="18"/>
      <c r="G24" s="10">
        <f t="shared" ref="G24:G33" si="6">+E24+F24</f>
        <v>0</v>
      </c>
      <c r="H24" s="18"/>
      <c r="I24" s="10">
        <f t="shared" ref="I24:I33" si="7">+G24+H24</f>
        <v>0</v>
      </c>
      <c r="K24" s="9">
        <v>2077739</v>
      </c>
      <c r="L24" s="18"/>
      <c r="M24" s="10">
        <f t="shared" ref="M24:M33" si="8">+K24+L24</f>
        <v>2077739</v>
      </c>
      <c r="N24" s="18"/>
      <c r="O24" s="10">
        <f t="shared" ref="O24:O33" si="9">+M24+N24</f>
        <v>2077739</v>
      </c>
      <c r="Q24" s="9">
        <v>40694</v>
      </c>
      <c r="R24" s="18"/>
      <c r="S24" s="10">
        <f t="shared" ref="S24:S33" si="10">Q24+R24</f>
        <v>40694</v>
      </c>
      <c r="U24" s="10">
        <f t="shared" ref="U24:U33" si="11">+S24+T24</f>
        <v>40694</v>
      </c>
    </row>
    <row r="25" spans="1:21" x14ac:dyDescent="0.25">
      <c r="B25" t="s">
        <v>38</v>
      </c>
      <c r="E25" s="9">
        <v>4645673</v>
      </c>
      <c r="F25" s="18"/>
      <c r="G25" s="10">
        <f t="shared" si="6"/>
        <v>4645673</v>
      </c>
      <c r="H25" s="18"/>
      <c r="I25" s="10">
        <f t="shared" si="7"/>
        <v>4645673</v>
      </c>
      <c r="K25" s="9">
        <v>360864</v>
      </c>
      <c r="L25" s="18"/>
      <c r="M25" s="10">
        <f t="shared" si="8"/>
        <v>360864</v>
      </c>
      <c r="N25" s="18"/>
      <c r="O25" s="10">
        <f t="shared" si="9"/>
        <v>360864</v>
      </c>
      <c r="Q25" s="9">
        <v>3212434</v>
      </c>
      <c r="R25" s="18"/>
      <c r="S25" s="10">
        <f t="shared" si="10"/>
        <v>3212434</v>
      </c>
      <c r="U25" s="10">
        <f t="shared" si="11"/>
        <v>3212434</v>
      </c>
    </row>
    <row r="26" spans="1:21" x14ac:dyDescent="0.25">
      <c r="B26" t="s">
        <v>39</v>
      </c>
      <c r="E26" s="9">
        <f>183729286-146152287</f>
        <v>37576999</v>
      </c>
      <c r="F26" s="9">
        <v>32926159</v>
      </c>
      <c r="G26" s="10">
        <f t="shared" si="6"/>
        <v>70503158</v>
      </c>
      <c r="H26" s="10">
        <f>-AD!H23+AD!G37+AD!G44-AD!H50</f>
        <v>-7507510.9385480024</v>
      </c>
      <c r="I26" s="10">
        <f t="shared" si="7"/>
        <v>62995647.061452001</v>
      </c>
      <c r="K26" s="9">
        <v>43682484</v>
      </c>
      <c r="L26" s="9">
        <v>15927036</v>
      </c>
      <c r="M26" s="10">
        <f t="shared" si="8"/>
        <v>59609520</v>
      </c>
      <c r="N26" s="10">
        <v>-13217071</v>
      </c>
      <c r="O26" s="10">
        <f t="shared" si="9"/>
        <v>46392449</v>
      </c>
      <c r="Q26" s="9">
        <v>66573020</v>
      </c>
      <c r="R26" s="9">
        <v>17358621</v>
      </c>
      <c r="S26" s="10">
        <f t="shared" si="10"/>
        <v>83931641</v>
      </c>
      <c r="T26" s="2">
        <f>-AD!N23+AD!M37+AD!M45-AD!N50</f>
        <v>-18536381.523400001</v>
      </c>
      <c r="U26" s="10">
        <f t="shared" si="11"/>
        <v>65395259.476599999</v>
      </c>
    </row>
    <row r="27" spans="1:21" x14ac:dyDescent="0.25">
      <c r="B27" t="s">
        <v>40</v>
      </c>
      <c r="E27" s="9">
        <v>545591</v>
      </c>
      <c r="F27" s="9"/>
      <c r="G27" s="10">
        <f t="shared" si="6"/>
        <v>545591</v>
      </c>
      <c r="H27" s="18"/>
      <c r="I27" s="10">
        <f t="shared" si="7"/>
        <v>545591</v>
      </c>
      <c r="K27" s="9">
        <v>584801</v>
      </c>
      <c r="L27" s="9"/>
      <c r="M27" s="10">
        <f t="shared" si="8"/>
        <v>584801</v>
      </c>
      <c r="N27" s="18"/>
      <c r="O27" s="10">
        <f t="shared" si="9"/>
        <v>584801</v>
      </c>
      <c r="Q27" s="9">
        <v>661755</v>
      </c>
      <c r="R27" s="18"/>
      <c r="S27" s="10">
        <f t="shared" si="10"/>
        <v>661755</v>
      </c>
      <c r="U27" s="10">
        <f t="shared" si="11"/>
        <v>661755</v>
      </c>
    </row>
    <row r="28" spans="1:21" x14ac:dyDescent="0.25">
      <c r="B28" t="s">
        <v>41</v>
      </c>
      <c r="E28" s="9">
        <v>11075558</v>
      </c>
      <c r="F28" s="9">
        <v>417615</v>
      </c>
      <c r="G28" s="10">
        <f t="shared" si="6"/>
        <v>11493173</v>
      </c>
      <c r="H28" s="18"/>
      <c r="I28" s="10">
        <f t="shared" si="7"/>
        <v>11493173</v>
      </c>
      <c r="K28" s="9">
        <v>12779430</v>
      </c>
      <c r="L28" s="9">
        <v>1908158</v>
      </c>
      <c r="M28" s="10">
        <f t="shared" si="8"/>
        <v>14687588</v>
      </c>
      <c r="N28" s="18"/>
      <c r="O28" s="10">
        <f t="shared" si="9"/>
        <v>14687588</v>
      </c>
      <c r="Q28" s="9">
        <v>11586243</v>
      </c>
      <c r="R28" s="9">
        <v>241844</v>
      </c>
      <c r="S28" s="10">
        <f t="shared" si="10"/>
        <v>11828087</v>
      </c>
      <c r="U28" s="10">
        <f t="shared" si="11"/>
        <v>11828087</v>
      </c>
    </row>
    <row r="29" spans="1:21" x14ac:dyDescent="0.25">
      <c r="B29" t="s">
        <v>42</v>
      </c>
      <c r="E29" s="10">
        <v>3949574</v>
      </c>
      <c r="F29" s="18"/>
      <c r="G29" s="10">
        <f t="shared" si="6"/>
        <v>3949574</v>
      </c>
      <c r="H29" s="18"/>
      <c r="I29" s="10">
        <f t="shared" si="7"/>
        <v>3949574</v>
      </c>
      <c r="K29" s="18">
        <v>4147107</v>
      </c>
      <c r="L29" s="18"/>
      <c r="M29" s="10">
        <f t="shared" si="8"/>
        <v>4147107</v>
      </c>
      <c r="N29" s="18"/>
      <c r="O29" s="10">
        <f t="shared" si="9"/>
        <v>4147107</v>
      </c>
      <c r="Q29" s="18"/>
      <c r="R29" s="18"/>
      <c r="S29" s="10">
        <f t="shared" si="10"/>
        <v>0</v>
      </c>
      <c r="U29" s="10">
        <f t="shared" si="11"/>
        <v>0</v>
      </c>
    </row>
    <row r="30" spans="1:21" x14ac:dyDescent="0.25">
      <c r="B30" t="s">
        <v>43</v>
      </c>
      <c r="E30" s="9">
        <v>0</v>
      </c>
      <c r="F30" s="9">
        <v>1836716</v>
      </c>
      <c r="G30" s="10">
        <f t="shared" si="6"/>
        <v>1836716</v>
      </c>
      <c r="H30" s="18"/>
      <c r="I30" s="10">
        <f t="shared" si="7"/>
        <v>1836716</v>
      </c>
      <c r="K30" s="9">
        <v>1673584</v>
      </c>
      <c r="L30" s="9"/>
      <c r="M30" s="10">
        <f t="shared" si="8"/>
        <v>1673584</v>
      </c>
      <c r="N30" s="18"/>
      <c r="O30" s="10">
        <f t="shared" si="9"/>
        <v>1673584</v>
      </c>
      <c r="Q30" s="9">
        <v>1422229</v>
      </c>
      <c r="R30" s="18"/>
      <c r="S30" s="10">
        <f t="shared" si="10"/>
        <v>1422229</v>
      </c>
      <c r="U30" s="10">
        <f t="shared" si="11"/>
        <v>1422229</v>
      </c>
    </row>
    <row r="31" spans="1:21" x14ac:dyDescent="0.25">
      <c r="B31" t="s">
        <v>44</v>
      </c>
      <c r="E31" s="9">
        <v>42626957</v>
      </c>
      <c r="F31" s="9"/>
      <c r="G31" s="10">
        <f t="shared" si="6"/>
        <v>42626957</v>
      </c>
      <c r="H31" s="18"/>
      <c r="I31" s="10">
        <f t="shared" si="7"/>
        <v>42626957</v>
      </c>
      <c r="K31" s="9">
        <v>39016871</v>
      </c>
      <c r="L31" s="9"/>
      <c r="M31" s="10">
        <f t="shared" si="8"/>
        <v>39016871</v>
      </c>
      <c r="N31" s="18"/>
      <c r="O31" s="10">
        <f t="shared" si="9"/>
        <v>39016871</v>
      </c>
      <c r="Q31" s="9">
        <v>44513438</v>
      </c>
      <c r="R31" s="18"/>
      <c r="S31" s="10">
        <f t="shared" si="10"/>
        <v>44513438</v>
      </c>
      <c r="U31" s="10">
        <f t="shared" si="11"/>
        <v>44513438</v>
      </c>
    </row>
    <row r="32" spans="1:21" x14ac:dyDescent="0.25">
      <c r="B32" t="s">
        <v>45</v>
      </c>
      <c r="E32" s="10">
        <v>261500</v>
      </c>
      <c r="F32" s="10">
        <v>280196</v>
      </c>
      <c r="G32" s="10">
        <f t="shared" si="6"/>
        <v>541696</v>
      </c>
      <c r="H32" s="249">
        <f>+AD!G59+AD!G43</f>
        <v>4591727.1851480007</v>
      </c>
      <c r="I32" s="249">
        <f t="shared" si="7"/>
        <v>5133423.1851480007</v>
      </c>
      <c r="K32" s="10">
        <v>261500</v>
      </c>
      <c r="L32" s="10">
        <v>135662</v>
      </c>
      <c r="M32" s="10">
        <f t="shared" si="8"/>
        <v>397162</v>
      </c>
      <c r="N32" s="10">
        <v>3164337</v>
      </c>
      <c r="O32" s="10">
        <f t="shared" si="9"/>
        <v>3561499</v>
      </c>
      <c r="Q32" s="10">
        <v>0</v>
      </c>
      <c r="R32" s="18"/>
      <c r="S32" s="10">
        <f t="shared" si="10"/>
        <v>0</v>
      </c>
      <c r="T32" s="2">
        <f>+AD!M43+AD!M59</f>
        <v>4078003.9351480003</v>
      </c>
      <c r="U32" s="10">
        <f t="shared" si="11"/>
        <v>4078003.9351480003</v>
      </c>
    </row>
    <row r="33" spans="1:21" x14ac:dyDescent="0.25">
      <c r="B33" t="s">
        <v>46</v>
      </c>
      <c r="E33" s="9">
        <v>1721555</v>
      </c>
      <c r="F33" s="9">
        <v>62029</v>
      </c>
      <c r="G33" s="10">
        <f t="shared" si="6"/>
        <v>1783584</v>
      </c>
      <c r="H33" s="27"/>
      <c r="I33" s="10">
        <f t="shared" si="7"/>
        <v>1783584</v>
      </c>
      <c r="K33" s="9">
        <v>1500</v>
      </c>
      <c r="L33" s="9">
        <v>59027</v>
      </c>
      <c r="M33" s="10">
        <f t="shared" si="8"/>
        <v>60527</v>
      </c>
      <c r="N33" s="27"/>
      <c r="O33" s="10">
        <f t="shared" si="9"/>
        <v>60527</v>
      </c>
      <c r="Q33" s="9">
        <v>105894</v>
      </c>
      <c r="R33" s="9">
        <v>35121</v>
      </c>
      <c r="S33" s="10">
        <f t="shared" si="10"/>
        <v>141015</v>
      </c>
      <c r="U33" s="10">
        <f t="shared" si="11"/>
        <v>141015</v>
      </c>
    </row>
    <row r="34" spans="1:21" x14ac:dyDescent="0.25">
      <c r="A34" s="4" t="s">
        <v>47</v>
      </c>
      <c r="E34" s="19">
        <f>SUM(E24:E33)</f>
        <v>102403407</v>
      </c>
      <c r="F34" s="19">
        <f>SUM(F24:F33)</f>
        <v>35522715</v>
      </c>
      <c r="G34" s="19">
        <f>SUM(G24:G33)</f>
        <v>137926122</v>
      </c>
      <c r="H34" s="19">
        <f>SUM(H24:H33)</f>
        <v>-2915783.7534000017</v>
      </c>
      <c r="I34" s="19">
        <f>SUM(I24:I33)</f>
        <v>135010338.2466</v>
      </c>
      <c r="K34" s="19">
        <f>SUM(K24:K33)</f>
        <v>104585880</v>
      </c>
      <c r="L34" s="19">
        <f>SUM(L24:L33)</f>
        <v>18029883</v>
      </c>
      <c r="M34" s="19">
        <f>SUM(M24:M33)</f>
        <v>122615763</v>
      </c>
      <c r="N34" s="19">
        <f>SUM(N24:N33)</f>
        <v>-10052734</v>
      </c>
      <c r="O34" s="19">
        <f>SUM(O24:O33)</f>
        <v>112563029</v>
      </c>
      <c r="Q34" s="19">
        <f>SUM(Q24:Q33)</f>
        <v>128115707</v>
      </c>
      <c r="R34" s="19">
        <f>SUM(R24:R33)</f>
        <v>17635586</v>
      </c>
      <c r="S34" s="19">
        <f>SUM(S24:S33)</f>
        <v>145751293</v>
      </c>
      <c r="T34" s="19">
        <f>SUM(T24:T33)</f>
        <v>-14458377.588252001</v>
      </c>
      <c r="U34" s="19">
        <f>SUM(U24:U33)</f>
        <v>131292915.41174799</v>
      </c>
    </row>
    <row r="35" spans="1:21" x14ac:dyDescent="0.25">
      <c r="A35" s="4" t="s">
        <v>48</v>
      </c>
      <c r="E35" s="19">
        <f>E34+E19</f>
        <v>226220008</v>
      </c>
      <c r="F35" s="19">
        <f>F34+F19</f>
        <v>82097568</v>
      </c>
      <c r="G35" s="19">
        <f>G34+G19</f>
        <v>308317576</v>
      </c>
      <c r="H35" s="19">
        <f>H34+H19</f>
        <v>-61539217.753399998</v>
      </c>
      <c r="I35" s="19">
        <f>I34+I19</f>
        <v>246778358.2466</v>
      </c>
      <c r="K35" s="19">
        <f>K34+K19</f>
        <v>210970049</v>
      </c>
      <c r="L35" s="19">
        <f>L34+L19</f>
        <v>45567378</v>
      </c>
      <c r="M35" s="19">
        <f>M34+M19</f>
        <v>256537427</v>
      </c>
      <c r="N35" s="19">
        <f>N34+N19</f>
        <v>-44358268</v>
      </c>
      <c r="O35" s="19">
        <f>O34+O19</f>
        <v>212179159</v>
      </c>
      <c r="Q35" s="19">
        <f>Q34+Q19</f>
        <v>197414677</v>
      </c>
      <c r="R35" s="19">
        <f>R19+R34</f>
        <v>26165735</v>
      </c>
      <c r="S35" s="19">
        <f>Q35+R35</f>
        <v>223580412</v>
      </c>
      <c r="T35" s="19">
        <f>T19+T34</f>
        <v>-24764395.588252001</v>
      </c>
      <c r="U35" s="19">
        <f>+U34+U19</f>
        <v>198816016.41174799</v>
      </c>
    </row>
    <row r="36" spans="1:21" x14ac:dyDescent="0.25">
      <c r="E36" s="17"/>
      <c r="F36" s="17"/>
      <c r="G36" s="17"/>
      <c r="H36" s="17"/>
      <c r="I36" s="17"/>
      <c r="K36" s="17"/>
      <c r="L36" s="17"/>
      <c r="M36" s="17"/>
      <c r="N36" s="17"/>
      <c r="O36" s="17"/>
      <c r="Q36" s="6"/>
      <c r="R36" s="7"/>
      <c r="S36" s="6"/>
      <c r="T36" s="7"/>
      <c r="U36" s="6"/>
    </row>
    <row r="37" spans="1:21" x14ac:dyDescent="0.25">
      <c r="C37" s="28" t="s">
        <v>49</v>
      </c>
      <c r="D37" s="28"/>
      <c r="E37" s="29"/>
      <c r="F37" s="29"/>
      <c r="G37" s="29"/>
      <c r="H37" s="29"/>
      <c r="I37" s="29"/>
      <c r="J37" s="28"/>
      <c r="K37" s="29"/>
      <c r="L37" s="29"/>
      <c r="M37" s="29"/>
      <c r="N37" s="29"/>
      <c r="O37" s="29"/>
      <c r="P37" s="28"/>
      <c r="Q37" s="10"/>
      <c r="S37" s="10"/>
      <c r="U37" s="10"/>
    </row>
    <row r="38" spans="1:21" x14ac:dyDescent="0.25">
      <c r="A38" s="4" t="s">
        <v>50</v>
      </c>
      <c r="E38" s="18"/>
      <c r="F38" s="18"/>
      <c r="G38" s="18"/>
      <c r="H38" s="18"/>
      <c r="I38" s="18"/>
      <c r="K38" s="18"/>
      <c r="L38" s="18"/>
      <c r="M38" s="18"/>
      <c r="N38" s="18"/>
      <c r="O38" s="18"/>
      <c r="Q38" s="10"/>
      <c r="S38" s="10"/>
      <c r="U38" s="10"/>
    </row>
    <row r="39" spans="1:21" x14ac:dyDescent="0.25">
      <c r="A39" s="4"/>
      <c r="B39" t="s">
        <v>51</v>
      </c>
      <c r="E39" s="9">
        <v>0</v>
      </c>
      <c r="F39" s="9">
        <v>1479636</v>
      </c>
      <c r="G39" s="10">
        <f>+E39+F39</f>
        <v>1479636</v>
      </c>
      <c r="H39" s="18"/>
      <c r="I39" s="10">
        <f>+G39+H39</f>
        <v>1479636</v>
      </c>
      <c r="K39" s="9">
        <v>50776</v>
      </c>
      <c r="L39" s="30"/>
      <c r="M39" s="10">
        <f>+K39+L39</f>
        <v>50776</v>
      </c>
      <c r="N39" s="18"/>
      <c r="O39" s="10">
        <f t="shared" ref="O39:O51" si="12">+M39+N39</f>
        <v>50776</v>
      </c>
      <c r="Q39" s="9"/>
      <c r="S39" s="10"/>
      <c r="U39" s="10"/>
    </row>
    <row r="40" spans="1:21" x14ac:dyDescent="0.25">
      <c r="B40" t="s">
        <v>52</v>
      </c>
      <c r="E40" s="9">
        <v>2936628</v>
      </c>
      <c r="F40" s="9"/>
      <c r="G40" s="10">
        <f>+E40+F40</f>
        <v>2936628</v>
      </c>
      <c r="H40" s="18"/>
      <c r="I40" s="10">
        <f>+G40+H40</f>
        <v>2936628</v>
      </c>
      <c r="K40" s="9">
        <v>3385113</v>
      </c>
      <c r="L40" s="9">
        <v>1723259</v>
      </c>
      <c r="M40" s="10">
        <f>+K40+L40</f>
        <v>5108372</v>
      </c>
      <c r="N40" s="18"/>
      <c r="O40" s="10">
        <f t="shared" si="12"/>
        <v>5108372</v>
      </c>
      <c r="Q40" s="9">
        <v>25133387</v>
      </c>
      <c r="R40" s="9">
        <v>2011281</v>
      </c>
      <c r="S40" s="10">
        <f>+Q40+R40</f>
        <v>27144668</v>
      </c>
      <c r="U40" s="10">
        <f>+S40+T40</f>
        <v>27144668</v>
      </c>
    </row>
    <row r="41" spans="1:21" x14ac:dyDescent="0.25">
      <c r="B41" t="s">
        <v>53</v>
      </c>
      <c r="E41" s="9">
        <v>6939887</v>
      </c>
      <c r="F41" s="9"/>
      <c r="G41" s="10">
        <f>+E41+F41</f>
        <v>6939887</v>
      </c>
      <c r="H41" s="18"/>
      <c r="I41" s="10">
        <f>+G41+H41</f>
        <v>6939887</v>
      </c>
      <c r="K41" s="9">
        <v>2484731</v>
      </c>
      <c r="L41" s="9"/>
      <c r="M41" s="10">
        <f>+K41+L41</f>
        <v>2484731</v>
      </c>
      <c r="N41" s="18"/>
      <c r="O41" s="10">
        <f t="shared" si="12"/>
        <v>2484731</v>
      </c>
      <c r="Q41" s="9">
        <v>0</v>
      </c>
      <c r="R41" s="9">
        <v>0</v>
      </c>
      <c r="S41" s="10">
        <f>+Q41+R41</f>
        <v>0</v>
      </c>
      <c r="U41" s="10">
        <f>+S41+T41</f>
        <v>0</v>
      </c>
    </row>
    <row r="42" spans="1:21" x14ac:dyDescent="0.25">
      <c r="B42" t="s">
        <v>54</v>
      </c>
      <c r="E42" s="18"/>
      <c r="F42" s="9"/>
      <c r="G42" s="18"/>
      <c r="H42" s="18"/>
      <c r="I42" s="10"/>
      <c r="K42" s="18"/>
      <c r="L42" s="9"/>
      <c r="M42" s="18"/>
      <c r="N42" s="18"/>
      <c r="O42" s="10">
        <f t="shared" si="12"/>
        <v>0</v>
      </c>
      <c r="Q42" s="18"/>
      <c r="R42" s="9"/>
      <c r="S42" s="10"/>
      <c r="U42" s="10"/>
    </row>
    <row r="43" spans="1:21" x14ac:dyDescent="0.25">
      <c r="B43" t="s">
        <v>55</v>
      </c>
      <c r="E43" s="9">
        <v>25754955</v>
      </c>
      <c r="F43" s="9">
        <v>3497207</v>
      </c>
      <c r="G43" s="10">
        <f>+E43+F43</f>
        <v>29252162</v>
      </c>
      <c r="H43" s="18"/>
      <c r="I43" s="10">
        <f t="shared" ref="I43:I51" si="13">+G43+H43</f>
        <v>29252162</v>
      </c>
      <c r="K43" s="9">
        <v>20932053</v>
      </c>
      <c r="L43" s="9">
        <v>2140093</v>
      </c>
      <c r="M43" s="10">
        <f>+K43+L43</f>
        <v>23072146</v>
      </c>
      <c r="N43" s="18"/>
      <c r="O43" s="10">
        <f t="shared" si="12"/>
        <v>23072146</v>
      </c>
      <c r="Q43" s="9">
        <f>19562775-1869732</f>
        <v>17693043</v>
      </c>
      <c r="R43" s="9">
        <v>599812</v>
      </c>
      <c r="S43" s="10">
        <f t="shared" ref="S43:S49" si="14">+Q43+R43</f>
        <v>18292855</v>
      </c>
      <c r="U43" s="10">
        <f t="shared" ref="U43:U49" si="15">+S43+T43</f>
        <v>18292855</v>
      </c>
    </row>
    <row r="44" spans="1:21" x14ac:dyDescent="0.25">
      <c r="B44" t="s">
        <v>28</v>
      </c>
      <c r="E44" s="255">
        <v>673963</v>
      </c>
      <c r="F44" s="255">
        <v>30134511</v>
      </c>
      <c r="G44" s="249">
        <f>+E44+F44</f>
        <v>30808474</v>
      </c>
      <c r="H44" s="249">
        <f>-AD!G31</f>
        <v>-29886240</v>
      </c>
      <c r="I44" s="249">
        <f t="shared" si="13"/>
        <v>922234</v>
      </c>
      <c r="K44" s="9">
        <v>5069876</v>
      </c>
      <c r="L44" s="9">
        <v>12478474</v>
      </c>
      <c r="M44" s="10">
        <f>+K44+L44</f>
        <v>17548350</v>
      </c>
      <c r="N44" s="10">
        <v>-12628876</v>
      </c>
      <c r="O44" s="10">
        <f t="shared" si="12"/>
        <v>4919474</v>
      </c>
      <c r="Q44" s="9">
        <f>10819633-10628880+1869732</f>
        <v>2060485</v>
      </c>
      <c r="R44" s="9">
        <v>5099200</v>
      </c>
      <c r="S44" s="10">
        <f t="shared" si="14"/>
        <v>7159685</v>
      </c>
      <c r="T44" s="2">
        <f>-AD!M13</f>
        <v>-5099200</v>
      </c>
      <c r="U44" s="10">
        <f t="shared" si="15"/>
        <v>2060485</v>
      </c>
    </row>
    <row r="45" spans="1:21" hidden="1" x14ac:dyDescent="0.25">
      <c r="B45" t="s">
        <v>56</v>
      </c>
      <c r="E45" s="9"/>
      <c r="F45" s="31"/>
      <c r="G45" s="18"/>
      <c r="H45" s="18"/>
      <c r="I45" s="10">
        <f t="shared" si="13"/>
        <v>0</v>
      </c>
      <c r="K45" s="9"/>
      <c r="L45" s="31"/>
      <c r="M45" s="18"/>
      <c r="N45" s="18"/>
      <c r="O45" s="10">
        <f t="shared" si="12"/>
        <v>0</v>
      </c>
      <c r="Q45" s="9"/>
      <c r="R45" s="31"/>
      <c r="S45" s="10">
        <f t="shared" si="14"/>
        <v>0</v>
      </c>
      <c r="U45" s="10">
        <f t="shared" si="15"/>
        <v>0</v>
      </c>
    </row>
    <row r="46" spans="1:21" x14ac:dyDescent="0.25">
      <c r="B46" t="s">
        <v>57</v>
      </c>
      <c r="E46" s="9">
        <v>12422401</v>
      </c>
      <c r="F46" s="9">
        <v>2425345</v>
      </c>
      <c r="G46" s="10">
        <f t="shared" ref="G46:G51" si="16">+E46+F46</f>
        <v>14847746</v>
      </c>
      <c r="H46" s="18"/>
      <c r="I46" s="10">
        <f t="shared" si="13"/>
        <v>14847746</v>
      </c>
      <c r="K46" s="9">
        <v>7588859</v>
      </c>
      <c r="L46" s="9">
        <v>1332387</v>
      </c>
      <c r="M46" s="10">
        <f t="shared" ref="M46:M51" si="17">+K46+L46</f>
        <v>8921246</v>
      </c>
      <c r="N46" s="18"/>
      <c r="O46" s="10">
        <f t="shared" si="12"/>
        <v>8921246</v>
      </c>
      <c r="Q46" s="9">
        <f>4228478</f>
        <v>4228478</v>
      </c>
      <c r="R46" s="9">
        <v>355666</v>
      </c>
      <c r="S46" s="10">
        <f t="shared" si="14"/>
        <v>4584144</v>
      </c>
      <c r="U46" s="10">
        <f t="shared" si="15"/>
        <v>4584144</v>
      </c>
    </row>
    <row r="47" spans="1:21" x14ac:dyDescent="0.25">
      <c r="B47" t="s">
        <v>58</v>
      </c>
      <c r="E47" s="9">
        <v>6333057</v>
      </c>
      <c r="F47" s="9">
        <v>978621</v>
      </c>
      <c r="G47" s="10">
        <f t="shared" si="16"/>
        <v>7311678</v>
      </c>
      <c r="H47" s="18"/>
      <c r="I47" s="10">
        <f t="shared" si="13"/>
        <v>7311678</v>
      </c>
      <c r="K47" s="9">
        <v>3860134</v>
      </c>
      <c r="L47" s="9">
        <v>13957</v>
      </c>
      <c r="M47" s="10">
        <f t="shared" si="17"/>
        <v>3874091</v>
      </c>
      <c r="N47" s="18"/>
      <c r="O47" s="10">
        <f t="shared" si="12"/>
        <v>3874091</v>
      </c>
      <c r="Q47" s="9">
        <v>3286332</v>
      </c>
      <c r="R47" s="9">
        <v>18473</v>
      </c>
      <c r="S47" s="10">
        <f t="shared" si="14"/>
        <v>3304805</v>
      </c>
      <c r="U47" s="10">
        <f t="shared" si="15"/>
        <v>3304805</v>
      </c>
    </row>
    <row r="48" spans="1:21" x14ac:dyDescent="0.25">
      <c r="B48" t="s">
        <v>133</v>
      </c>
      <c r="E48" s="9">
        <v>4578384</v>
      </c>
      <c r="F48" s="9">
        <v>676743</v>
      </c>
      <c r="G48" s="10">
        <f t="shared" si="16"/>
        <v>5255127</v>
      </c>
      <c r="H48" s="10"/>
      <c r="I48" s="10">
        <f t="shared" si="13"/>
        <v>5255127</v>
      </c>
      <c r="K48" s="9">
        <v>7675934</v>
      </c>
      <c r="L48" s="9">
        <v>431243</v>
      </c>
      <c r="M48" s="10">
        <f t="shared" si="17"/>
        <v>8107177</v>
      </c>
      <c r="N48" s="10">
        <v>-6673333</v>
      </c>
      <c r="O48" s="10">
        <f t="shared" si="12"/>
        <v>1433844</v>
      </c>
      <c r="Q48" s="9">
        <v>1953502</v>
      </c>
      <c r="R48" s="9">
        <v>278886</v>
      </c>
      <c r="S48" s="10">
        <f t="shared" si="14"/>
        <v>2232388</v>
      </c>
      <c r="T48" s="2">
        <f>-AD!M29</f>
        <v>-656393</v>
      </c>
      <c r="U48" s="10">
        <f t="shared" si="15"/>
        <v>1575995</v>
      </c>
    </row>
    <row r="49" spans="1:21" x14ac:dyDescent="0.25">
      <c r="B49" t="s">
        <v>60</v>
      </c>
      <c r="E49" s="9">
        <v>9733654</v>
      </c>
      <c r="F49" s="9">
        <v>4213472</v>
      </c>
      <c r="G49" s="10">
        <f t="shared" si="16"/>
        <v>13947126</v>
      </c>
      <c r="H49" s="18"/>
      <c r="I49" s="10">
        <f t="shared" si="13"/>
        <v>13947126</v>
      </c>
      <c r="K49" s="9">
        <v>7584113</v>
      </c>
      <c r="L49" s="9">
        <v>2169404</v>
      </c>
      <c r="M49" s="10">
        <f t="shared" si="17"/>
        <v>9753517</v>
      </c>
      <c r="N49" s="18"/>
      <c r="O49" s="10">
        <f t="shared" si="12"/>
        <v>9753517</v>
      </c>
      <c r="Q49" s="9">
        <v>4524107</v>
      </c>
      <c r="R49" s="9">
        <v>982596</v>
      </c>
      <c r="S49" s="10">
        <f t="shared" si="14"/>
        <v>5506703</v>
      </c>
      <c r="U49" s="10">
        <f t="shared" si="15"/>
        <v>5506703</v>
      </c>
    </row>
    <row r="50" spans="1:21" x14ac:dyDescent="0.25">
      <c r="B50" t="s">
        <v>61</v>
      </c>
      <c r="E50" s="9">
        <v>1574195</v>
      </c>
      <c r="F50" s="9"/>
      <c r="G50" s="10">
        <f t="shared" si="16"/>
        <v>1574195</v>
      </c>
      <c r="H50" s="10"/>
      <c r="I50" s="10">
        <f t="shared" si="13"/>
        <v>1574195</v>
      </c>
      <c r="K50" s="9">
        <v>1519701</v>
      </c>
      <c r="L50" s="9">
        <v>699516</v>
      </c>
      <c r="M50" s="10">
        <f t="shared" si="17"/>
        <v>2219217</v>
      </c>
      <c r="N50" s="10"/>
      <c r="O50" s="10">
        <f t="shared" si="12"/>
        <v>2219217</v>
      </c>
      <c r="Q50" s="9"/>
      <c r="R50" s="9"/>
      <c r="S50" s="10"/>
      <c r="U50" s="10"/>
    </row>
    <row r="51" spans="1:21" hidden="1" x14ac:dyDescent="0.25">
      <c r="B51" t="s">
        <v>62</v>
      </c>
      <c r="E51" s="9"/>
      <c r="F51" s="9"/>
      <c r="G51" s="10">
        <f t="shared" si="16"/>
        <v>0</v>
      </c>
      <c r="H51" s="24"/>
      <c r="I51" s="10">
        <f t="shared" si="13"/>
        <v>0</v>
      </c>
      <c r="K51" s="9">
        <v>0</v>
      </c>
      <c r="L51" s="9"/>
      <c r="M51" s="10">
        <f t="shared" si="17"/>
        <v>0</v>
      </c>
      <c r="N51" s="24"/>
      <c r="O51" s="10">
        <f t="shared" si="12"/>
        <v>0</v>
      </c>
      <c r="Q51" s="9">
        <v>4183053</v>
      </c>
      <c r="R51" s="9">
        <v>249138</v>
      </c>
      <c r="S51" s="10">
        <f>+Q51+R51</f>
        <v>4432191</v>
      </c>
      <c r="T51" s="2" t="e">
        <f>-AD!#REF!</f>
        <v>#REF!</v>
      </c>
      <c r="U51" s="10" t="e">
        <f>+S51+T51</f>
        <v>#REF!</v>
      </c>
    </row>
    <row r="52" spans="1:21" x14ac:dyDescent="0.25">
      <c r="A52" s="4" t="s">
        <v>63</v>
      </c>
      <c r="E52" s="19">
        <f>SUM(E39:E51)</f>
        <v>70947124</v>
      </c>
      <c r="F52" s="19">
        <f>SUM(F39:F51)</f>
        <v>43405535</v>
      </c>
      <c r="G52" s="19">
        <f>SUM(G39:G51)</f>
        <v>114352659</v>
      </c>
      <c r="H52" s="19">
        <f>SUM(H39:H51)</f>
        <v>-29886240</v>
      </c>
      <c r="I52" s="19">
        <f>SUM(I39:I51)</f>
        <v>84466419</v>
      </c>
      <c r="K52" s="19">
        <f>SUM(K39:K51)</f>
        <v>60151290</v>
      </c>
      <c r="L52" s="19">
        <f>SUM(L39:L51)</f>
        <v>20988333</v>
      </c>
      <c r="M52" s="19">
        <f>SUM(M39:M51)</f>
        <v>81139623</v>
      </c>
      <c r="N52" s="19">
        <f>SUM(N39:N51)</f>
        <v>-19302209</v>
      </c>
      <c r="O52" s="19">
        <f>SUM(O39:O51)</f>
        <v>61837414</v>
      </c>
      <c r="Q52" s="19">
        <f>SUM(Q40:Q51)</f>
        <v>63062387</v>
      </c>
      <c r="R52" s="19">
        <f>SUM(R40:R51)</f>
        <v>9595052</v>
      </c>
      <c r="S52" s="19">
        <f>+Q52+R52</f>
        <v>72657439</v>
      </c>
      <c r="T52" s="19" t="e">
        <f>SUM(T40:T51)</f>
        <v>#REF!</v>
      </c>
      <c r="U52" s="19" t="e">
        <f>SUM(U40:U51)</f>
        <v>#REF!</v>
      </c>
    </row>
    <row r="53" spans="1:21" x14ac:dyDescent="0.25">
      <c r="E53" s="17"/>
      <c r="F53" s="20"/>
      <c r="G53" s="17"/>
      <c r="H53" s="17"/>
      <c r="I53" s="17"/>
      <c r="K53" s="17"/>
      <c r="L53" s="17"/>
      <c r="M53" s="17"/>
      <c r="N53" s="17"/>
      <c r="O53" s="17"/>
      <c r="Q53" s="10"/>
      <c r="S53" s="10"/>
      <c r="U53" s="10"/>
    </row>
    <row r="54" spans="1:21" x14ac:dyDescent="0.25">
      <c r="A54" s="4" t="s">
        <v>64</v>
      </c>
      <c r="E54" s="18"/>
      <c r="F54" s="18"/>
      <c r="G54" s="18"/>
      <c r="H54" s="18"/>
      <c r="I54" s="18"/>
      <c r="K54" s="18"/>
      <c r="L54" s="18"/>
      <c r="M54" s="18"/>
      <c r="N54" s="18"/>
      <c r="O54" s="18"/>
      <c r="Q54" s="10"/>
      <c r="S54" s="10"/>
      <c r="U54" s="10"/>
    </row>
    <row r="55" spans="1:21" x14ac:dyDescent="0.25">
      <c r="B55" t="s">
        <v>65</v>
      </c>
      <c r="E55" s="9">
        <v>1645615</v>
      </c>
      <c r="F55" s="9"/>
      <c r="G55" s="10">
        <f>+E55+F55</f>
        <v>1645615</v>
      </c>
      <c r="H55" s="18"/>
      <c r="I55" s="10">
        <f>+G55+H55</f>
        <v>1645615</v>
      </c>
      <c r="K55" s="9">
        <v>1654005</v>
      </c>
      <c r="L55" s="9">
        <v>909285</v>
      </c>
      <c r="M55" s="10">
        <f>+K55+L55</f>
        <v>2563290</v>
      </c>
      <c r="N55" s="18"/>
      <c r="O55" s="10">
        <f t="shared" ref="O55:O64" si="18">+M55+N55</f>
        <v>2563290</v>
      </c>
      <c r="Q55" s="9">
        <v>16385448</v>
      </c>
      <c r="R55" s="9">
        <v>1354464</v>
      </c>
      <c r="S55" s="10">
        <f>+Q55+R55</f>
        <v>17739912</v>
      </c>
      <c r="U55" s="10">
        <f>+S55+T55</f>
        <v>17739912</v>
      </c>
    </row>
    <row r="56" spans="1:21" x14ac:dyDescent="0.25">
      <c r="B56" t="s">
        <v>66</v>
      </c>
      <c r="E56" s="9">
        <v>6657895</v>
      </c>
      <c r="F56" s="9"/>
      <c r="G56" s="10">
        <f>+E56+F56</f>
        <v>6657895</v>
      </c>
      <c r="H56" s="18"/>
      <c r="I56" s="10">
        <f>+G56+H56</f>
        <v>6657895</v>
      </c>
      <c r="K56" s="9">
        <v>0</v>
      </c>
      <c r="L56" s="9"/>
      <c r="M56" s="10">
        <f>+K56+L56</f>
        <v>0</v>
      </c>
      <c r="N56" s="18"/>
      <c r="O56" s="10">
        <f t="shared" si="18"/>
        <v>0</v>
      </c>
      <c r="Q56" s="9"/>
      <c r="R56" s="9"/>
      <c r="S56" s="10"/>
      <c r="U56" s="10"/>
    </row>
    <row r="57" spans="1:21" x14ac:dyDescent="0.25">
      <c r="B57" t="s">
        <v>54</v>
      </c>
      <c r="E57" s="9"/>
      <c r="F57" s="18"/>
      <c r="G57" s="10"/>
      <c r="H57" s="18"/>
      <c r="I57" s="18"/>
      <c r="K57" s="9"/>
      <c r="L57" s="18"/>
      <c r="M57" s="10"/>
      <c r="N57" s="18"/>
      <c r="O57" s="10">
        <f t="shared" si="18"/>
        <v>0</v>
      </c>
      <c r="Q57" s="9"/>
      <c r="R57" s="18"/>
      <c r="S57" s="10"/>
      <c r="U57" s="10"/>
    </row>
    <row r="58" spans="1:21" x14ac:dyDescent="0.25">
      <c r="B58" s="8" t="s">
        <v>55</v>
      </c>
      <c r="C58" s="8"/>
      <c r="D58" s="8"/>
      <c r="E58" s="9">
        <v>0</v>
      </c>
      <c r="F58" s="9"/>
      <c r="G58" s="10">
        <f t="shared" ref="G58:G64" si="19">+E58+F58</f>
        <v>0</v>
      </c>
      <c r="H58" s="18"/>
      <c r="I58" s="10">
        <f t="shared" ref="I58:I64" si="20">+G58+H58</f>
        <v>0</v>
      </c>
      <c r="K58" s="9">
        <v>0</v>
      </c>
      <c r="L58" s="9"/>
      <c r="M58" s="10">
        <f t="shared" ref="M58:M64" si="21">+K58+L58</f>
        <v>0</v>
      </c>
      <c r="N58" s="18"/>
      <c r="O58" s="10">
        <f t="shared" si="18"/>
        <v>0</v>
      </c>
      <c r="Q58" s="9">
        <v>2203673</v>
      </c>
      <c r="R58" s="18"/>
      <c r="S58" s="10">
        <f>+Q58+R58</f>
        <v>2203673</v>
      </c>
      <c r="U58" s="10">
        <f>+S58+T58</f>
        <v>2203673</v>
      </c>
    </row>
    <row r="59" spans="1:21" x14ac:dyDescent="0.25">
      <c r="B59" t="s">
        <v>67</v>
      </c>
      <c r="E59" s="9">
        <v>45106525</v>
      </c>
      <c r="F59" s="9"/>
      <c r="G59" s="10">
        <f t="shared" si="19"/>
        <v>45106525</v>
      </c>
      <c r="H59" s="228">
        <f>-AD!G13</f>
        <v>-26543205</v>
      </c>
      <c r="I59" s="10">
        <f t="shared" si="20"/>
        <v>18563320</v>
      </c>
      <c r="K59" s="9">
        <v>0</v>
      </c>
      <c r="L59" s="9"/>
      <c r="M59" s="10">
        <f t="shared" si="21"/>
        <v>0</v>
      </c>
      <c r="N59" s="18"/>
      <c r="O59" s="10">
        <f t="shared" si="18"/>
        <v>0</v>
      </c>
      <c r="Q59" s="9">
        <f>10628880+2936828</f>
        <v>13565708</v>
      </c>
      <c r="R59" s="18"/>
      <c r="S59" s="10">
        <f>+Q59+R59</f>
        <v>13565708</v>
      </c>
      <c r="T59" s="2">
        <f>-AD!O30</f>
        <v>0</v>
      </c>
      <c r="U59" s="10">
        <f>+S59+T59</f>
        <v>13565708</v>
      </c>
    </row>
    <row r="60" spans="1:21" x14ac:dyDescent="0.25">
      <c r="B60" t="s">
        <v>58</v>
      </c>
      <c r="E60" s="9">
        <v>1141591</v>
      </c>
      <c r="F60" s="9">
        <v>1145395</v>
      </c>
      <c r="G60" s="10">
        <f t="shared" si="19"/>
        <v>2286986</v>
      </c>
      <c r="I60" s="10">
        <f t="shared" si="20"/>
        <v>2286986</v>
      </c>
      <c r="K60" s="9">
        <v>13415188</v>
      </c>
      <c r="L60" s="9">
        <v>230650</v>
      </c>
      <c r="M60" s="10">
        <f t="shared" si="21"/>
        <v>13645838</v>
      </c>
      <c r="N60" s="10"/>
      <c r="O60" s="10">
        <f t="shared" si="18"/>
        <v>13645838</v>
      </c>
      <c r="Q60" s="9">
        <f>7566828-2936828+20813206</f>
        <v>25443206</v>
      </c>
      <c r="R60" s="18"/>
      <c r="S60" s="10">
        <f>+Q60+R60</f>
        <v>25443206</v>
      </c>
      <c r="T60" s="2">
        <f>-AD!M31</f>
        <v>-2251425</v>
      </c>
      <c r="U60" s="10">
        <f>+S60+T60</f>
        <v>23191781</v>
      </c>
    </row>
    <row r="61" spans="1:21" x14ac:dyDescent="0.25">
      <c r="B61" t="s">
        <v>59</v>
      </c>
      <c r="E61" s="9">
        <v>2580000</v>
      </c>
      <c r="F61" s="9"/>
      <c r="G61" s="10">
        <f t="shared" si="19"/>
        <v>2580000</v>
      </c>
      <c r="H61" s="10"/>
      <c r="I61" s="10">
        <f t="shared" si="20"/>
        <v>2580000</v>
      </c>
      <c r="K61" s="9">
        <v>33856246</v>
      </c>
      <c r="L61" s="9"/>
      <c r="M61" s="10">
        <f t="shared" si="21"/>
        <v>33856246</v>
      </c>
      <c r="N61" s="10">
        <v>-15292925</v>
      </c>
      <c r="O61" s="10">
        <f t="shared" si="18"/>
        <v>18563321</v>
      </c>
      <c r="Q61" s="9"/>
      <c r="R61" s="30"/>
      <c r="S61" s="10"/>
      <c r="U61" s="10"/>
    </row>
    <row r="62" spans="1:21" x14ac:dyDescent="0.25">
      <c r="B62" t="s">
        <v>68</v>
      </c>
      <c r="E62" s="9">
        <v>7290869</v>
      </c>
      <c r="F62" s="9">
        <v>2041698</v>
      </c>
      <c r="G62" s="10">
        <f t="shared" si="19"/>
        <v>9332567</v>
      </c>
      <c r="H62" s="18"/>
      <c r="I62" s="10">
        <f t="shared" si="20"/>
        <v>9332567</v>
      </c>
      <c r="K62" s="9">
        <v>8243480</v>
      </c>
      <c r="L62" s="9">
        <v>1518011</v>
      </c>
      <c r="M62" s="10">
        <f t="shared" si="21"/>
        <v>9761491</v>
      </c>
      <c r="N62" s="18"/>
      <c r="O62" s="10">
        <f t="shared" si="18"/>
        <v>9761491</v>
      </c>
      <c r="Q62" s="9">
        <f>5140510</f>
        <v>5140510</v>
      </c>
      <c r="R62" s="9">
        <v>964717</v>
      </c>
      <c r="S62" s="10">
        <f>+Q62+R62</f>
        <v>6105227</v>
      </c>
      <c r="U62" s="10">
        <f>+S62+T62</f>
        <v>6105227</v>
      </c>
    </row>
    <row r="63" spans="1:21" ht="17.25" hidden="1" customHeight="1" x14ac:dyDescent="0.25">
      <c r="B63" t="s">
        <v>62</v>
      </c>
      <c r="E63" s="9">
        <v>0</v>
      </c>
      <c r="F63" s="9"/>
      <c r="G63" s="10">
        <f t="shared" si="19"/>
        <v>0</v>
      </c>
      <c r="H63" s="10"/>
      <c r="I63" s="10">
        <f t="shared" si="20"/>
        <v>0</v>
      </c>
      <c r="K63" s="9">
        <v>2580000</v>
      </c>
      <c r="L63" s="9"/>
      <c r="M63" s="10">
        <f t="shared" si="21"/>
        <v>2580000</v>
      </c>
      <c r="N63" s="10"/>
      <c r="O63" s="10">
        <f t="shared" si="18"/>
        <v>2580000</v>
      </c>
      <c r="Q63" s="9">
        <v>0</v>
      </c>
      <c r="R63" s="18"/>
      <c r="S63" s="10">
        <f>+Q63+R63</f>
        <v>0</v>
      </c>
      <c r="U63" s="10">
        <f>+S63+T63</f>
        <v>0</v>
      </c>
    </row>
    <row r="64" spans="1:21" x14ac:dyDescent="0.25">
      <c r="B64" t="s">
        <v>61</v>
      </c>
      <c r="E64" s="9">
        <v>2542451</v>
      </c>
      <c r="F64" s="10"/>
      <c r="G64" s="10">
        <f t="shared" si="19"/>
        <v>2542451</v>
      </c>
      <c r="H64" s="18"/>
      <c r="I64" s="10">
        <f t="shared" si="20"/>
        <v>2542451</v>
      </c>
      <c r="K64" s="9">
        <v>2804159</v>
      </c>
      <c r="L64" s="18">
        <v>920040</v>
      </c>
      <c r="M64" s="10">
        <f t="shared" si="21"/>
        <v>3724199</v>
      </c>
      <c r="N64" s="18"/>
      <c r="O64" s="10">
        <f t="shared" si="18"/>
        <v>3724199</v>
      </c>
      <c r="Q64" s="9">
        <v>772443</v>
      </c>
      <c r="R64" s="18"/>
      <c r="S64" s="24">
        <f>+Q64+R64</f>
        <v>772443</v>
      </c>
      <c r="U64" s="24">
        <f>+S64+T64</f>
        <v>772443</v>
      </c>
    </row>
    <row r="65" spans="1:21" x14ac:dyDescent="0.25">
      <c r="A65" s="4" t="s">
        <v>69</v>
      </c>
      <c r="E65" s="19">
        <f>SUM(E55:E64)</f>
        <v>66964946</v>
      </c>
      <c r="F65" s="19">
        <f>SUM(F55:F64)</f>
        <v>3187093</v>
      </c>
      <c r="G65" s="19">
        <f>SUM(G55:G64)</f>
        <v>70152039</v>
      </c>
      <c r="H65" s="19">
        <f>SUM(H55:H64)</f>
        <v>-26543205</v>
      </c>
      <c r="I65" s="19">
        <f>SUM(I55:I64)</f>
        <v>43608834</v>
      </c>
      <c r="K65" s="19">
        <f>SUM(K55:K64)</f>
        <v>62553078</v>
      </c>
      <c r="L65" s="19">
        <f>SUM(L55:L64)</f>
        <v>3577986</v>
      </c>
      <c r="M65" s="19">
        <f>SUM(M55:M64)</f>
        <v>66131064</v>
      </c>
      <c r="N65" s="19">
        <f>SUM(N55:N64)</f>
        <v>-15292925</v>
      </c>
      <c r="O65" s="19">
        <f>SUM(O55:O64)</f>
        <v>50838139</v>
      </c>
      <c r="Q65" s="19">
        <f>SUM(Q55:Q64)</f>
        <v>63510988</v>
      </c>
      <c r="R65" s="19">
        <f>SUM(R55:R64)</f>
        <v>2319181</v>
      </c>
      <c r="S65" s="19">
        <f>+Q65+R65</f>
        <v>65830169</v>
      </c>
      <c r="T65" s="19">
        <f>SUM(T55:T64)</f>
        <v>-2251425</v>
      </c>
      <c r="U65" s="19">
        <f>SUM(U55:U64)</f>
        <v>63578744</v>
      </c>
    </row>
    <row r="66" spans="1:21" x14ac:dyDescent="0.25">
      <c r="A66" s="4" t="s">
        <v>70</v>
      </c>
      <c r="E66" s="19">
        <f>E52+E65</f>
        <v>137912070</v>
      </c>
      <c r="F66" s="19">
        <f>F52+F65</f>
        <v>46592628</v>
      </c>
      <c r="G66" s="19">
        <f>G52+G65</f>
        <v>184504698</v>
      </c>
      <c r="H66" s="19">
        <f>H52+H65</f>
        <v>-56429445</v>
      </c>
      <c r="I66" s="19">
        <f>I52+I65</f>
        <v>128075253</v>
      </c>
      <c r="K66" s="19">
        <f>K52+K65</f>
        <v>122704368</v>
      </c>
      <c r="L66" s="19">
        <f>L52+L65</f>
        <v>24566319</v>
      </c>
      <c r="M66" s="19">
        <f>M52+M65</f>
        <v>147270687</v>
      </c>
      <c r="N66" s="19">
        <f>N52+N65</f>
        <v>-34595134</v>
      </c>
      <c r="O66" s="19">
        <f>O52+O65</f>
        <v>112675553</v>
      </c>
      <c r="Q66" s="19">
        <f>Q52+Q65</f>
        <v>126573375</v>
      </c>
      <c r="R66" s="19">
        <f>R52+R65</f>
        <v>11914233</v>
      </c>
      <c r="S66" s="19">
        <f>+Q66+R66</f>
        <v>138487608</v>
      </c>
      <c r="T66" s="19" t="e">
        <f>+T65+T52</f>
        <v>#REF!</v>
      </c>
      <c r="U66" s="19" t="e">
        <f>+U65+U52</f>
        <v>#REF!</v>
      </c>
    </row>
    <row r="67" spans="1:21" x14ac:dyDescent="0.25">
      <c r="E67" s="18"/>
      <c r="F67" s="18"/>
      <c r="G67" s="18"/>
      <c r="H67" s="18"/>
      <c r="I67" s="18"/>
      <c r="K67" s="18"/>
      <c r="L67" s="18"/>
      <c r="M67" s="18"/>
      <c r="N67" s="18"/>
      <c r="O67" s="18"/>
      <c r="Q67" s="10"/>
      <c r="R67" s="10"/>
      <c r="S67" s="10"/>
      <c r="T67" s="10"/>
      <c r="U67" s="10"/>
    </row>
    <row r="68" spans="1:21" x14ac:dyDescent="0.25">
      <c r="A68" s="4" t="s">
        <v>71</v>
      </c>
      <c r="B68" s="8"/>
      <c r="C68" s="8"/>
      <c r="D68" s="8"/>
      <c r="E68" s="18"/>
      <c r="F68" s="18"/>
      <c r="G68" s="18"/>
      <c r="H68" s="18"/>
      <c r="I68" s="18"/>
      <c r="J68" s="8"/>
      <c r="K68" s="18"/>
      <c r="L68" s="18"/>
      <c r="M68" s="18"/>
      <c r="N68" s="18"/>
      <c r="O68" s="18"/>
      <c r="P68" s="8"/>
      <c r="Q68" s="10"/>
      <c r="R68" s="10"/>
      <c r="S68" s="10"/>
      <c r="T68" s="10"/>
      <c r="U68" s="10"/>
    </row>
    <row r="69" spans="1:21" x14ac:dyDescent="0.25">
      <c r="A69" s="8"/>
      <c r="B69" s="8" t="s">
        <v>72</v>
      </c>
      <c r="C69" s="8"/>
      <c r="D69" s="32"/>
      <c r="E69" s="9">
        <v>21629181</v>
      </c>
      <c r="F69" s="9">
        <v>18564158</v>
      </c>
      <c r="G69" s="10">
        <f>+E69+F69</f>
        <v>40193339</v>
      </c>
      <c r="H69" s="254"/>
      <c r="I69" s="10">
        <f>+G69+H69</f>
        <v>40193339</v>
      </c>
      <c r="J69" s="8"/>
      <c r="K69" s="9">
        <v>37143362</v>
      </c>
      <c r="L69" s="9">
        <v>13159302</v>
      </c>
      <c r="M69" s="10">
        <f>+K69+L69</f>
        <v>50302664</v>
      </c>
      <c r="N69" s="254"/>
      <c r="O69" s="10">
        <f>+M69+N69</f>
        <v>50302664</v>
      </c>
      <c r="P69" s="8"/>
      <c r="Q69" s="9">
        <f>+PAT!F19</f>
        <v>30006697</v>
      </c>
      <c r="R69" s="9">
        <f>+PAT!G19</f>
        <v>11015563</v>
      </c>
      <c r="S69" s="10">
        <f t="shared" ref="S69:S74" si="22">+Q69+R69</f>
        <v>41022260</v>
      </c>
      <c r="T69" s="10"/>
      <c r="U69" s="10">
        <f>+S69+T69</f>
        <v>41022260</v>
      </c>
    </row>
    <row r="70" spans="1:21" x14ac:dyDescent="0.25">
      <c r="A70" s="8"/>
      <c r="B70" s="8" t="s">
        <v>73</v>
      </c>
      <c r="C70" s="8"/>
      <c r="D70" s="32"/>
      <c r="E70" s="9">
        <v>920</v>
      </c>
      <c r="F70" s="9">
        <v>0</v>
      </c>
      <c r="G70" s="10">
        <f>+E70+F70</f>
        <v>920</v>
      </c>
      <c r="H70" s="254"/>
      <c r="I70" s="10">
        <f>+G70+H70</f>
        <v>920</v>
      </c>
      <c r="J70" s="8"/>
      <c r="K70" s="9">
        <v>6115920</v>
      </c>
      <c r="L70" s="9"/>
      <c r="M70" s="10">
        <f>+K70+L70</f>
        <v>6115920</v>
      </c>
      <c r="N70" s="254"/>
      <c r="O70" s="10">
        <f>+M70+N70</f>
        <v>6115920</v>
      </c>
      <c r="P70" s="8"/>
      <c r="Q70" s="9">
        <f>+PAT!F38</f>
        <v>920</v>
      </c>
      <c r="R70" s="9">
        <f>+PAT!G38</f>
        <v>0</v>
      </c>
      <c r="S70" s="10">
        <f t="shared" si="22"/>
        <v>920</v>
      </c>
      <c r="T70" s="10"/>
      <c r="U70" s="10">
        <f>+S70+T70</f>
        <v>920</v>
      </c>
    </row>
    <row r="71" spans="1:21" x14ac:dyDescent="0.25">
      <c r="A71" s="8"/>
      <c r="B71" s="8" t="s">
        <v>74</v>
      </c>
      <c r="C71" s="8"/>
      <c r="D71" s="32"/>
      <c r="E71" s="9">
        <v>6170159</v>
      </c>
      <c r="F71" s="9">
        <f>2635685+14436</f>
        <v>2650121</v>
      </c>
      <c r="G71" s="10">
        <f>+E71+F71</f>
        <v>8820280</v>
      </c>
      <c r="H71" s="255"/>
      <c r="I71" s="10">
        <f>+G71+H71</f>
        <v>8820280</v>
      </c>
      <c r="J71" s="8"/>
      <c r="K71" s="9">
        <v>6170159</v>
      </c>
      <c r="L71" s="9">
        <v>2026031</v>
      </c>
      <c r="M71" s="10">
        <f>+K71+L71</f>
        <v>8196190</v>
      </c>
      <c r="N71" s="255"/>
      <c r="O71" s="10">
        <f>+M71+N71</f>
        <v>8196190</v>
      </c>
      <c r="P71" s="8"/>
      <c r="Q71" s="9">
        <f>+PAT!F56+PAT!F68</f>
        <v>4697751</v>
      </c>
      <c r="R71" s="9">
        <f>+PAT!G56+PAT!G68+PAT!G78-1</f>
        <v>1651249</v>
      </c>
      <c r="S71" s="10">
        <f t="shared" si="22"/>
        <v>6349000</v>
      </c>
      <c r="T71" s="10"/>
      <c r="U71" s="10">
        <f>+S71+T71</f>
        <v>6349000</v>
      </c>
    </row>
    <row r="72" spans="1:21" x14ac:dyDescent="0.25">
      <c r="A72" s="8"/>
      <c r="B72" s="8" t="s">
        <v>75</v>
      </c>
      <c r="C72" s="8"/>
      <c r="D72" s="32"/>
      <c r="E72" s="33">
        <v>60507678</v>
      </c>
      <c r="F72" s="33">
        <f>35504940-F69-F71</f>
        <v>14290661</v>
      </c>
      <c r="G72" s="10">
        <f>+E72+F72</f>
        <v>74798339</v>
      </c>
      <c r="H72" s="255">
        <f>+PAT!I155</f>
        <v>-5109772.7534000017</v>
      </c>
      <c r="I72" s="10">
        <f>+G72+H72</f>
        <v>69688566.246600002</v>
      </c>
      <c r="J72" s="8"/>
      <c r="K72" s="33">
        <v>38836240.450000003</v>
      </c>
      <c r="L72" s="33">
        <v>5815726</v>
      </c>
      <c r="M72" s="10">
        <f>+K72+L72</f>
        <v>44651966.450000003</v>
      </c>
      <c r="N72" s="255">
        <v>-9763133</v>
      </c>
      <c r="O72" s="10">
        <f>+M72+N72-1</f>
        <v>34888832.450000003</v>
      </c>
      <c r="P72" s="8"/>
      <c r="Q72" s="9">
        <f>+PAT!F78+PAT!F87+PAT!F101+PAT!F136</f>
        <v>36135934</v>
      </c>
      <c r="R72" s="9">
        <f>+PAT!G87+PAT!G136+PAT!G101</f>
        <v>1584690</v>
      </c>
      <c r="S72" s="10">
        <f t="shared" si="22"/>
        <v>37720624</v>
      </c>
      <c r="T72" s="10">
        <f>+PAT!I136</f>
        <v>-14609377.588252001</v>
      </c>
      <c r="U72" s="10">
        <f>+S72+T72</f>
        <v>23111246.411747999</v>
      </c>
    </row>
    <row r="73" spans="1:21" x14ac:dyDescent="0.25">
      <c r="A73" s="4" t="s">
        <v>76</v>
      </c>
      <c r="B73" s="8"/>
      <c r="C73" s="8"/>
      <c r="D73" s="8"/>
      <c r="E73" s="19">
        <f>SUM(E69:E72)</f>
        <v>88307938</v>
      </c>
      <c r="F73" s="19">
        <f>SUM(F69:F72)</f>
        <v>35504940</v>
      </c>
      <c r="G73" s="19">
        <f>SUM(G69:G72)</f>
        <v>123812878</v>
      </c>
      <c r="H73" s="19">
        <f>SUM(H69:H72)</f>
        <v>-5109772.7534000017</v>
      </c>
      <c r="I73" s="19">
        <f>SUM(I69:I72)</f>
        <v>118703105.2466</v>
      </c>
      <c r="J73" s="8"/>
      <c r="K73" s="19">
        <f>SUM(K69:K72)</f>
        <v>88265681.450000003</v>
      </c>
      <c r="L73" s="19">
        <f>SUM(L69:L72)</f>
        <v>21001059</v>
      </c>
      <c r="M73" s="19">
        <f>SUM(M69:M72)</f>
        <v>109266740.45</v>
      </c>
      <c r="N73" s="19">
        <f>SUM(N69:N72)</f>
        <v>-9763133</v>
      </c>
      <c r="O73" s="19">
        <f>SUM(O69:O72)</f>
        <v>99503606.450000003</v>
      </c>
      <c r="P73" s="8"/>
      <c r="Q73" s="19">
        <f>SUM(Q69:Q72)</f>
        <v>70841302</v>
      </c>
      <c r="R73" s="19">
        <f>SUM(R69:R72)</f>
        <v>14251502</v>
      </c>
      <c r="S73" s="19">
        <f t="shared" si="22"/>
        <v>85092804</v>
      </c>
      <c r="T73" s="19">
        <f>SUM(T69:T72)</f>
        <v>-14609377.588252001</v>
      </c>
      <c r="U73" s="19">
        <f>SUM(U69:U72)</f>
        <v>70483426.411747992</v>
      </c>
    </row>
    <row r="74" spans="1:21" x14ac:dyDescent="0.25">
      <c r="A74" s="4" t="s">
        <v>77</v>
      </c>
      <c r="B74" s="8"/>
      <c r="C74" s="8"/>
      <c r="D74" s="8"/>
      <c r="E74" s="24">
        <f>+E73+E66</f>
        <v>226220008</v>
      </c>
      <c r="F74" s="24">
        <f>+F73+F66</f>
        <v>82097568</v>
      </c>
      <c r="G74" s="24">
        <f>+G73+G66</f>
        <v>308317576</v>
      </c>
      <c r="H74" s="24">
        <f>+H73+H66</f>
        <v>-61539217.753399998</v>
      </c>
      <c r="I74" s="24">
        <f>+I73+I66</f>
        <v>246778358.2466</v>
      </c>
      <c r="J74" s="8"/>
      <c r="K74" s="24">
        <f>+K73+K66</f>
        <v>210970049.44999999</v>
      </c>
      <c r="L74" s="24">
        <f>+L73+L66</f>
        <v>45567378</v>
      </c>
      <c r="M74" s="24">
        <f>+M73+M66</f>
        <v>256537427.44999999</v>
      </c>
      <c r="N74" s="24">
        <f>+N73+N66</f>
        <v>-44358267</v>
      </c>
      <c r="O74" s="24">
        <f>+O73+O66</f>
        <v>212179159.44999999</v>
      </c>
      <c r="P74" s="8"/>
      <c r="Q74" s="24">
        <f>+Q73+Q66</f>
        <v>197414677</v>
      </c>
      <c r="R74" s="24">
        <f>+R73+R66</f>
        <v>26165735</v>
      </c>
      <c r="S74" s="24">
        <f t="shared" si="22"/>
        <v>223580412</v>
      </c>
      <c r="T74" s="24" t="e">
        <f>+T66+T73</f>
        <v>#REF!</v>
      </c>
      <c r="U74" s="24" t="e">
        <f>+U73+U66</f>
        <v>#REF!</v>
      </c>
    </row>
    <row r="75" spans="1:21" s="34" customFormat="1" ht="11.25" x14ac:dyDescent="0.2">
      <c r="E75" s="35">
        <f>+E74-E35</f>
        <v>0</v>
      </c>
      <c r="F75" s="35">
        <f>+F74-F35</f>
        <v>0</v>
      </c>
      <c r="G75" s="35">
        <f>+G74-G35</f>
        <v>0</v>
      </c>
      <c r="H75" s="35">
        <f>+H74-H35</f>
        <v>0</v>
      </c>
      <c r="I75" s="260">
        <f>+I74-I35</f>
        <v>0</v>
      </c>
      <c r="K75" s="35">
        <f>+K74-K35</f>
        <v>0.44999998807907104</v>
      </c>
      <c r="L75" s="35">
        <f>+L74-L35</f>
        <v>0</v>
      </c>
      <c r="M75" s="35">
        <f>+M74-M35</f>
        <v>0.44999998807907104</v>
      </c>
      <c r="N75" s="35">
        <f>+N74-N35</f>
        <v>1</v>
      </c>
      <c r="O75" s="35">
        <f>+O74-O35</f>
        <v>0.44999998807907104</v>
      </c>
      <c r="Q75" s="35">
        <f>+Q74-Q35</f>
        <v>0</v>
      </c>
      <c r="R75" s="35">
        <f>+R74-R35</f>
        <v>0</v>
      </c>
      <c r="S75" s="35">
        <f>+S74-S35</f>
        <v>0</v>
      </c>
      <c r="T75" s="35" t="e">
        <f>+T74-T35</f>
        <v>#REF!</v>
      </c>
      <c r="U75" s="35" t="e">
        <f>+U74-U35</f>
        <v>#REF!</v>
      </c>
    </row>
    <row r="76" spans="1:21" x14ac:dyDescent="0.25">
      <c r="N76" s="32"/>
    </row>
    <row r="77" spans="1:21" x14ac:dyDescent="0.25">
      <c r="N77" s="32"/>
    </row>
    <row r="79" spans="1:21" x14ac:dyDescent="0.25">
      <c r="K79" s="7" t="s">
        <v>78</v>
      </c>
      <c r="L79" s="7"/>
      <c r="M79" s="7"/>
    </row>
    <row r="80" spans="1:21" x14ac:dyDescent="0.25">
      <c r="K80" s="2" t="s">
        <v>79</v>
      </c>
      <c r="L80" s="2"/>
      <c r="M80" s="2"/>
    </row>
  </sheetData>
  <mergeCells count="1">
    <mergeCell ref="A21:C21"/>
  </mergeCells>
  <pageMargins left="0.7" right="0.7" top="0.75" bottom="0.75" header="0.51180555555555496" footer="0.51180555555555496"/>
  <pageSetup scale="70" firstPageNumber="0" orientation="landscape" horizontalDpi="300" verticalDpi="300"/>
  <colBreaks count="1" manualBreakCount="1">
    <brk id="21"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45"/>
  <sheetViews>
    <sheetView zoomScaleNormal="100" workbookViewId="0">
      <pane xSplit="3" ySplit="5" topLeftCell="D25" activePane="bottomRight" state="frozen"/>
      <selection pane="topRight" activeCell="D1" sqref="D1"/>
      <selection pane="bottomLeft" activeCell="A26" sqref="A26"/>
      <selection pane="bottomRight" activeCell="H29" sqref="H29"/>
    </sheetView>
  </sheetViews>
  <sheetFormatPr defaultColWidth="11.5703125" defaultRowHeight="15" outlineLevelRow="1" x14ac:dyDescent="0.25"/>
  <cols>
    <col min="1" max="1" width="2.7109375" customWidth="1"/>
    <col min="2" max="2" width="28.42578125" customWidth="1"/>
    <col min="3" max="3" width="7.140625" customWidth="1"/>
    <col min="4" max="4" width="13.28515625" customWidth="1"/>
    <col min="5" max="5" width="13.140625" customWidth="1"/>
    <col min="6" max="6" width="13.28515625" customWidth="1"/>
    <col min="7" max="7" width="13.42578125" bestFit="1" customWidth="1"/>
    <col min="8" max="8" width="13.7109375" customWidth="1"/>
    <col min="9" max="9" width="1.85546875" customWidth="1"/>
    <col min="10" max="10" width="13.42578125" customWidth="1"/>
    <col min="11" max="11" width="14.140625" customWidth="1"/>
    <col min="12" max="12" width="14.42578125" customWidth="1"/>
    <col min="13" max="13" width="14.140625" customWidth="1"/>
    <col min="14" max="14" width="15.5703125" customWidth="1"/>
    <col min="15" max="15" width="7.140625" hidden="1" customWidth="1"/>
    <col min="16" max="16" width="13.28515625" hidden="1" customWidth="1"/>
    <col min="17" max="17" width="13.140625" hidden="1" customWidth="1"/>
    <col min="18" max="18" width="13.28515625" hidden="1" customWidth="1"/>
    <col min="19" max="19" width="12.28515625" hidden="1" customWidth="1"/>
    <col min="20" max="20" width="13.7109375" hidden="1" customWidth="1"/>
    <col min="21" max="21" width="1.85546875" hidden="1" customWidth="1"/>
    <col min="22" max="22" width="12.7109375" hidden="1" customWidth="1"/>
    <col min="23" max="23" width="12.28515625" customWidth="1"/>
    <col min="24" max="24" width="12.7109375" customWidth="1"/>
    <col min="25" max="25" width="12.28515625" customWidth="1"/>
  </cols>
  <sheetData>
    <row r="1" spans="1:20" x14ac:dyDescent="0.25">
      <c r="A1" s="3" t="s">
        <v>12</v>
      </c>
    </row>
    <row r="2" spans="1:20" x14ac:dyDescent="0.25">
      <c r="A2" s="4" t="s">
        <v>80</v>
      </c>
    </row>
    <row r="3" spans="1:20" x14ac:dyDescent="0.25">
      <c r="A3" s="4" t="s">
        <v>13</v>
      </c>
      <c r="D3" s="25"/>
      <c r="E3" s="36"/>
      <c r="F3" s="36"/>
      <c r="G3" s="36"/>
      <c r="H3" s="36"/>
      <c r="P3" s="25"/>
      <c r="Q3" s="36"/>
      <c r="R3" s="36"/>
      <c r="S3" s="36"/>
      <c r="T3" s="36"/>
    </row>
    <row r="4" spans="1:20" x14ac:dyDescent="0.25">
      <c r="A4" s="8" t="s">
        <v>14</v>
      </c>
      <c r="D4" s="10"/>
      <c r="E4" s="18"/>
      <c r="F4" s="18"/>
      <c r="G4" s="37" t="s">
        <v>15</v>
      </c>
      <c r="H4" s="37">
        <v>2020</v>
      </c>
      <c r="J4" s="6"/>
      <c r="K4" s="17"/>
      <c r="L4" s="17"/>
      <c r="M4" s="38" t="s">
        <v>15</v>
      </c>
      <c r="N4" s="38">
        <v>2019</v>
      </c>
      <c r="P4" s="10"/>
      <c r="Q4" s="18"/>
      <c r="R4" s="18"/>
      <c r="S4" s="37" t="s">
        <v>15</v>
      </c>
      <c r="T4" s="37">
        <v>2017</v>
      </c>
    </row>
    <row r="5" spans="1:20" x14ac:dyDescent="0.25">
      <c r="D5" s="14" t="s">
        <v>16</v>
      </c>
      <c r="E5" s="39" t="s">
        <v>17</v>
      </c>
      <c r="F5" s="39" t="s">
        <v>18</v>
      </c>
      <c r="G5" s="40" t="s">
        <v>81</v>
      </c>
      <c r="H5" s="39" t="s">
        <v>20</v>
      </c>
      <c r="J5" s="14" t="s">
        <v>16</v>
      </c>
      <c r="K5" s="39" t="s">
        <v>17</v>
      </c>
      <c r="L5" s="39" t="s">
        <v>18</v>
      </c>
      <c r="M5" s="39" t="s">
        <v>81</v>
      </c>
      <c r="N5" s="39" t="s">
        <v>20</v>
      </c>
      <c r="P5" s="14" t="s">
        <v>16</v>
      </c>
      <c r="Q5" s="39" t="s">
        <v>17</v>
      </c>
      <c r="R5" s="39" t="s">
        <v>18</v>
      </c>
      <c r="S5" s="40" t="s">
        <v>81</v>
      </c>
      <c r="T5" s="39" t="s">
        <v>20</v>
      </c>
    </row>
    <row r="6" spans="1:20" x14ac:dyDescent="0.25">
      <c r="D6" s="10"/>
      <c r="E6" s="18"/>
      <c r="F6" s="18"/>
      <c r="G6" s="18"/>
      <c r="H6" s="18"/>
      <c r="J6" s="10"/>
      <c r="K6" s="18"/>
      <c r="L6" s="18"/>
      <c r="M6" s="18"/>
      <c r="N6" s="18"/>
      <c r="P6" s="10"/>
      <c r="Q6" s="18"/>
      <c r="R6" s="18"/>
      <c r="S6" s="18"/>
      <c r="T6" s="18"/>
    </row>
    <row r="7" spans="1:20" x14ac:dyDescent="0.25">
      <c r="A7" t="s">
        <v>82</v>
      </c>
      <c r="D7" s="10">
        <v>205835336</v>
      </c>
      <c r="E7" s="10">
        <v>174788764</v>
      </c>
      <c r="F7" s="10">
        <f>+D7+E7</f>
        <v>380624100</v>
      </c>
      <c r="G7" s="10">
        <f>-AD!G7-AD!G22</f>
        <v>-111136297</v>
      </c>
      <c r="H7" s="10">
        <f>+F7+G7</f>
        <v>269487803</v>
      </c>
      <c r="J7" s="10">
        <v>189089112</v>
      </c>
      <c r="K7" s="10">
        <v>136513946</v>
      </c>
      <c r="L7" s="10">
        <f>+J7+K7</f>
        <v>325603058</v>
      </c>
      <c r="M7" s="10">
        <f>-AD!I7-AD!I22</f>
        <v>-93140935</v>
      </c>
      <c r="N7" s="10">
        <f>+L7+M7</f>
        <v>232462123</v>
      </c>
      <c r="P7" s="10">
        <v>152924768</v>
      </c>
      <c r="Q7" s="10">
        <v>73699302</v>
      </c>
      <c r="R7" s="10">
        <f>+P7+Q7</f>
        <v>226624070</v>
      </c>
      <c r="S7" s="10">
        <f>-AD!M7-AD!M22</f>
        <v>-52109713</v>
      </c>
      <c r="T7" s="10">
        <f>+R7+S7</f>
        <v>174514357</v>
      </c>
    </row>
    <row r="8" spans="1:20" x14ac:dyDescent="0.25">
      <c r="A8" t="s">
        <v>83</v>
      </c>
      <c r="D8" s="10">
        <v>-93087412</v>
      </c>
      <c r="E8" s="10">
        <v>-128080645</v>
      </c>
      <c r="F8" s="10">
        <f>+D8+E8</f>
        <v>-221168057</v>
      </c>
      <c r="G8" s="10">
        <f>AD!H9+AD!H24+AD!H38</f>
        <v>116845857</v>
      </c>
      <c r="H8" s="10">
        <f>+F8+G8</f>
        <v>-104322200</v>
      </c>
      <c r="J8" s="10">
        <v>-119055718</v>
      </c>
      <c r="K8" s="10">
        <v>-104336370</v>
      </c>
      <c r="L8" s="10">
        <f>+J8+K8</f>
        <v>-223392088</v>
      </c>
      <c r="M8" s="10">
        <f>+AD!J9+AD!J24+AD!J38</f>
        <v>94574016</v>
      </c>
      <c r="N8" s="10">
        <f>+L8+M8</f>
        <v>-128818072</v>
      </c>
      <c r="P8" s="10">
        <v>-71809934</v>
      </c>
      <c r="Q8" s="10">
        <v>-55517093</v>
      </c>
      <c r="R8" s="10">
        <f>+P8+Q8</f>
        <v>-127327027</v>
      </c>
      <c r="S8" s="10">
        <f>+AD!N9+AD!N24+AD!N38</f>
        <v>53367742</v>
      </c>
      <c r="T8" s="10">
        <f>+R8+S8</f>
        <v>-73959285</v>
      </c>
    </row>
    <row r="9" spans="1:20" x14ac:dyDescent="0.25">
      <c r="A9" t="s">
        <v>84</v>
      </c>
      <c r="D9" s="19">
        <f>+D7+D8</f>
        <v>112747924</v>
      </c>
      <c r="E9" s="19">
        <f>+E7+E8</f>
        <v>46708119</v>
      </c>
      <c r="F9" s="19">
        <f>+F7+F8</f>
        <v>159456043</v>
      </c>
      <c r="G9" s="19">
        <f>+G7+G8</f>
        <v>5709560</v>
      </c>
      <c r="H9" s="19">
        <f>+H7+H8</f>
        <v>165165603</v>
      </c>
      <c r="J9" s="19">
        <f>+J7+J8</f>
        <v>70033394</v>
      </c>
      <c r="K9" s="19">
        <f>+K7+K8</f>
        <v>32177576</v>
      </c>
      <c r="L9" s="19">
        <f>+L7+L8</f>
        <v>102210970</v>
      </c>
      <c r="M9" s="19">
        <f>+M7+M8</f>
        <v>1433081</v>
      </c>
      <c r="N9" s="19">
        <f>+N7+N8</f>
        <v>103644051</v>
      </c>
      <c r="P9" s="19">
        <f>+P7+P8</f>
        <v>81114834</v>
      </c>
      <c r="Q9" s="19">
        <f>+Q7+Q8</f>
        <v>18182209</v>
      </c>
      <c r="R9" s="19">
        <f>+R7+R8</f>
        <v>99297043</v>
      </c>
      <c r="S9" s="19">
        <f>+S7+S8</f>
        <v>1258029</v>
      </c>
      <c r="T9" s="19">
        <f>+T7+T8</f>
        <v>100555072</v>
      </c>
    </row>
    <row r="10" spans="1:20" x14ac:dyDescent="0.25">
      <c r="D10" s="10"/>
      <c r="E10" s="10"/>
      <c r="F10" s="10"/>
      <c r="G10" s="10"/>
      <c r="H10" s="10"/>
      <c r="J10" s="10"/>
      <c r="K10" s="10"/>
      <c r="L10" s="10"/>
      <c r="M10" s="10"/>
      <c r="N10" s="10"/>
      <c r="P10" s="10"/>
      <c r="Q10" s="10"/>
      <c r="R10" s="10"/>
      <c r="S10" s="10"/>
      <c r="T10" s="10"/>
    </row>
    <row r="11" spans="1:20" x14ac:dyDescent="0.25">
      <c r="A11" t="s">
        <v>85</v>
      </c>
      <c r="D11" s="10">
        <v>-78565101</v>
      </c>
      <c r="E11" s="10">
        <f>-27675371+3484342</f>
        <v>-24191029</v>
      </c>
      <c r="F11" s="10">
        <f t="shared" ref="F11:F25" si="0">+D11+E11</f>
        <v>-102756130</v>
      </c>
      <c r="G11" s="10"/>
      <c r="H11" s="24">
        <f t="shared" ref="H11:H28" si="1">+F11+G11</f>
        <v>-102756130</v>
      </c>
      <c r="J11" s="24">
        <v>-41266215</v>
      </c>
      <c r="K11" s="24">
        <v>-20672565</v>
      </c>
      <c r="L11" s="41">
        <f>+J11+K11</f>
        <v>-61938780</v>
      </c>
      <c r="M11" s="24"/>
      <c r="N11" s="24">
        <f t="shared" ref="N11:N28" si="2">+L11+M11</f>
        <v>-61938780</v>
      </c>
      <c r="P11" s="10">
        <v>-63291970</v>
      </c>
      <c r="Q11" s="10">
        <v>-14726048</v>
      </c>
      <c r="R11" s="10">
        <f t="shared" ref="R11:R25" si="3">+P11+Q11</f>
        <v>-78018018</v>
      </c>
      <c r="S11" s="10"/>
      <c r="T11" s="24">
        <f t="shared" ref="T11:T28" si="4">+R11+S11</f>
        <v>-78018018</v>
      </c>
    </row>
    <row r="12" spans="1:20" hidden="1" outlineLevel="1" x14ac:dyDescent="0.25">
      <c r="A12" t="s">
        <v>86</v>
      </c>
      <c r="D12" s="10"/>
      <c r="E12" s="10"/>
      <c r="F12" s="10">
        <f t="shared" si="0"/>
        <v>0</v>
      </c>
      <c r="G12" s="10"/>
      <c r="H12" s="10">
        <f t="shared" si="1"/>
        <v>0</v>
      </c>
      <c r="J12" s="10"/>
      <c r="K12" s="10"/>
      <c r="L12" s="10"/>
      <c r="M12" s="10"/>
      <c r="N12" s="10">
        <f t="shared" si="2"/>
        <v>0</v>
      </c>
      <c r="P12" s="10"/>
      <c r="Q12" s="10"/>
      <c r="R12" s="10">
        <f t="shared" si="3"/>
        <v>0</v>
      </c>
      <c r="S12" s="10"/>
      <c r="T12" s="10">
        <f t="shared" si="4"/>
        <v>0</v>
      </c>
    </row>
    <row r="13" spans="1:20" hidden="1" outlineLevel="1" x14ac:dyDescent="0.25">
      <c r="A13" t="s">
        <v>87</v>
      </c>
      <c r="D13" s="10"/>
      <c r="E13" s="10"/>
      <c r="F13" s="10">
        <f t="shared" si="0"/>
        <v>0</v>
      </c>
      <c r="G13" s="10"/>
      <c r="H13" s="10">
        <f t="shared" si="1"/>
        <v>0</v>
      </c>
      <c r="J13" s="10"/>
      <c r="K13" s="10"/>
      <c r="L13" s="10"/>
      <c r="M13" s="10"/>
      <c r="N13" s="10">
        <f t="shared" si="2"/>
        <v>0</v>
      </c>
      <c r="P13" s="10"/>
      <c r="Q13" s="10"/>
      <c r="R13" s="10">
        <f t="shared" si="3"/>
        <v>0</v>
      </c>
      <c r="S13" s="10"/>
      <c r="T13" s="10">
        <f t="shared" si="4"/>
        <v>0</v>
      </c>
    </row>
    <row r="14" spans="1:20" hidden="1" outlineLevel="1" x14ac:dyDescent="0.25">
      <c r="A14" t="s">
        <v>88</v>
      </c>
      <c r="D14" s="10"/>
      <c r="E14" s="10"/>
      <c r="F14" s="10">
        <f t="shared" si="0"/>
        <v>0</v>
      </c>
      <c r="G14" s="10"/>
      <c r="H14" s="10">
        <f t="shared" si="1"/>
        <v>0</v>
      </c>
      <c r="J14" s="10"/>
      <c r="K14" s="10"/>
      <c r="L14" s="10"/>
      <c r="M14" s="10"/>
      <c r="N14" s="10">
        <f t="shared" si="2"/>
        <v>0</v>
      </c>
      <c r="P14" s="10"/>
      <c r="Q14" s="10"/>
      <c r="R14" s="10">
        <f t="shared" si="3"/>
        <v>0</v>
      </c>
      <c r="S14" s="10"/>
      <c r="T14" s="10">
        <f t="shared" si="4"/>
        <v>0</v>
      </c>
    </row>
    <row r="15" spans="1:20" hidden="1" outlineLevel="1" x14ac:dyDescent="0.25">
      <c r="A15" t="s">
        <v>89</v>
      </c>
      <c r="D15" s="10"/>
      <c r="E15" s="10"/>
      <c r="F15" s="10">
        <f t="shared" si="0"/>
        <v>0</v>
      </c>
      <c r="G15" s="10"/>
      <c r="H15" s="10">
        <f t="shared" si="1"/>
        <v>0</v>
      </c>
      <c r="J15" s="10"/>
      <c r="K15" s="10"/>
      <c r="L15" s="10"/>
      <c r="M15" s="10"/>
      <c r="N15" s="10">
        <f t="shared" si="2"/>
        <v>0</v>
      </c>
      <c r="P15" s="10"/>
      <c r="Q15" s="10"/>
      <c r="R15" s="10">
        <f t="shared" si="3"/>
        <v>0</v>
      </c>
      <c r="S15" s="10"/>
      <c r="T15" s="10">
        <f t="shared" si="4"/>
        <v>0</v>
      </c>
    </row>
    <row r="16" spans="1:20" hidden="1" outlineLevel="1" x14ac:dyDescent="0.25">
      <c r="A16" t="s">
        <v>90</v>
      </c>
      <c r="D16" s="10"/>
      <c r="E16" s="10"/>
      <c r="F16" s="10">
        <f t="shared" si="0"/>
        <v>0</v>
      </c>
      <c r="G16" s="10"/>
      <c r="H16" s="10">
        <f t="shared" si="1"/>
        <v>0</v>
      </c>
      <c r="J16" s="10"/>
      <c r="K16" s="10"/>
      <c r="L16" s="10"/>
      <c r="M16" s="10"/>
      <c r="N16" s="10">
        <f t="shared" si="2"/>
        <v>0</v>
      </c>
      <c r="P16" s="10"/>
      <c r="Q16" s="10"/>
      <c r="R16" s="10">
        <f t="shared" si="3"/>
        <v>0</v>
      </c>
      <c r="S16" s="10"/>
      <c r="T16" s="10">
        <f t="shared" si="4"/>
        <v>0</v>
      </c>
    </row>
    <row r="17" spans="1:20" hidden="1" outlineLevel="1" x14ac:dyDescent="0.25">
      <c r="A17" t="s">
        <v>91</v>
      </c>
      <c r="D17" s="10"/>
      <c r="E17" s="10"/>
      <c r="F17" s="10">
        <f t="shared" si="0"/>
        <v>0</v>
      </c>
      <c r="G17" s="10"/>
      <c r="H17" s="10">
        <f t="shared" si="1"/>
        <v>0</v>
      </c>
      <c r="J17" s="10"/>
      <c r="K17" s="10"/>
      <c r="L17" s="10"/>
      <c r="M17" s="10"/>
      <c r="N17" s="10">
        <f t="shared" si="2"/>
        <v>0</v>
      </c>
      <c r="P17" s="10"/>
      <c r="Q17" s="10"/>
      <c r="R17" s="10">
        <f t="shared" si="3"/>
        <v>0</v>
      </c>
      <c r="S17" s="10"/>
      <c r="T17" s="10">
        <f t="shared" si="4"/>
        <v>0</v>
      </c>
    </row>
    <row r="18" spans="1:20" hidden="1" outlineLevel="1" x14ac:dyDescent="0.25">
      <c r="A18" t="s">
        <v>92</v>
      </c>
      <c r="D18" s="10"/>
      <c r="E18" s="10"/>
      <c r="F18" s="10">
        <f t="shared" si="0"/>
        <v>0</v>
      </c>
      <c r="G18" s="10"/>
      <c r="H18" s="10">
        <f t="shared" si="1"/>
        <v>0</v>
      </c>
      <c r="J18" s="10"/>
      <c r="K18" s="10"/>
      <c r="L18" s="10"/>
      <c r="M18" s="10"/>
      <c r="N18" s="10">
        <f t="shared" si="2"/>
        <v>0</v>
      </c>
      <c r="P18" s="10"/>
      <c r="Q18" s="10"/>
      <c r="R18" s="10">
        <f t="shared" si="3"/>
        <v>0</v>
      </c>
      <c r="S18" s="10"/>
      <c r="T18" s="10">
        <f t="shared" si="4"/>
        <v>0</v>
      </c>
    </row>
    <row r="19" spans="1:20" hidden="1" outlineLevel="1" x14ac:dyDescent="0.25">
      <c r="A19" t="s">
        <v>93</v>
      </c>
      <c r="D19" s="10"/>
      <c r="E19" s="10"/>
      <c r="F19" s="10">
        <f t="shared" si="0"/>
        <v>0</v>
      </c>
      <c r="G19" s="10"/>
      <c r="H19" s="10">
        <f t="shared" si="1"/>
        <v>0</v>
      </c>
      <c r="J19" s="10"/>
      <c r="K19" s="10"/>
      <c r="L19" s="10"/>
      <c r="M19" s="10"/>
      <c r="N19" s="10">
        <f t="shared" si="2"/>
        <v>0</v>
      </c>
      <c r="P19" s="10"/>
      <c r="Q19" s="10"/>
      <c r="R19" s="10">
        <f t="shared" si="3"/>
        <v>0</v>
      </c>
      <c r="S19" s="10"/>
      <c r="T19" s="10">
        <f t="shared" si="4"/>
        <v>0</v>
      </c>
    </row>
    <row r="20" spans="1:20" hidden="1" outlineLevel="1" x14ac:dyDescent="0.25">
      <c r="A20" t="s">
        <v>94</v>
      </c>
      <c r="D20" s="10"/>
      <c r="E20" s="10"/>
      <c r="F20" s="10">
        <f t="shared" si="0"/>
        <v>0</v>
      </c>
      <c r="G20" s="10"/>
      <c r="H20" s="10">
        <f t="shared" si="1"/>
        <v>0</v>
      </c>
      <c r="J20" s="10"/>
      <c r="K20" s="10"/>
      <c r="L20" s="10"/>
      <c r="M20" s="10"/>
      <c r="N20" s="10">
        <f t="shared" si="2"/>
        <v>0</v>
      </c>
      <c r="P20" s="10"/>
      <c r="Q20" s="10"/>
      <c r="R20" s="10">
        <f t="shared" si="3"/>
        <v>0</v>
      </c>
      <c r="S20" s="10"/>
      <c r="T20" s="10">
        <f t="shared" si="4"/>
        <v>0</v>
      </c>
    </row>
    <row r="21" spans="1:20" hidden="1" outlineLevel="1" x14ac:dyDescent="0.25">
      <c r="A21" t="s">
        <v>95</v>
      </c>
      <c r="D21" s="10"/>
      <c r="E21" s="10"/>
      <c r="F21" s="10">
        <f t="shared" si="0"/>
        <v>0</v>
      </c>
      <c r="G21" s="10"/>
      <c r="H21" s="10">
        <f t="shared" si="1"/>
        <v>0</v>
      </c>
      <c r="J21" s="10"/>
      <c r="K21" s="10"/>
      <c r="L21" s="10"/>
      <c r="M21" s="10"/>
      <c r="N21" s="10">
        <f t="shared" si="2"/>
        <v>0</v>
      </c>
      <c r="P21" s="10"/>
      <c r="Q21" s="10"/>
      <c r="R21" s="10">
        <f t="shared" si="3"/>
        <v>0</v>
      </c>
      <c r="S21" s="10"/>
      <c r="T21" s="10">
        <f t="shared" si="4"/>
        <v>0</v>
      </c>
    </row>
    <row r="22" spans="1:20" hidden="1" outlineLevel="1" x14ac:dyDescent="0.25">
      <c r="A22" t="s">
        <v>96</v>
      </c>
      <c r="D22" s="10"/>
      <c r="E22" s="10"/>
      <c r="F22" s="10">
        <f t="shared" si="0"/>
        <v>0</v>
      </c>
      <c r="G22" s="10"/>
      <c r="H22" s="10">
        <f t="shared" si="1"/>
        <v>0</v>
      </c>
      <c r="J22" s="10"/>
      <c r="K22" s="10"/>
      <c r="L22" s="10"/>
      <c r="M22" s="10"/>
      <c r="N22" s="10">
        <f t="shared" si="2"/>
        <v>0</v>
      </c>
      <c r="P22" s="10"/>
      <c r="Q22" s="10"/>
      <c r="R22" s="10">
        <f t="shared" si="3"/>
        <v>0</v>
      </c>
      <c r="S22" s="10"/>
      <c r="T22" s="10">
        <f t="shared" si="4"/>
        <v>0</v>
      </c>
    </row>
    <row r="23" spans="1:20" hidden="1" outlineLevel="1" x14ac:dyDescent="0.25">
      <c r="A23" t="s">
        <v>97</v>
      </c>
      <c r="D23" s="10"/>
      <c r="E23" s="10"/>
      <c r="F23" s="10">
        <f t="shared" si="0"/>
        <v>0</v>
      </c>
      <c r="G23" s="10"/>
      <c r="H23" s="10">
        <f t="shared" si="1"/>
        <v>0</v>
      </c>
      <c r="J23" s="10"/>
      <c r="K23" s="10"/>
      <c r="L23" s="10"/>
      <c r="M23" s="10"/>
      <c r="N23" s="10">
        <f t="shared" si="2"/>
        <v>0</v>
      </c>
      <c r="P23" s="10"/>
      <c r="Q23" s="10"/>
      <c r="R23" s="10">
        <f t="shared" si="3"/>
        <v>0</v>
      </c>
      <c r="S23" s="10"/>
      <c r="T23" s="10">
        <f t="shared" si="4"/>
        <v>0</v>
      </c>
    </row>
    <row r="24" spans="1:20" hidden="1" outlineLevel="1" x14ac:dyDescent="0.25">
      <c r="A24" t="s">
        <v>98</v>
      </c>
      <c r="D24" s="10"/>
      <c r="E24" s="10"/>
      <c r="F24" s="10">
        <f t="shared" si="0"/>
        <v>0</v>
      </c>
      <c r="G24" s="10"/>
      <c r="H24" s="10">
        <f t="shared" si="1"/>
        <v>0</v>
      </c>
      <c r="J24" s="10"/>
      <c r="K24" s="10"/>
      <c r="L24" s="10"/>
      <c r="M24" s="10"/>
      <c r="N24" s="10">
        <f t="shared" si="2"/>
        <v>0</v>
      </c>
      <c r="P24" s="10"/>
      <c r="Q24" s="10"/>
      <c r="R24" s="10">
        <f t="shared" si="3"/>
        <v>0</v>
      </c>
      <c r="S24" s="10"/>
      <c r="T24" s="10">
        <f t="shared" si="4"/>
        <v>0</v>
      </c>
    </row>
    <row r="25" spans="1:20" collapsed="1" x14ac:dyDescent="0.25">
      <c r="A25" t="s">
        <v>99</v>
      </c>
      <c r="D25" s="6">
        <f>D11</f>
        <v>-78565101</v>
      </c>
      <c r="E25" s="6">
        <f>E11</f>
        <v>-24191029</v>
      </c>
      <c r="F25" s="6">
        <f t="shared" si="0"/>
        <v>-102756130</v>
      </c>
      <c r="G25" s="6">
        <f>SUM(G12:G24)</f>
        <v>0</v>
      </c>
      <c r="H25" s="10">
        <f t="shared" si="1"/>
        <v>-102756130</v>
      </c>
      <c r="J25" s="10">
        <f>J11</f>
        <v>-41266215</v>
      </c>
      <c r="K25" s="10">
        <f>K11</f>
        <v>-20672565</v>
      </c>
      <c r="L25" s="10">
        <f>+J25+K25</f>
        <v>-61938780</v>
      </c>
      <c r="M25" s="6">
        <v>0</v>
      </c>
      <c r="N25" s="10">
        <f t="shared" si="2"/>
        <v>-61938780</v>
      </c>
      <c r="P25" s="6">
        <f>P11</f>
        <v>-63291970</v>
      </c>
      <c r="Q25" s="6">
        <f>Q11</f>
        <v>-14726048</v>
      </c>
      <c r="R25" s="6">
        <f t="shared" si="3"/>
        <v>-78018018</v>
      </c>
      <c r="S25" s="6">
        <f>SUM(S12:S24)</f>
        <v>0</v>
      </c>
      <c r="T25" s="10">
        <f t="shared" si="4"/>
        <v>-78018018</v>
      </c>
    </row>
    <row r="26" spans="1:20" x14ac:dyDescent="0.25">
      <c r="D26" s="10"/>
      <c r="E26" s="10"/>
      <c r="F26" s="10"/>
      <c r="G26" s="10"/>
      <c r="H26" s="10">
        <f t="shared" si="1"/>
        <v>0</v>
      </c>
      <c r="J26" s="10"/>
      <c r="K26" s="10"/>
      <c r="L26" s="10"/>
      <c r="M26" s="10"/>
      <c r="N26" s="10">
        <f t="shared" si="2"/>
        <v>0</v>
      </c>
      <c r="P26" s="10"/>
      <c r="Q26" s="10"/>
      <c r="R26" s="10"/>
      <c r="S26" s="10"/>
      <c r="T26" s="10">
        <f t="shared" si="4"/>
        <v>0</v>
      </c>
    </row>
    <row r="27" spans="1:20" hidden="1" x14ac:dyDescent="0.25">
      <c r="A27" t="s">
        <v>100</v>
      </c>
      <c r="D27" s="8"/>
      <c r="E27" s="10"/>
      <c r="F27" s="10">
        <f>+D27+E27</f>
        <v>0</v>
      </c>
      <c r="G27" s="10"/>
      <c r="H27" s="10">
        <f t="shared" si="1"/>
        <v>0</v>
      </c>
      <c r="J27" s="8"/>
      <c r="K27" s="10"/>
      <c r="L27" s="10">
        <f>+J27+K27</f>
        <v>0</v>
      </c>
      <c r="M27" s="10"/>
      <c r="N27" s="10">
        <f t="shared" si="2"/>
        <v>0</v>
      </c>
      <c r="P27" s="8"/>
      <c r="Q27" s="10"/>
      <c r="R27" s="10">
        <f>+P27+Q27</f>
        <v>0</v>
      </c>
      <c r="S27" s="10"/>
      <c r="T27" s="10">
        <f t="shared" si="4"/>
        <v>0</v>
      </c>
    </row>
    <row r="28" spans="1:20" x14ac:dyDescent="0.25">
      <c r="A28" t="s">
        <v>101</v>
      </c>
      <c r="D28" s="10">
        <v>-501019</v>
      </c>
      <c r="E28" s="10">
        <v>1386241</v>
      </c>
      <c r="F28" s="10">
        <f>+D28+E28</f>
        <v>885222</v>
      </c>
      <c r="G28" s="10">
        <f>-AD!G16</f>
        <v>-2483589</v>
      </c>
      <c r="H28" s="10">
        <f t="shared" si="1"/>
        <v>-1598367</v>
      </c>
      <c r="J28" s="10">
        <v>53527</v>
      </c>
      <c r="K28" s="10">
        <v>451754</v>
      </c>
      <c r="L28" s="10">
        <f>+J28+K28</f>
        <v>505281</v>
      </c>
      <c r="M28" s="10">
        <f>+AD!J45+AD!J16</f>
        <v>687293</v>
      </c>
      <c r="N28" s="10">
        <f t="shared" si="2"/>
        <v>1192574</v>
      </c>
      <c r="P28" s="10">
        <v>-3618624</v>
      </c>
      <c r="Q28" s="10">
        <f>-85300+344362</f>
        <v>259062</v>
      </c>
      <c r="R28" s="10">
        <f>+P28+Q28</f>
        <v>-3359562</v>
      </c>
      <c r="S28" s="10">
        <f>-AD!M16</f>
        <v>-12940</v>
      </c>
      <c r="T28" s="10">
        <f t="shared" si="4"/>
        <v>-3372502</v>
      </c>
    </row>
    <row r="29" spans="1:20" x14ac:dyDescent="0.25">
      <c r="A29" t="s">
        <v>102</v>
      </c>
      <c r="D29" s="19">
        <f>+D9+D25+D27+D28</f>
        <v>33681804</v>
      </c>
      <c r="E29" s="19">
        <f>+E9+E25+E27+E28</f>
        <v>23903331</v>
      </c>
      <c r="F29" s="19">
        <f>+F9+F25+F27+F28</f>
        <v>57585135</v>
      </c>
      <c r="G29" s="19">
        <f>+G9+G25+G27+G28</f>
        <v>3225971</v>
      </c>
      <c r="H29" s="19">
        <f>+H9+H25+H27+H28</f>
        <v>60811106</v>
      </c>
      <c r="J29" s="19">
        <f>+J9+J25+J27+J28</f>
        <v>28820706</v>
      </c>
      <c r="K29" s="19">
        <f>+K9+K25+K27+K28</f>
        <v>11956765</v>
      </c>
      <c r="L29" s="19">
        <f>+L9+L25+L27+L28</f>
        <v>40777471</v>
      </c>
      <c r="M29" s="19">
        <f>+M9+M25+M27+M28</f>
        <v>2120374</v>
      </c>
      <c r="N29" s="19">
        <f>+N9+N25+N27+N28</f>
        <v>42897845</v>
      </c>
      <c r="P29" s="19">
        <f>+P9+P25+P27+P28</f>
        <v>14204240</v>
      </c>
      <c r="Q29" s="19">
        <f>+Q9+Q25+Q27+Q28</f>
        <v>3715223</v>
      </c>
      <c r="R29" s="19">
        <f>+R9+R25+R27+R28</f>
        <v>17919463</v>
      </c>
      <c r="S29" s="19">
        <f>+S9+S25+S27+S28</f>
        <v>1245089</v>
      </c>
      <c r="T29" s="19">
        <f>+T9+T25+T27+T28</f>
        <v>19164552</v>
      </c>
    </row>
    <row r="30" spans="1:20" x14ac:dyDescent="0.25">
      <c r="D30" s="10"/>
      <c r="E30" s="10"/>
      <c r="F30" s="10"/>
      <c r="G30" s="10"/>
      <c r="H30" s="10"/>
      <c r="J30" s="10"/>
      <c r="K30" s="10"/>
      <c r="L30" s="10"/>
      <c r="M30" s="10"/>
      <c r="N30" s="10"/>
      <c r="P30" s="10"/>
      <c r="Q30" s="10"/>
      <c r="R30" s="10"/>
      <c r="S30" s="10"/>
      <c r="T30" s="10"/>
    </row>
    <row r="31" spans="1:20" x14ac:dyDescent="0.25">
      <c r="A31" t="s">
        <v>103</v>
      </c>
      <c r="D31" s="10">
        <v>-1888989</v>
      </c>
      <c r="E31" s="10">
        <v>-674385</v>
      </c>
      <c r="F31" s="10">
        <f>+D31+E31</f>
        <v>-2563374</v>
      </c>
      <c r="G31" s="10"/>
      <c r="H31" s="10">
        <f>+F31+G31</f>
        <v>-2563374</v>
      </c>
      <c r="J31" s="10">
        <v>-2310882</v>
      </c>
      <c r="K31" s="10">
        <v>-670216</v>
      </c>
      <c r="L31" s="10">
        <f>+J31+K31</f>
        <v>-2981098</v>
      </c>
      <c r="M31" s="10">
        <v>0</v>
      </c>
      <c r="N31" s="10">
        <f>+L31+M31</f>
        <v>-2981098</v>
      </c>
      <c r="P31" s="10">
        <v>-5186848</v>
      </c>
      <c r="Q31" s="10">
        <v>-445202</v>
      </c>
      <c r="R31" s="10">
        <f>+P31+Q31</f>
        <v>-5632050</v>
      </c>
      <c r="S31" s="10"/>
      <c r="T31" s="10">
        <f>+R31+S31</f>
        <v>-5632050</v>
      </c>
    </row>
    <row r="32" spans="1:20" x14ac:dyDescent="0.25">
      <c r="A32" t="s">
        <v>104</v>
      </c>
      <c r="D32" s="19">
        <f>+D29+D31</f>
        <v>31792815</v>
      </c>
      <c r="E32" s="19">
        <f>+E29+E31</f>
        <v>23228946</v>
      </c>
      <c r="F32" s="19">
        <f>+F29+F31</f>
        <v>55021761</v>
      </c>
      <c r="G32" s="19">
        <f>+G29+G31</f>
        <v>3225971</v>
      </c>
      <c r="H32" s="19">
        <f>+H29+H31</f>
        <v>58247732</v>
      </c>
      <c r="J32" s="19">
        <f>+J29+J31</f>
        <v>26509824</v>
      </c>
      <c r="K32" s="19">
        <f>+K29+K31</f>
        <v>11286549</v>
      </c>
      <c r="L32" s="19">
        <f>+L29+L31</f>
        <v>37796373</v>
      </c>
      <c r="M32" s="19">
        <f>+M29+M31</f>
        <v>2120374</v>
      </c>
      <c r="N32" s="19">
        <f>+N29+N31</f>
        <v>39916747</v>
      </c>
      <c r="P32" s="19">
        <f>+P29+P31</f>
        <v>9017392</v>
      </c>
      <c r="Q32" s="19">
        <f>+Q29+Q31</f>
        <v>3270021</v>
      </c>
      <c r="R32" s="19">
        <f>+R29+R31</f>
        <v>12287413</v>
      </c>
      <c r="S32" s="19">
        <f>+S29+S31</f>
        <v>1245089</v>
      </c>
      <c r="T32" s="19">
        <f>+T29+T31</f>
        <v>13532502</v>
      </c>
    </row>
    <row r="33" spans="1:21" x14ac:dyDescent="0.25">
      <c r="D33" s="10"/>
      <c r="E33" s="10"/>
      <c r="F33" s="10"/>
      <c r="G33" s="10"/>
      <c r="H33" s="10"/>
      <c r="J33" s="10"/>
      <c r="K33" s="10"/>
      <c r="L33" s="10"/>
      <c r="M33" s="10"/>
      <c r="N33" s="10"/>
      <c r="P33" s="10"/>
      <c r="Q33" s="10"/>
      <c r="R33" s="10"/>
      <c r="S33" s="10"/>
      <c r="T33" s="10"/>
    </row>
    <row r="34" spans="1:21" x14ac:dyDescent="0.25">
      <c r="A34" t="s">
        <v>105</v>
      </c>
      <c r="D34" s="10">
        <v>-4768922</v>
      </c>
      <c r="E34" s="10">
        <v>-3484342</v>
      </c>
      <c r="F34" s="10">
        <f>+D34+E34</f>
        <v>-8253264</v>
      </c>
      <c r="G34" s="10"/>
      <c r="H34" s="10">
        <f>+F34+G34</f>
        <v>-8253264</v>
      </c>
      <c r="J34" s="10">
        <v>-3976474</v>
      </c>
      <c r="K34" s="10">
        <v>-1692982</v>
      </c>
      <c r="L34" s="10">
        <f>+J34+K34</f>
        <v>-5669456</v>
      </c>
      <c r="M34" s="10"/>
      <c r="N34" s="10">
        <f>+L34+M34</f>
        <v>-5669456</v>
      </c>
      <c r="P34" s="10"/>
      <c r="Q34" s="10"/>
      <c r="R34" s="10"/>
      <c r="S34" s="10"/>
      <c r="T34" s="10"/>
    </row>
    <row r="35" spans="1:21" x14ac:dyDescent="0.25">
      <c r="A35" t="s">
        <v>106</v>
      </c>
      <c r="D35" s="10">
        <v>-7872728</v>
      </c>
      <c r="E35" s="10">
        <v>-5164625</v>
      </c>
      <c r="F35" s="10">
        <f>+D35+E35</f>
        <v>-13037353</v>
      </c>
      <c r="G35" s="10">
        <f>+AD!H60</f>
        <v>1427390</v>
      </c>
      <c r="H35" s="10">
        <f>+F35+G35</f>
        <v>-11609963</v>
      </c>
      <c r="J35" s="10">
        <v>-7316715</v>
      </c>
      <c r="K35" s="10">
        <v>-2500922</v>
      </c>
      <c r="L35" s="10">
        <f>+J35+K35</f>
        <v>-9817637</v>
      </c>
      <c r="M35" s="10">
        <f>-AD!I60</f>
        <v>-358270.25</v>
      </c>
      <c r="N35" s="10">
        <f>+L35+M35</f>
        <v>-10175907.25</v>
      </c>
      <c r="P35" s="10">
        <v>-3550763</v>
      </c>
      <c r="Q35" s="10">
        <v>-676345</v>
      </c>
      <c r="R35" s="10">
        <f>+P35+Q35</f>
        <v>-4227108</v>
      </c>
      <c r="S35" s="10">
        <f>AD!N60</f>
        <v>591847.41514800023</v>
      </c>
      <c r="T35" s="10">
        <f>+R35+S35</f>
        <v>-3635260.5848519998</v>
      </c>
    </row>
    <row r="36" spans="1:21" x14ac:dyDescent="0.25">
      <c r="A36" t="s">
        <v>107</v>
      </c>
      <c r="D36" s="19">
        <f>SUM(D32:D35)</f>
        <v>19151165</v>
      </c>
      <c r="E36" s="19">
        <f>SUM(E32:E35)</f>
        <v>14579979</v>
      </c>
      <c r="F36" s="19">
        <f>SUM(F32:F35)</f>
        <v>33731144</v>
      </c>
      <c r="G36" s="19">
        <f>SUM(G32:G35)</f>
        <v>4653361</v>
      </c>
      <c r="H36" s="19">
        <f>SUM(H32:H35)</f>
        <v>38384505</v>
      </c>
      <c r="J36" s="19">
        <f>SUM(J32:J35)</f>
        <v>15216635</v>
      </c>
      <c r="K36" s="19">
        <f>SUM(K32:K35)</f>
        <v>7092645</v>
      </c>
      <c r="L36" s="19">
        <f>SUM(L32:L35)</f>
        <v>22309280</v>
      </c>
      <c r="M36" s="19">
        <f>SUM(M32:M35)</f>
        <v>1762103.75</v>
      </c>
      <c r="N36" s="19">
        <f>SUM(N32:N35)</f>
        <v>24071383.75</v>
      </c>
      <c r="P36" s="19">
        <f>+P32+P35</f>
        <v>5466629</v>
      </c>
      <c r="Q36" s="19">
        <f>+Q32+Q35</f>
        <v>2593676</v>
      </c>
      <c r="R36" s="19">
        <f>+R32+R35</f>
        <v>8060305</v>
      </c>
      <c r="S36" s="19">
        <f>+S32+S35</f>
        <v>1836936.4151480002</v>
      </c>
      <c r="T36" s="19">
        <f>+T32+T35</f>
        <v>9897241.4151480012</v>
      </c>
    </row>
    <row r="37" spans="1:21" x14ac:dyDescent="0.25">
      <c r="D37" s="42"/>
      <c r="E37" s="42"/>
      <c r="F37" s="42"/>
      <c r="G37" s="42"/>
      <c r="H37" s="42"/>
      <c r="J37" s="42"/>
      <c r="K37" s="42"/>
      <c r="L37" s="42"/>
      <c r="M37" s="42"/>
      <c r="N37" s="42"/>
      <c r="P37" s="42"/>
      <c r="Q37" s="42"/>
      <c r="R37" s="42"/>
      <c r="S37" s="42"/>
      <c r="T37" s="42"/>
    </row>
    <row r="38" spans="1:21" x14ac:dyDescent="0.25">
      <c r="A38" t="s">
        <v>108</v>
      </c>
      <c r="D38" s="10"/>
      <c r="E38" s="10"/>
      <c r="F38" s="10"/>
      <c r="G38" s="10"/>
      <c r="H38" s="10"/>
      <c r="J38" s="10"/>
      <c r="K38" s="10"/>
      <c r="L38" s="10"/>
      <c r="M38" s="10"/>
      <c r="N38" s="10"/>
      <c r="P38" s="10"/>
      <c r="Q38" s="10"/>
      <c r="R38" s="10"/>
      <c r="S38" s="10"/>
      <c r="T38" s="10"/>
    </row>
    <row r="39" spans="1:21" ht="28.9" customHeight="1" x14ac:dyDescent="0.25">
      <c r="A39" s="266" t="s">
        <v>109</v>
      </c>
      <c r="B39" s="266"/>
      <c r="C39" s="266"/>
      <c r="D39" s="10"/>
      <c r="E39" s="10">
        <v>139500</v>
      </c>
      <c r="F39" s="10">
        <f>+D39+E39</f>
        <v>139500</v>
      </c>
      <c r="G39" s="18"/>
      <c r="H39" s="10">
        <f>+F39+G39</f>
        <v>139500</v>
      </c>
      <c r="I39" s="44"/>
      <c r="J39" s="10">
        <v>-1099700</v>
      </c>
      <c r="K39" s="10">
        <v>-15737</v>
      </c>
      <c r="L39" s="10">
        <f>+J39+K39</f>
        <v>-1115437</v>
      </c>
      <c r="M39" s="18"/>
      <c r="N39" s="10">
        <f>+L39+M39</f>
        <v>-1115437</v>
      </c>
      <c r="O39" s="43"/>
      <c r="P39" s="10">
        <v>1849659</v>
      </c>
      <c r="Q39" s="10">
        <v>-26254</v>
      </c>
      <c r="R39" s="10">
        <f>+P39+Q39</f>
        <v>1823405</v>
      </c>
      <c r="S39" s="18"/>
      <c r="T39" s="10">
        <f>+R39+S39</f>
        <v>1823405</v>
      </c>
      <c r="U39" s="44"/>
    </row>
    <row r="40" spans="1:21" x14ac:dyDescent="0.25">
      <c r="A40" t="s">
        <v>107</v>
      </c>
      <c r="D40" s="45">
        <f>+D36+D39</f>
        <v>19151165</v>
      </c>
      <c r="E40" s="19">
        <f>+E36+E39</f>
        <v>14719479</v>
      </c>
      <c r="F40" s="19">
        <f>+F36+F39</f>
        <v>33870644</v>
      </c>
      <c r="G40" s="19">
        <f>+G36+G39</f>
        <v>4653361</v>
      </c>
      <c r="H40" s="19">
        <f>+H36+H39</f>
        <v>38524005</v>
      </c>
      <c r="I40" s="10"/>
      <c r="J40" s="45">
        <f>+J36+J39</f>
        <v>14116935</v>
      </c>
      <c r="K40" s="19">
        <f>+K36+K39</f>
        <v>7076908</v>
      </c>
      <c r="L40" s="19">
        <f>+L36+L39</f>
        <v>21193843</v>
      </c>
      <c r="M40" s="19">
        <f>+M36+M39</f>
        <v>1762103.75</v>
      </c>
      <c r="N40" s="19">
        <f>+N36+N39</f>
        <v>22955946.75</v>
      </c>
      <c r="P40" s="45">
        <f t="shared" ref="P40:U40" si="5">+P36+P39</f>
        <v>7316288</v>
      </c>
      <c r="Q40" s="19">
        <f t="shared" si="5"/>
        <v>2567422</v>
      </c>
      <c r="R40" s="19">
        <f t="shared" si="5"/>
        <v>9883710</v>
      </c>
      <c r="S40" s="19">
        <f t="shared" si="5"/>
        <v>1836936.4151480002</v>
      </c>
      <c r="T40" s="19">
        <f t="shared" si="5"/>
        <v>11720646.415148001</v>
      </c>
      <c r="U40" s="10">
        <f t="shared" si="5"/>
        <v>0</v>
      </c>
    </row>
    <row r="41" spans="1:21" x14ac:dyDescent="0.25">
      <c r="I41" s="44"/>
      <c r="J41" s="46"/>
      <c r="K41" s="47"/>
      <c r="U41" s="44"/>
    </row>
    <row r="42" spans="1:21" x14ac:dyDescent="0.25">
      <c r="B42" s="256" t="s">
        <v>437</v>
      </c>
      <c r="D42" s="257">
        <f>-D35/(D32+D34)</f>
        <v>0.29132471772294244</v>
      </c>
      <c r="E42" s="257">
        <f t="shared" ref="E42:H42" si="6">-E35/(E32+E34)</f>
        <v>0.26157146529755676</v>
      </c>
      <c r="F42" s="257">
        <f t="shared" si="6"/>
        <v>0.27876356599614482</v>
      </c>
      <c r="H42" s="257">
        <f t="shared" si="6"/>
        <v>0.23222495336884072</v>
      </c>
      <c r="I42" s="44"/>
      <c r="J42" s="48"/>
      <c r="K42" s="32"/>
      <c r="M42" s="49"/>
      <c r="N42" s="49"/>
      <c r="U42" s="44"/>
    </row>
    <row r="43" spans="1:21" x14ac:dyDescent="0.25">
      <c r="D43" s="44"/>
      <c r="E43" s="44"/>
      <c r="F43" s="44"/>
    </row>
    <row r="44" spans="1:21" x14ac:dyDescent="0.25">
      <c r="D44" s="2"/>
      <c r="E44" s="44"/>
      <c r="F44" s="44"/>
      <c r="J44" s="7" t="s">
        <v>78</v>
      </c>
      <c r="K44" s="50"/>
      <c r="L44" s="50"/>
      <c r="P44" s="7" t="s">
        <v>78</v>
      </c>
      <c r="Q44" s="50"/>
      <c r="R44" s="50"/>
    </row>
    <row r="45" spans="1:21" x14ac:dyDescent="0.25">
      <c r="D45" s="2"/>
      <c r="E45" s="44"/>
      <c r="F45" s="44"/>
      <c r="J45" s="2" t="s">
        <v>79</v>
      </c>
      <c r="P45" s="2" t="s">
        <v>79</v>
      </c>
    </row>
  </sheetData>
  <mergeCells count="1">
    <mergeCell ref="A39:C39"/>
  </mergeCells>
  <pageMargins left="0.7" right="0.7" top="0.75" bottom="0.75" header="0.51180555555555496" footer="0.51180555555555496"/>
  <pageSetup scale="88" firstPageNumber="0" orientation="portrait" horizontalDpi="300" verticalDpi="300" r:id="rId1"/>
  <colBreaks count="1" manualBreakCount="1">
    <brk id="20"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AC79"/>
  <sheetViews>
    <sheetView tabSelected="1" zoomScaleNormal="100" workbookViewId="0">
      <pane xSplit="4" ySplit="5" topLeftCell="E17" activePane="bottomRight" state="frozen"/>
      <selection pane="topRight" activeCell="E1" sqref="E1"/>
      <selection pane="bottomLeft" activeCell="A64" sqref="A64"/>
      <selection pane="bottomRight" activeCell="H69" sqref="H69"/>
    </sheetView>
  </sheetViews>
  <sheetFormatPr defaultColWidth="11.42578125" defaultRowHeight="15" outlineLevelCol="1" x14ac:dyDescent="0.25"/>
  <cols>
    <col min="1" max="1" width="1.28515625" customWidth="1"/>
    <col min="2" max="2" width="1.5703125" customWidth="1"/>
    <col min="3" max="3" width="21.42578125" customWidth="1"/>
    <col min="4" max="4" width="30.7109375" customWidth="1"/>
    <col min="5" max="5" width="12.28515625" style="280" customWidth="1" outlineLevel="1"/>
    <col min="6" max="6" width="14.140625" style="280" customWidth="1" outlineLevel="1"/>
    <col min="7" max="7" width="12.7109375" customWidth="1" outlineLevel="1"/>
    <col min="8" max="8" width="12.140625" customWidth="1" outlineLevel="1"/>
    <col min="9" max="9" width="12.28515625" bestFit="1" customWidth="1"/>
    <col min="10" max="10" width="1.85546875" customWidth="1"/>
    <col min="11" max="11" width="12.28515625" style="280" hidden="1" customWidth="1" outlineLevel="1"/>
    <col min="12" max="12" width="14.140625" style="280" hidden="1" customWidth="1" outlineLevel="1"/>
    <col min="13" max="13" width="12.7109375" hidden="1" customWidth="1" outlineLevel="1"/>
    <col min="14" max="14" width="12.140625" hidden="1" customWidth="1" outlineLevel="1"/>
    <col min="15" max="15" width="12.28515625" bestFit="1" customWidth="1" collapsed="1"/>
    <col min="16" max="16" width="3" customWidth="1"/>
    <col min="17" max="17" width="12.42578125" hidden="1" customWidth="1"/>
    <col min="18" max="18" width="14.140625" hidden="1" customWidth="1"/>
    <col min="19" max="19" width="12.7109375" hidden="1" customWidth="1"/>
    <col min="20" max="20" width="12.5703125" hidden="1" customWidth="1"/>
    <col min="21" max="21" width="12.28515625" hidden="1" customWidth="1"/>
    <col min="22" max="22" width="2.5703125" hidden="1" customWidth="1"/>
    <col min="23" max="23" width="12.28515625" style="280" hidden="1" customWidth="1"/>
    <col min="24" max="24" width="14.140625" style="280" hidden="1" customWidth="1"/>
    <col min="25" max="25" width="12.7109375" hidden="1" customWidth="1"/>
    <col min="26" max="27" width="12.140625" hidden="1" customWidth="1"/>
    <col min="28" max="28" width="3" hidden="1" customWidth="1"/>
  </cols>
  <sheetData>
    <row r="1" spans="1:29" x14ac:dyDescent="0.25">
      <c r="A1" s="279" t="s">
        <v>12</v>
      </c>
    </row>
    <row r="2" spans="1:29" x14ac:dyDescent="0.25">
      <c r="A2" s="281" t="s">
        <v>110</v>
      </c>
      <c r="R2" s="280"/>
    </row>
    <row r="3" spans="1:29" x14ac:dyDescent="0.25">
      <c r="A3" s="281" t="s">
        <v>307</v>
      </c>
      <c r="E3" s="282"/>
      <c r="F3" s="282"/>
      <c r="G3" s="17"/>
      <c r="H3" s="17"/>
      <c r="I3" s="17"/>
      <c r="K3" s="282"/>
      <c r="L3" s="282"/>
      <c r="M3" s="17"/>
      <c r="N3" s="17"/>
      <c r="O3" s="17"/>
      <c r="Q3" s="282"/>
      <c r="R3" s="282"/>
      <c r="S3" s="17"/>
      <c r="T3" s="17"/>
      <c r="U3" s="17"/>
      <c r="W3" s="282"/>
      <c r="X3" s="282"/>
      <c r="Y3" s="17"/>
      <c r="Z3" s="17"/>
      <c r="AA3" s="17"/>
    </row>
    <row r="4" spans="1:29" x14ac:dyDescent="0.25">
      <c r="A4" t="s">
        <v>14</v>
      </c>
      <c r="E4" s="283"/>
      <c r="F4" s="283"/>
      <c r="G4" s="18"/>
      <c r="H4" s="284" t="s">
        <v>15</v>
      </c>
      <c r="I4" s="284">
        <v>2020</v>
      </c>
      <c r="K4" s="283"/>
      <c r="L4" s="283"/>
      <c r="M4" s="18"/>
      <c r="N4" s="284" t="s">
        <v>15</v>
      </c>
      <c r="O4" s="284">
        <v>2019</v>
      </c>
      <c r="Q4" s="283"/>
      <c r="R4" s="283"/>
      <c r="S4" s="18"/>
      <c r="T4" s="284" t="s">
        <v>15</v>
      </c>
      <c r="U4" s="284">
        <v>2018</v>
      </c>
      <c r="W4" s="283"/>
      <c r="X4" s="283"/>
      <c r="Y4" s="18"/>
      <c r="Z4" s="284" t="s">
        <v>15</v>
      </c>
      <c r="AA4" s="284">
        <v>2017</v>
      </c>
    </row>
    <row r="5" spans="1:29" x14ac:dyDescent="0.25">
      <c r="E5" s="285" t="s">
        <v>16</v>
      </c>
      <c r="F5" s="285" t="s">
        <v>17</v>
      </c>
      <c r="G5" s="286" t="s">
        <v>18</v>
      </c>
      <c r="H5" s="287" t="s">
        <v>19</v>
      </c>
      <c r="I5" s="286" t="s">
        <v>20</v>
      </c>
      <c r="K5" s="285" t="s">
        <v>16</v>
      </c>
      <c r="L5" s="285" t="s">
        <v>17</v>
      </c>
      <c r="M5" s="286" t="s">
        <v>18</v>
      </c>
      <c r="N5" s="287" t="s">
        <v>19</v>
      </c>
      <c r="O5" s="286" t="s">
        <v>20</v>
      </c>
      <c r="Q5" s="285" t="s">
        <v>16</v>
      </c>
      <c r="R5" s="285" t="s">
        <v>17</v>
      </c>
      <c r="S5" s="286" t="s">
        <v>18</v>
      </c>
      <c r="T5" s="287" t="s">
        <v>19</v>
      </c>
      <c r="U5" s="286" t="s">
        <v>20</v>
      </c>
      <c r="W5" s="285" t="s">
        <v>16</v>
      </c>
      <c r="X5" s="285" t="s">
        <v>17</v>
      </c>
      <c r="Y5" s="286" t="s">
        <v>18</v>
      </c>
      <c r="Z5" s="287" t="s">
        <v>19</v>
      </c>
      <c r="AA5" s="286" t="s">
        <v>20</v>
      </c>
    </row>
    <row r="6" spans="1:29" x14ac:dyDescent="0.25">
      <c r="E6" s="283"/>
      <c r="F6" s="283"/>
      <c r="G6" s="18"/>
      <c r="H6" s="18"/>
      <c r="I6" s="18"/>
      <c r="K6" s="283"/>
      <c r="L6" s="283"/>
      <c r="M6" s="18"/>
      <c r="N6" s="18"/>
      <c r="O6" s="18"/>
      <c r="Q6" s="283"/>
      <c r="R6" s="283"/>
      <c r="S6" s="18"/>
      <c r="T6" s="18"/>
      <c r="U6" s="18"/>
      <c r="W6" s="283"/>
      <c r="X6" s="283"/>
      <c r="Y6" s="18"/>
      <c r="Z6" s="18"/>
      <c r="AA6" s="18"/>
    </row>
    <row r="7" spans="1:29" x14ac:dyDescent="0.25">
      <c r="B7" s="288" t="s">
        <v>111</v>
      </c>
      <c r="C7" s="50"/>
      <c r="D7" s="51"/>
      <c r="E7" s="283"/>
      <c r="F7" s="283"/>
      <c r="G7" s="283"/>
      <c r="H7" s="283"/>
      <c r="I7" s="283"/>
      <c r="J7" s="52"/>
      <c r="K7" s="283"/>
      <c r="L7" s="283"/>
      <c r="M7" s="283"/>
      <c r="N7" s="283"/>
      <c r="O7" s="283"/>
      <c r="Q7" s="283"/>
      <c r="R7" s="283"/>
      <c r="S7" s="283"/>
      <c r="T7" s="283"/>
      <c r="U7" s="283"/>
      <c r="V7" s="52"/>
      <c r="W7" s="283"/>
      <c r="X7" s="283"/>
      <c r="Y7" s="283"/>
      <c r="Z7" s="283"/>
      <c r="AA7" s="283"/>
    </row>
    <row r="8" spans="1:29" x14ac:dyDescent="0.25">
      <c r="B8" s="289" t="s">
        <v>112</v>
      </c>
      <c r="D8" s="52"/>
      <c r="E8" s="283">
        <f>+ER!D32+ER!D34</f>
        <v>27023893</v>
      </c>
      <c r="F8" s="283">
        <f>+ER!E32+ER!E34</f>
        <v>19744604</v>
      </c>
      <c r="G8" s="283">
        <f>+E8+F8</f>
        <v>46768497</v>
      </c>
      <c r="H8" s="283">
        <f>+ER!G32+ER!G34</f>
        <v>3225971</v>
      </c>
      <c r="I8" s="304">
        <f t="shared" ref="I8:I22" si="0">+G8+H8</f>
        <v>49994468</v>
      </c>
      <c r="J8" s="52"/>
      <c r="K8" s="283">
        <v>21433650</v>
      </c>
      <c r="L8" s="283">
        <v>9577830</v>
      </c>
      <c r="M8" s="283">
        <v>31011480</v>
      </c>
      <c r="N8" s="283">
        <v>2120374</v>
      </c>
      <c r="O8" s="283">
        <v>33131854</v>
      </c>
      <c r="Q8" s="283">
        <f>[2]ER!J32</f>
        <v>13627931.449999988</v>
      </c>
      <c r="R8" s="283">
        <v>5215409</v>
      </c>
      <c r="S8" s="283">
        <f>+Q8+R8</f>
        <v>18843340.449999988</v>
      </c>
      <c r="T8" s="283">
        <f>+[2]ER!M32</f>
        <v>3639537</v>
      </c>
      <c r="U8" s="283">
        <f>+S8+T8</f>
        <v>22482877.449999988</v>
      </c>
      <c r="V8" s="52"/>
      <c r="W8" s="283">
        <f>10608696-1591304</f>
        <v>9017392</v>
      </c>
      <c r="X8" s="283">
        <v>3270021</v>
      </c>
      <c r="Y8" s="283">
        <f>+W8+X8</f>
        <v>12287413</v>
      </c>
      <c r="Z8" s="283">
        <f>+[2]ER!S32</f>
        <v>1245089</v>
      </c>
      <c r="AA8" s="283">
        <f>+Y8+Z8</f>
        <v>13532502</v>
      </c>
      <c r="AC8" s="310">
        <f>+I8-'Hoja de trabajo'!K47</f>
        <v>0</v>
      </c>
    </row>
    <row r="9" spans="1:29" ht="28.15" customHeight="1" x14ac:dyDescent="0.25">
      <c r="B9" s="290" t="s">
        <v>113</v>
      </c>
      <c r="C9" s="291"/>
      <c r="D9" s="292"/>
      <c r="E9" s="283"/>
      <c r="F9" s="283"/>
      <c r="G9" s="283">
        <f t="shared" ref="G9:G22" si="1">+E9+F9</f>
        <v>0</v>
      </c>
      <c r="H9" s="283"/>
      <c r="I9" s="283">
        <f t="shared" si="0"/>
        <v>0</v>
      </c>
      <c r="J9" s="55"/>
      <c r="K9" s="283"/>
      <c r="L9" s="283"/>
      <c r="M9" s="283"/>
      <c r="N9" s="283"/>
      <c r="O9" s="283"/>
      <c r="Q9" s="283"/>
      <c r="R9" s="283"/>
      <c r="S9" s="283"/>
      <c r="T9" s="283"/>
      <c r="U9" s="283"/>
      <c r="V9" s="55"/>
      <c r="W9" s="283"/>
      <c r="X9" s="283"/>
      <c r="Y9" s="283"/>
      <c r="Z9" s="283"/>
      <c r="AA9" s="283"/>
    </row>
    <row r="10" spans="1:29" x14ac:dyDescent="0.25">
      <c r="B10" s="30"/>
      <c r="C10" t="s">
        <v>114</v>
      </c>
      <c r="D10" s="52"/>
      <c r="E10" s="283">
        <v>177231</v>
      </c>
      <c r="F10" s="283">
        <v>519980</v>
      </c>
      <c r="G10" s="283">
        <f t="shared" si="1"/>
        <v>697211</v>
      </c>
      <c r="H10" s="283"/>
      <c r="I10" s="283">
        <f t="shared" si="0"/>
        <v>697211</v>
      </c>
      <c r="J10" s="52"/>
      <c r="K10" s="283">
        <v>49054</v>
      </c>
      <c r="L10" s="283">
        <v>251248</v>
      </c>
      <c r="M10" s="283">
        <v>300302</v>
      </c>
      <c r="N10" s="283"/>
      <c r="O10" s="283">
        <v>300302</v>
      </c>
      <c r="Q10" s="283">
        <v>23826</v>
      </c>
      <c r="R10" s="283">
        <v>511226</v>
      </c>
      <c r="S10" s="283">
        <f t="shared" ref="S10:S22" si="2">+Q10+R10</f>
        <v>535052</v>
      </c>
      <c r="T10" s="283"/>
      <c r="U10" s="283">
        <f t="shared" ref="U10:U22" si="3">+S10+T10</f>
        <v>535052</v>
      </c>
      <c r="V10" s="52"/>
      <c r="W10" s="283">
        <v>200000</v>
      </c>
      <c r="X10" s="283">
        <v>281795</v>
      </c>
      <c r="Y10" s="283">
        <f t="shared" ref="Y10:Y21" si="4">+W10+X10</f>
        <v>481795</v>
      </c>
      <c r="Z10" s="283"/>
      <c r="AA10" s="283">
        <f t="shared" ref="AA10:AA21" si="5">+Y10+Z10</f>
        <v>481795</v>
      </c>
    </row>
    <row r="11" spans="1:29" x14ac:dyDescent="0.25">
      <c r="B11" s="30"/>
      <c r="C11" t="s">
        <v>115</v>
      </c>
      <c r="D11" s="52"/>
      <c r="E11" s="283">
        <v>0</v>
      </c>
      <c r="F11" s="283"/>
      <c r="G11" s="283">
        <f t="shared" si="1"/>
        <v>0</v>
      </c>
      <c r="H11" s="283"/>
      <c r="I11" s="283">
        <f t="shared" si="0"/>
        <v>0</v>
      </c>
      <c r="J11" s="52"/>
      <c r="K11" s="283"/>
      <c r="L11" s="283"/>
      <c r="M11" s="283">
        <v>0</v>
      </c>
      <c r="N11" s="283"/>
      <c r="O11" s="283">
        <v>0</v>
      </c>
      <c r="Q11" s="283">
        <v>2607519</v>
      </c>
      <c r="R11" s="283"/>
      <c r="S11" s="283">
        <f t="shared" si="2"/>
        <v>2607519</v>
      </c>
      <c r="T11" s="283"/>
      <c r="U11" s="283">
        <f t="shared" si="3"/>
        <v>2607519</v>
      </c>
      <c r="V11" s="52"/>
      <c r="W11" s="283">
        <v>2268000</v>
      </c>
      <c r="X11" s="283"/>
      <c r="Y11" s="283">
        <f t="shared" si="4"/>
        <v>2268000</v>
      </c>
      <c r="Z11" s="283"/>
      <c r="AA11" s="283">
        <f t="shared" si="5"/>
        <v>2268000</v>
      </c>
    </row>
    <row r="12" spans="1:29" x14ac:dyDescent="0.25">
      <c r="B12" s="30"/>
      <c r="C12" t="s">
        <v>116</v>
      </c>
      <c r="D12" s="52"/>
      <c r="E12" s="283">
        <v>17423605</v>
      </c>
      <c r="F12" s="283">
        <v>9966219</v>
      </c>
      <c r="G12" s="283">
        <f t="shared" si="1"/>
        <v>27389824</v>
      </c>
      <c r="H12" s="283">
        <f>-AD!H38</f>
        <v>-9828510</v>
      </c>
      <c r="I12" s="283">
        <f t="shared" si="0"/>
        <v>17561314</v>
      </c>
      <c r="J12" s="52"/>
      <c r="K12" s="283">
        <v>18732617</v>
      </c>
      <c r="L12" s="283">
        <v>9736239</v>
      </c>
      <c r="M12" s="283">
        <v>28468856</v>
      </c>
      <c r="N12" s="283"/>
      <c r="O12" s="283">
        <v>28468856</v>
      </c>
      <c r="Q12" s="283">
        <v>19329207</v>
      </c>
      <c r="R12" s="283">
        <v>9817785</v>
      </c>
      <c r="S12" s="283">
        <f t="shared" si="2"/>
        <v>29146992</v>
      </c>
      <c r="T12" s="283">
        <f>-[2]AD!J41</f>
        <v>-9726442</v>
      </c>
      <c r="U12" s="283">
        <f t="shared" si="3"/>
        <v>19420550</v>
      </c>
      <c r="V12" s="52"/>
      <c r="W12" s="283">
        <v>17346688</v>
      </c>
      <c r="X12" s="283">
        <v>8496450</v>
      </c>
      <c r="Y12" s="283">
        <f t="shared" si="4"/>
        <v>25843138</v>
      </c>
      <c r="Z12" s="283">
        <f>-[2]AD!L41</f>
        <v>-8402210</v>
      </c>
      <c r="AA12" s="283">
        <f t="shared" si="5"/>
        <v>17440928</v>
      </c>
    </row>
    <row r="13" spans="1:29" x14ac:dyDescent="0.25">
      <c r="B13" s="30"/>
      <c r="C13" t="s">
        <v>117</v>
      </c>
      <c r="D13" s="52"/>
      <c r="E13" s="283">
        <v>39210</v>
      </c>
      <c r="F13" s="283"/>
      <c r="G13" s="283">
        <f t="shared" si="1"/>
        <v>39210</v>
      </c>
      <c r="H13" s="283"/>
      <c r="I13" s="283">
        <f t="shared" si="0"/>
        <v>39210</v>
      </c>
      <c r="J13" s="52"/>
      <c r="K13" s="283">
        <v>39210</v>
      </c>
      <c r="L13" s="283"/>
      <c r="M13" s="283">
        <v>39210</v>
      </c>
      <c r="N13" s="283"/>
      <c r="O13" s="283">
        <v>39210</v>
      </c>
      <c r="Q13" s="283">
        <v>37744</v>
      </c>
      <c r="R13" s="283"/>
      <c r="S13" s="283">
        <f t="shared" si="2"/>
        <v>37744</v>
      </c>
      <c r="T13" s="283"/>
      <c r="U13" s="283">
        <f t="shared" si="3"/>
        <v>37744</v>
      </c>
      <c r="V13" s="52"/>
      <c r="W13" s="283">
        <v>39210</v>
      </c>
      <c r="X13" s="283"/>
      <c r="Y13" s="283">
        <f t="shared" si="4"/>
        <v>39210</v>
      </c>
      <c r="Z13" s="283"/>
      <c r="AA13" s="283">
        <f t="shared" si="5"/>
        <v>39210</v>
      </c>
    </row>
    <row r="14" spans="1:29" x14ac:dyDescent="0.25">
      <c r="B14" s="30"/>
      <c r="C14" s="291" t="s">
        <v>118</v>
      </c>
      <c r="D14" s="292"/>
      <c r="E14" s="283">
        <v>1808437</v>
      </c>
      <c r="F14" s="283">
        <v>603596</v>
      </c>
      <c r="G14" s="283">
        <f t="shared" si="1"/>
        <v>2412033</v>
      </c>
      <c r="H14" s="283"/>
      <c r="I14" s="283">
        <f t="shared" si="0"/>
        <v>2412033</v>
      </c>
      <c r="J14" s="55"/>
      <c r="K14" s="283">
        <v>1484293</v>
      </c>
      <c r="L14" s="283">
        <v>565841</v>
      </c>
      <c r="M14" s="283">
        <v>2050134</v>
      </c>
      <c r="N14" s="283"/>
      <c r="O14" s="283">
        <v>2050134</v>
      </c>
      <c r="Q14" s="283">
        <v>0</v>
      </c>
      <c r="R14" s="283"/>
      <c r="S14" s="283">
        <f t="shared" si="2"/>
        <v>0</v>
      </c>
      <c r="T14" s="283"/>
      <c r="U14" s="283">
        <f t="shared" si="3"/>
        <v>0</v>
      </c>
      <c r="V14" s="55"/>
      <c r="W14" s="283"/>
      <c r="X14" s="283"/>
      <c r="Y14" s="283">
        <f t="shared" si="4"/>
        <v>0</v>
      </c>
      <c r="Z14" s="283"/>
      <c r="AA14" s="283">
        <f t="shared" si="5"/>
        <v>0</v>
      </c>
    </row>
    <row r="15" spans="1:29" x14ac:dyDescent="0.25">
      <c r="B15" s="30"/>
      <c r="C15" t="s">
        <v>119</v>
      </c>
      <c r="D15" s="52"/>
      <c r="E15" s="283">
        <f>1066473-33057</f>
        <v>1033416</v>
      </c>
      <c r="F15" s="283">
        <f>5180994-5208998</f>
        <v>-28004</v>
      </c>
      <c r="G15" s="283">
        <f t="shared" si="1"/>
        <v>1005412</v>
      </c>
      <c r="H15" s="283"/>
      <c r="I15" s="283">
        <f t="shared" si="0"/>
        <v>1005412</v>
      </c>
      <c r="J15" s="52"/>
      <c r="K15" s="283"/>
      <c r="L15" s="283"/>
      <c r="M15" s="283">
        <v>0</v>
      </c>
      <c r="N15" s="283"/>
      <c r="O15" s="283">
        <v>0</v>
      </c>
      <c r="Q15" s="283">
        <v>0</v>
      </c>
      <c r="R15" s="283"/>
      <c r="S15" s="283">
        <f t="shared" si="2"/>
        <v>0</v>
      </c>
      <c r="T15" s="283"/>
      <c r="U15" s="283">
        <f t="shared" si="3"/>
        <v>0</v>
      </c>
      <c r="V15" s="52"/>
      <c r="W15" s="283">
        <v>0</v>
      </c>
      <c r="X15" s="283"/>
      <c r="Y15" s="283">
        <f t="shared" si="4"/>
        <v>0</v>
      </c>
      <c r="Z15" s="283"/>
      <c r="AA15" s="283">
        <f t="shared" si="5"/>
        <v>0</v>
      </c>
    </row>
    <row r="16" spans="1:29" x14ac:dyDescent="0.25">
      <c r="B16" s="30"/>
      <c r="C16" t="s">
        <v>120</v>
      </c>
      <c r="D16" s="52"/>
      <c r="E16" s="283">
        <v>2380394</v>
      </c>
      <c r="F16" s="283">
        <v>52799</v>
      </c>
      <c r="G16" s="283">
        <f t="shared" si="1"/>
        <v>2433193</v>
      </c>
      <c r="H16" s="283"/>
      <c r="I16" s="283">
        <f t="shared" si="0"/>
        <v>2433193</v>
      </c>
      <c r="J16" s="52"/>
      <c r="K16" s="283">
        <v>2692522</v>
      </c>
      <c r="L16" s="283">
        <v>31853</v>
      </c>
      <c r="M16" s="283">
        <v>2724375</v>
      </c>
      <c r="N16" s="283"/>
      <c r="O16" s="283">
        <v>2724375</v>
      </c>
      <c r="Q16" s="283">
        <v>2230401</v>
      </c>
      <c r="R16" s="283">
        <v>25583</v>
      </c>
      <c r="S16" s="283">
        <f t="shared" si="2"/>
        <v>2255984</v>
      </c>
      <c r="T16" s="283"/>
      <c r="U16" s="283">
        <f t="shared" si="3"/>
        <v>2255984</v>
      </c>
      <c r="V16" s="52"/>
      <c r="W16" s="283">
        <v>2028637</v>
      </c>
      <c r="X16" s="283">
        <v>26371</v>
      </c>
      <c r="Y16" s="283">
        <f t="shared" si="4"/>
        <v>2055008</v>
      </c>
      <c r="Z16" s="283"/>
      <c r="AA16" s="283">
        <f t="shared" si="5"/>
        <v>2055008</v>
      </c>
    </row>
    <row r="17" spans="2:27" x14ac:dyDescent="0.25">
      <c r="B17" s="30"/>
      <c r="C17" t="s">
        <v>433</v>
      </c>
      <c r="D17" s="52"/>
      <c r="E17" s="283"/>
      <c r="F17" s="283"/>
      <c r="G17" s="283">
        <f t="shared" si="1"/>
        <v>0</v>
      </c>
      <c r="H17" s="283"/>
      <c r="I17" s="283">
        <f>+'Hoja de trabajo'!K39</f>
        <v>-21629181</v>
      </c>
      <c r="J17" s="52"/>
      <c r="K17" s="283"/>
      <c r="L17" s="283"/>
      <c r="M17" s="283">
        <v>0</v>
      </c>
      <c r="N17" s="283"/>
      <c r="O17" s="283">
        <v>0</v>
      </c>
      <c r="Q17" s="283">
        <v>366832</v>
      </c>
      <c r="R17" s="283"/>
      <c r="S17" s="283">
        <f t="shared" si="2"/>
        <v>366832</v>
      </c>
      <c r="T17" s="283"/>
      <c r="U17" s="283">
        <f t="shared" si="3"/>
        <v>366832</v>
      </c>
      <c r="V17" s="52"/>
      <c r="W17" s="283">
        <v>0</v>
      </c>
      <c r="X17" s="283"/>
      <c r="Y17" s="283">
        <f t="shared" si="4"/>
        <v>0</v>
      </c>
      <c r="Z17" s="283"/>
      <c r="AA17" s="283">
        <f t="shared" si="5"/>
        <v>0</v>
      </c>
    </row>
    <row r="18" spans="2:27" x14ac:dyDescent="0.25">
      <c r="B18" s="30"/>
      <c r="C18" t="s">
        <v>121</v>
      </c>
      <c r="D18" s="52"/>
      <c r="E18" s="283">
        <v>4768922</v>
      </c>
      <c r="F18" s="283">
        <f>-ER!E34</f>
        <v>3484342</v>
      </c>
      <c r="G18" s="283">
        <f t="shared" si="1"/>
        <v>8253264</v>
      </c>
      <c r="H18" s="283"/>
      <c r="I18" s="283">
        <f t="shared" si="0"/>
        <v>8253264</v>
      </c>
      <c r="J18" s="52"/>
      <c r="K18" s="283">
        <v>3976474</v>
      </c>
      <c r="L18" s="283">
        <v>1692982</v>
      </c>
      <c r="M18" s="283">
        <v>5669456</v>
      </c>
      <c r="N18" s="283"/>
      <c r="O18" s="283">
        <v>5669456</v>
      </c>
      <c r="Q18" s="283">
        <v>2404929</v>
      </c>
      <c r="R18" s="283"/>
      <c r="S18" s="283">
        <f t="shared" si="2"/>
        <v>2404929</v>
      </c>
      <c r="T18" s="283"/>
      <c r="U18" s="283">
        <f t="shared" si="3"/>
        <v>2404929</v>
      </c>
      <c r="V18" s="52"/>
      <c r="W18" s="283">
        <v>3074772</v>
      </c>
      <c r="X18" s="283"/>
      <c r="Y18" s="283">
        <f t="shared" si="4"/>
        <v>3074772</v>
      </c>
      <c r="Z18" s="283"/>
      <c r="AA18" s="283">
        <f t="shared" si="5"/>
        <v>3074772</v>
      </c>
    </row>
    <row r="19" spans="2:27" x14ac:dyDescent="0.25">
      <c r="B19" s="30"/>
      <c r="C19" t="s">
        <v>122</v>
      </c>
      <c r="D19" s="52"/>
      <c r="E19" s="283">
        <v>644872</v>
      </c>
      <c r="F19" s="283">
        <f>436847+158319</f>
        <v>595166</v>
      </c>
      <c r="G19" s="283">
        <f t="shared" si="1"/>
        <v>1240038</v>
      </c>
      <c r="H19" s="283"/>
      <c r="I19" s="283">
        <f t="shared" si="0"/>
        <v>1240038</v>
      </c>
      <c r="J19" s="52"/>
      <c r="K19" s="283">
        <v>2973618</v>
      </c>
      <c r="L19" s="283">
        <v>331030</v>
      </c>
      <c r="M19" s="283">
        <v>3304648</v>
      </c>
      <c r="N19" s="283"/>
      <c r="O19" s="283">
        <v>3304648</v>
      </c>
      <c r="Q19" s="283">
        <v>1293142</v>
      </c>
      <c r="R19" s="283">
        <v>251418</v>
      </c>
      <c r="S19" s="283">
        <f t="shared" si="2"/>
        <v>1544560</v>
      </c>
      <c r="T19" s="283"/>
      <c r="U19" s="283">
        <f t="shared" si="3"/>
        <v>1544560</v>
      </c>
      <c r="V19" s="52"/>
      <c r="W19" s="283">
        <v>1591304</v>
      </c>
      <c r="X19" s="283"/>
      <c r="Y19" s="283">
        <f t="shared" si="4"/>
        <v>1591304</v>
      </c>
      <c r="Z19" s="283"/>
      <c r="AA19" s="283">
        <f t="shared" si="5"/>
        <v>1591304</v>
      </c>
    </row>
    <row r="20" spans="2:27" x14ac:dyDescent="0.25">
      <c r="B20" s="30"/>
      <c r="C20" t="s">
        <v>123</v>
      </c>
      <c r="D20" s="52"/>
      <c r="F20" s="283"/>
      <c r="G20" s="283">
        <f t="shared" si="1"/>
        <v>0</v>
      </c>
      <c r="I20" s="283">
        <f>+'Hoja de trabajo'!B88</f>
        <v>-3143848.1851480007</v>
      </c>
      <c r="J20" s="52"/>
      <c r="K20" s="283"/>
      <c r="L20" s="283"/>
      <c r="M20" s="283">
        <v>0</v>
      </c>
      <c r="N20" s="283"/>
      <c r="O20" s="283">
        <v>358270.24999999953</v>
      </c>
      <c r="Q20" s="283">
        <v>7559526</v>
      </c>
      <c r="R20" s="283"/>
      <c r="S20" s="283">
        <f t="shared" si="2"/>
        <v>7559526</v>
      </c>
      <c r="T20" s="283"/>
      <c r="U20" s="283">
        <f t="shared" si="3"/>
        <v>7559526</v>
      </c>
      <c r="V20" s="52"/>
      <c r="W20" s="283">
        <f>1308073+234029</f>
        <v>1542102</v>
      </c>
      <c r="X20" s="283">
        <v>175726</v>
      </c>
      <c r="Y20" s="283">
        <f t="shared" si="4"/>
        <v>1717828</v>
      </c>
      <c r="Z20" s="283"/>
      <c r="AA20" s="283">
        <f t="shared" si="5"/>
        <v>1717828</v>
      </c>
    </row>
    <row r="21" spans="2:27" x14ac:dyDescent="0.25">
      <c r="B21" s="30"/>
      <c r="C21" t="s">
        <v>124</v>
      </c>
      <c r="D21" s="52"/>
      <c r="E21" s="283"/>
      <c r="F21" s="283"/>
      <c r="G21" s="283">
        <f t="shared" si="1"/>
        <v>0</v>
      </c>
      <c r="H21" s="283"/>
      <c r="I21" s="283">
        <f>+'Hoja de trabajo'!K40</f>
        <v>2444175</v>
      </c>
      <c r="J21" s="52"/>
      <c r="K21" s="283"/>
      <c r="L21" s="283"/>
      <c r="M21" s="283">
        <v>0</v>
      </c>
      <c r="N21" s="283"/>
      <c r="O21" s="283">
        <v>-1881937</v>
      </c>
      <c r="Q21" s="283">
        <v>251108</v>
      </c>
      <c r="R21" s="283"/>
      <c r="S21" s="283">
        <f t="shared" si="2"/>
        <v>251108</v>
      </c>
      <c r="T21" s="283"/>
      <c r="U21" s="283">
        <f t="shared" si="3"/>
        <v>251108</v>
      </c>
      <c r="V21" s="52"/>
      <c r="W21" s="283"/>
      <c r="X21" s="283"/>
      <c r="Y21" s="283">
        <f t="shared" si="4"/>
        <v>0</v>
      </c>
      <c r="Z21" s="283"/>
      <c r="AA21" s="283">
        <f t="shared" si="5"/>
        <v>0</v>
      </c>
    </row>
    <row r="22" spans="2:27" x14ac:dyDescent="0.25">
      <c r="B22" s="30"/>
      <c r="C22" t="s">
        <v>125</v>
      </c>
      <c r="D22" s="52"/>
      <c r="E22" s="283">
        <v>144534</v>
      </c>
      <c r="F22" s="283"/>
      <c r="G22" s="283">
        <f t="shared" si="1"/>
        <v>144534</v>
      </c>
      <c r="H22" s="283">
        <f>+AD!G59</f>
        <v>1427390</v>
      </c>
      <c r="I22" s="283">
        <f t="shared" si="0"/>
        <v>1571924</v>
      </c>
      <c r="J22" s="52"/>
      <c r="K22" s="283"/>
      <c r="L22" s="283">
        <v>-73587</v>
      </c>
      <c r="M22" s="283">
        <v>-73587</v>
      </c>
      <c r="N22" s="283"/>
      <c r="O22" s="283">
        <v>-73587</v>
      </c>
      <c r="Q22" s="283">
        <v>-261500</v>
      </c>
      <c r="R22" s="283"/>
      <c r="S22" s="283">
        <f t="shared" si="2"/>
        <v>-261500</v>
      </c>
      <c r="T22" s="283">
        <f>-[2]ER!M35</f>
        <v>555396.5</v>
      </c>
      <c r="U22" s="283">
        <f t="shared" si="3"/>
        <v>293896.5</v>
      </c>
      <c r="V22" s="52"/>
      <c r="W22" s="283">
        <v>476468</v>
      </c>
      <c r="X22" s="283"/>
      <c r="Y22" s="283"/>
      <c r="Z22" s="283"/>
      <c r="AA22" s="283"/>
    </row>
    <row r="23" spans="2:27" x14ac:dyDescent="0.25">
      <c r="B23" s="30"/>
      <c r="D23" s="52"/>
      <c r="E23" s="282">
        <f>SUM(E8:E22)</f>
        <v>55444514</v>
      </c>
      <c r="F23" s="282">
        <f t="shared" ref="F23:I23" si="6">SUM(F8:F22)</f>
        <v>34938702</v>
      </c>
      <c r="G23" s="282">
        <f t="shared" si="6"/>
        <v>90383216</v>
      </c>
      <c r="H23" s="282">
        <f>SUM(H8:H22)</f>
        <v>-5175149</v>
      </c>
      <c r="I23" s="282">
        <f t="shared" si="6"/>
        <v>62879212.814851999</v>
      </c>
      <c r="J23" s="52"/>
      <c r="K23" s="282">
        <v>51381438</v>
      </c>
      <c r="L23" s="282">
        <v>22113436</v>
      </c>
      <c r="M23" s="282">
        <v>73494874</v>
      </c>
      <c r="N23" s="282">
        <v>2120374</v>
      </c>
      <c r="O23" s="282">
        <v>74091581.25</v>
      </c>
      <c r="Q23" s="282">
        <f>SUM(Q8:Q22)</f>
        <v>49470665.449999988</v>
      </c>
      <c r="R23" s="282">
        <f t="shared" ref="R23:U23" si="7">SUM(R8:R22)</f>
        <v>15821421</v>
      </c>
      <c r="S23" s="282">
        <f t="shared" si="7"/>
        <v>65292086.449999988</v>
      </c>
      <c r="T23" s="282">
        <f t="shared" si="7"/>
        <v>-5531508.5</v>
      </c>
      <c r="U23" s="282">
        <f t="shared" si="7"/>
        <v>59760577.949999988</v>
      </c>
      <c r="V23" s="52"/>
      <c r="W23" s="282">
        <f>SUM(W8:W22)</f>
        <v>37584573</v>
      </c>
      <c r="X23" s="293">
        <f>SUM(X8:X21)</f>
        <v>12250363</v>
      </c>
      <c r="Y23" s="282">
        <f>SUM(Y8:Y21)</f>
        <v>49358468</v>
      </c>
      <c r="Z23" s="282">
        <f>SUM(Z8:Z21)</f>
        <v>-7157121</v>
      </c>
      <c r="AA23" s="282">
        <f>SUM(AA8:AA21)</f>
        <v>42201347</v>
      </c>
    </row>
    <row r="24" spans="2:27" x14ac:dyDescent="0.25">
      <c r="B24" s="289" t="s">
        <v>126</v>
      </c>
      <c r="D24" s="52"/>
      <c r="E24" s="283"/>
      <c r="F24" s="283"/>
      <c r="G24" s="283"/>
      <c r="H24" s="283"/>
      <c r="I24" s="283"/>
      <c r="J24" s="52"/>
      <c r="K24" s="283"/>
      <c r="L24" s="283"/>
      <c r="M24" s="283"/>
      <c r="N24" s="283"/>
      <c r="O24" s="283"/>
      <c r="Q24" s="283"/>
      <c r="R24" s="283"/>
      <c r="S24" s="283"/>
      <c r="T24" s="283"/>
      <c r="U24" s="283"/>
      <c r="V24" s="52"/>
      <c r="W24" s="283"/>
      <c r="X24" s="283"/>
      <c r="Y24" s="283"/>
      <c r="Z24" s="283"/>
      <c r="AA24" s="283"/>
    </row>
    <row r="25" spans="2:27" x14ac:dyDescent="0.25">
      <c r="B25" s="30"/>
      <c r="C25" t="s">
        <v>127</v>
      </c>
      <c r="D25" s="52"/>
      <c r="E25" s="283"/>
      <c r="F25" s="283"/>
      <c r="G25" s="283">
        <f t="shared" ref="G25:G41" si="8">+E25+F25</f>
        <v>0</v>
      </c>
      <c r="H25" s="283"/>
      <c r="I25" s="283">
        <f>+'Hoja de trabajo'!B83</f>
        <v>-10976377</v>
      </c>
      <c r="J25" s="52"/>
      <c r="K25" s="283"/>
      <c r="L25" s="283"/>
      <c r="M25" s="283">
        <v>0</v>
      </c>
      <c r="N25" s="283"/>
      <c r="O25" s="283">
        <v>-4095201</v>
      </c>
      <c r="Q25" s="283">
        <v>3944169</v>
      </c>
      <c r="R25" s="283">
        <v>-602469</v>
      </c>
      <c r="S25" s="283">
        <f t="shared" ref="S25:S45" si="9">+Q25+R25</f>
        <v>3341700</v>
      </c>
      <c r="T25" s="283"/>
      <c r="U25" s="283">
        <f t="shared" ref="U25:U41" si="10">+S25+T25</f>
        <v>3341700</v>
      </c>
      <c r="V25" s="52"/>
      <c r="W25" s="283">
        <v>2173914</v>
      </c>
      <c r="X25" s="283">
        <v>153450</v>
      </c>
      <c r="Y25" s="283">
        <f t="shared" ref="Y25:Y41" si="11">+W25+X25</f>
        <v>2327364</v>
      </c>
      <c r="Z25" s="283"/>
      <c r="AA25" s="283">
        <f t="shared" ref="AA25:AA41" si="12">+Y25+Z25</f>
        <v>2327364</v>
      </c>
    </row>
    <row r="26" spans="2:27" x14ac:dyDescent="0.25">
      <c r="B26" s="30"/>
      <c r="C26" t="s">
        <v>37</v>
      </c>
      <c r="D26" s="52"/>
      <c r="E26" s="283"/>
      <c r="F26" s="283"/>
      <c r="G26" s="283">
        <f t="shared" si="8"/>
        <v>0</v>
      </c>
      <c r="H26" s="283"/>
      <c r="I26" s="283">
        <f>+'Hoja de trabajo'!C9+'Hoja de trabajo'!C20</f>
        <v>14826134</v>
      </c>
      <c r="J26" s="52"/>
      <c r="K26" s="283"/>
      <c r="L26" s="283"/>
      <c r="M26" s="283">
        <v>0</v>
      </c>
      <c r="N26" s="283"/>
      <c r="O26" s="283">
        <v>7403111</v>
      </c>
      <c r="Q26" s="283">
        <v>-10765719</v>
      </c>
      <c r="R26" s="283">
        <v>-5894109</v>
      </c>
      <c r="S26" s="283">
        <f t="shared" si="9"/>
        <v>-16659828</v>
      </c>
      <c r="T26" s="283"/>
      <c r="U26" s="283">
        <f t="shared" si="10"/>
        <v>-16659828</v>
      </c>
      <c r="V26" s="52"/>
      <c r="W26" s="283">
        <v>-16324141</v>
      </c>
      <c r="X26" s="283"/>
      <c r="Y26" s="283">
        <f t="shared" si="11"/>
        <v>-16324141</v>
      </c>
      <c r="Z26" s="283"/>
      <c r="AA26" s="283">
        <f t="shared" si="12"/>
        <v>-16324141</v>
      </c>
    </row>
    <row r="27" spans="2:27" x14ac:dyDescent="0.25">
      <c r="B27" s="30"/>
      <c r="C27" t="s">
        <v>38</v>
      </c>
      <c r="D27" s="52"/>
      <c r="E27" s="283"/>
      <c r="F27" s="283"/>
      <c r="G27" s="283">
        <f t="shared" si="8"/>
        <v>0</v>
      </c>
      <c r="H27" s="283"/>
      <c r="I27" s="283">
        <f>+'Hoja de trabajo'!C11+'Hoja de trabajo'!C19</f>
        <v>7085729</v>
      </c>
      <c r="J27" s="52"/>
      <c r="K27" s="283"/>
      <c r="L27" s="283"/>
      <c r="M27" s="283">
        <v>0</v>
      </c>
      <c r="N27" s="283"/>
      <c r="O27" s="283">
        <v>-11858132</v>
      </c>
      <c r="Q27" s="283">
        <v>-233583</v>
      </c>
      <c r="R27" s="283">
        <f>-8535012-R26-R25</f>
        <v>-2038434</v>
      </c>
      <c r="S27" s="283">
        <f t="shared" si="9"/>
        <v>-2272017</v>
      </c>
      <c r="T27" s="283"/>
      <c r="U27" s="283">
        <f t="shared" si="10"/>
        <v>-2272017</v>
      </c>
      <c r="V27" s="52"/>
      <c r="W27" s="283">
        <v>-6350190</v>
      </c>
      <c r="X27" s="283"/>
      <c r="Y27" s="283">
        <f t="shared" si="11"/>
        <v>-6350190</v>
      </c>
      <c r="Z27" s="283"/>
      <c r="AA27" s="283">
        <f t="shared" si="12"/>
        <v>-6350190</v>
      </c>
    </row>
    <row r="28" spans="2:27" x14ac:dyDescent="0.25">
      <c r="B28" s="30"/>
      <c r="C28" t="s">
        <v>30</v>
      </c>
      <c r="D28" s="52"/>
      <c r="E28" s="283"/>
      <c r="F28" s="283"/>
      <c r="G28" s="283">
        <f t="shared" si="8"/>
        <v>0</v>
      </c>
      <c r="H28" s="283"/>
      <c r="I28" s="283">
        <f>+'Hoja de trabajo'!C10</f>
        <v>-5084041</v>
      </c>
      <c r="J28" s="52"/>
      <c r="K28" s="283"/>
      <c r="L28" s="283"/>
      <c r="M28" s="283">
        <v>0</v>
      </c>
      <c r="N28" s="283"/>
      <c r="O28" s="283">
        <v>1714619</v>
      </c>
      <c r="Q28" s="283">
        <v>475548</v>
      </c>
      <c r="R28" s="283"/>
      <c r="S28" s="283">
        <f t="shared" si="9"/>
        <v>475548</v>
      </c>
      <c r="T28" s="283"/>
      <c r="U28" s="283">
        <f t="shared" si="10"/>
        <v>475548</v>
      </c>
      <c r="V28" s="52"/>
      <c r="W28" s="283">
        <v>546462</v>
      </c>
      <c r="X28" s="283"/>
      <c r="Y28" s="283">
        <f t="shared" si="11"/>
        <v>546462</v>
      </c>
      <c r="Z28" s="283"/>
      <c r="AA28" s="283">
        <f t="shared" si="12"/>
        <v>546462</v>
      </c>
    </row>
    <row r="29" spans="2:27" x14ac:dyDescent="0.25">
      <c r="B29" s="30"/>
      <c r="C29" t="s">
        <v>31</v>
      </c>
      <c r="D29" s="52"/>
      <c r="E29" s="283"/>
      <c r="F29" s="283"/>
      <c r="G29" s="283">
        <f t="shared" si="8"/>
        <v>0</v>
      </c>
      <c r="H29" s="283"/>
      <c r="I29" s="283">
        <f>+'Hoja de trabajo'!C12</f>
        <v>-5493976</v>
      </c>
      <c r="J29" s="52"/>
      <c r="K29" s="283"/>
      <c r="L29" s="283"/>
      <c r="M29" s="283">
        <v>0</v>
      </c>
      <c r="N29" s="283"/>
      <c r="O29" s="283">
        <v>-246230</v>
      </c>
      <c r="Q29" s="283">
        <v>124930</v>
      </c>
      <c r="R29" s="283"/>
      <c r="S29" s="283">
        <f t="shared" si="9"/>
        <v>124930</v>
      </c>
      <c r="T29" s="283"/>
      <c r="U29" s="283">
        <f t="shared" si="10"/>
        <v>124930</v>
      </c>
      <c r="V29" s="52"/>
      <c r="W29" s="283">
        <v>1692356</v>
      </c>
      <c r="X29" s="283"/>
      <c r="Y29" s="283">
        <f t="shared" si="11"/>
        <v>1692356</v>
      </c>
      <c r="Z29" s="283"/>
      <c r="AA29" s="283">
        <f t="shared" si="12"/>
        <v>1692356</v>
      </c>
    </row>
    <row r="30" spans="2:27" x14ac:dyDescent="0.25">
      <c r="B30" s="30"/>
      <c r="C30" t="s">
        <v>32</v>
      </c>
      <c r="D30" s="52"/>
      <c r="E30" s="283"/>
      <c r="F30" s="283"/>
      <c r="G30" s="283">
        <f t="shared" si="8"/>
        <v>0</v>
      </c>
      <c r="H30" s="283"/>
      <c r="I30" s="283">
        <f>+'Hoja de trabajo'!C13</f>
        <v>221118</v>
      </c>
      <c r="J30" s="52"/>
      <c r="K30" s="283"/>
      <c r="L30" s="283"/>
      <c r="M30" s="283">
        <v>0</v>
      </c>
      <c r="N30" s="283"/>
      <c r="O30" s="283">
        <v>-4679936.66</v>
      </c>
      <c r="Q30" s="283">
        <v>-9031384</v>
      </c>
      <c r="R30" s="283"/>
      <c r="S30" s="283">
        <f t="shared" si="9"/>
        <v>-9031384</v>
      </c>
      <c r="T30" s="283"/>
      <c r="U30" s="283">
        <f t="shared" si="10"/>
        <v>-9031384</v>
      </c>
      <c r="V30" s="52"/>
      <c r="W30" s="283">
        <v>3855566</v>
      </c>
      <c r="X30" s="283">
        <v>16620</v>
      </c>
      <c r="Y30" s="283">
        <f t="shared" si="11"/>
        <v>3872186</v>
      </c>
      <c r="Z30" s="283"/>
      <c r="AA30" s="283">
        <f t="shared" si="12"/>
        <v>3872186</v>
      </c>
    </row>
    <row r="31" spans="2:27" x14ac:dyDescent="0.25">
      <c r="B31" s="30"/>
      <c r="C31" t="s">
        <v>46</v>
      </c>
      <c r="D31" s="52"/>
      <c r="E31" s="283"/>
      <c r="F31" s="283"/>
      <c r="G31" s="283">
        <f t="shared" si="8"/>
        <v>0</v>
      </c>
      <c r="H31" s="283"/>
      <c r="I31" s="283">
        <f>+'Hoja de trabajo'!C14+'Hoja de trabajo'!C26</f>
        <v>-2136621</v>
      </c>
      <c r="J31" s="52"/>
      <c r="K31" s="283"/>
      <c r="L31" s="283"/>
      <c r="M31" s="283">
        <v>0</v>
      </c>
      <c r="N31" s="283"/>
      <c r="O31" s="283">
        <v>84286</v>
      </c>
      <c r="Q31" s="283"/>
      <c r="R31" s="283">
        <v>-86645</v>
      </c>
      <c r="S31" s="283">
        <f t="shared" si="9"/>
        <v>-86645</v>
      </c>
      <c r="T31" s="283"/>
      <c r="U31" s="283">
        <f t="shared" si="10"/>
        <v>-86645</v>
      </c>
      <c r="V31" s="52"/>
      <c r="W31" s="283">
        <v>-1495</v>
      </c>
      <c r="X31" s="283">
        <v>-97195</v>
      </c>
      <c r="Y31" s="283">
        <f t="shared" si="11"/>
        <v>-98690</v>
      </c>
      <c r="Z31" s="283"/>
      <c r="AA31" s="283">
        <f t="shared" si="12"/>
        <v>-98690</v>
      </c>
    </row>
    <row r="32" spans="2:27" x14ac:dyDescent="0.25">
      <c r="B32" s="30"/>
      <c r="C32" t="s">
        <v>128</v>
      </c>
      <c r="D32" s="52"/>
      <c r="E32" s="283"/>
      <c r="F32" s="283"/>
      <c r="G32" s="283">
        <f t="shared" si="8"/>
        <v>0</v>
      </c>
      <c r="H32" s="283"/>
      <c r="I32" s="283">
        <f>+'Hoja de trabajo'!L8+'Hoja de trabajo'!L21</f>
        <v>6180016</v>
      </c>
      <c r="J32" s="52"/>
      <c r="K32" s="283"/>
      <c r="L32" s="283"/>
      <c r="M32" s="283">
        <v>0</v>
      </c>
      <c r="N32" s="283"/>
      <c r="O32" s="283">
        <v>4254342</v>
      </c>
      <c r="Q32" s="283">
        <v>-2518955</v>
      </c>
      <c r="R32" s="283">
        <v>94649</v>
      </c>
      <c r="S32" s="283">
        <f t="shared" si="9"/>
        <v>-2424306</v>
      </c>
      <c r="T32" s="283"/>
      <c r="U32" s="283">
        <f t="shared" si="10"/>
        <v>-2424306</v>
      </c>
      <c r="V32" s="52"/>
      <c r="W32" s="283">
        <v>-3759434</v>
      </c>
      <c r="X32" s="283">
        <v>-751038</v>
      </c>
      <c r="Y32" s="283">
        <f t="shared" si="11"/>
        <v>-4510472</v>
      </c>
      <c r="Z32" s="283"/>
      <c r="AA32" s="283">
        <f t="shared" si="12"/>
        <v>-4510472</v>
      </c>
    </row>
    <row r="33" spans="2:27" x14ac:dyDescent="0.25">
      <c r="B33" s="30"/>
      <c r="C33" t="s">
        <v>129</v>
      </c>
      <c r="D33" s="52"/>
      <c r="E33" s="283"/>
      <c r="F33" s="283"/>
      <c r="G33" s="283">
        <f t="shared" si="8"/>
        <v>0</v>
      </c>
      <c r="H33" s="283"/>
      <c r="I33" s="283">
        <f>+'Hoja de trabajo'!L9+'Hoja de trabajo'!L22</f>
        <v>14566080</v>
      </c>
      <c r="J33" s="52"/>
      <c r="K33" s="283"/>
      <c r="L33" s="283"/>
      <c r="M33" s="283">
        <v>0</v>
      </c>
      <c r="N33" s="283"/>
      <c r="O33" s="283">
        <v>-7642880</v>
      </c>
      <c r="Q33" s="283">
        <v>618571</v>
      </c>
      <c r="R33" s="283">
        <v>5583218</v>
      </c>
      <c r="S33" s="283">
        <f t="shared" si="9"/>
        <v>6201789</v>
      </c>
      <c r="T33" s="283"/>
      <c r="U33" s="283">
        <f t="shared" si="10"/>
        <v>6201789</v>
      </c>
      <c r="V33" s="52"/>
      <c r="W33" s="283">
        <v>1235126</v>
      </c>
      <c r="X33" s="283"/>
      <c r="Y33" s="283">
        <f t="shared" si="11"/>
        <v>1235126</v>
      </c>
      <c r="Z33" s="283"/>
      <c r="AA33" s="283">
        <f t="shared" si="12"/>
        <v>1235126</v>
      </c>
    </row>
    <row r="34" spans="2:27" x14ac:dyDescent="0.25">
      <c r="B34" s="30"/>
      <c r="C34" t="s">
        <v>130</v>
      </c>
      <c r="D34" s="52"/>
      <c r="E34" s="283"/>
      <c r="F34" s="283"/>
      <c r="G34" s="283">
        <f t="shared" si="8"/>
        <v>0</v>
      </c>
      <c r="H34" s="283"/>
      <c r="I34" s="283">
        <f>+'Hoja de trabajo'!B72</f>
        <v>2643846</v>
      </c>
      <c r="J34" s="52"/>
      <c r="K34" s="283"/>
      <c r="L34" s="283"/>
      <c r="M34" s="283">
        <v>0</v>
      </c>
      <c r="N34" s="283"/>
      <c r="O34" s="283">
        <v>-7470499.25</v>
      </c>
      <c r="Q34" s="283">
        <v>2484728</v>
      </c>
      <c r="R34" s="283">
        <v>-1023114</v>
      </c>
      <c r="S34" s="283">
        <f t="shared" si="9"/>
        <v>1461614</v>
      </c>
      <c r="T34" s="283"/>
      <c r="U34" s="283">
        <f t="shared" si="10"/>
        <v>1461614</v>
      </c>
      <c r="V34" s="52"/>
      <c r="W34" s="283">
        <v>64755</v>
      </c>
      <c r="X34" s="283">
        <v>-273465</v>
      </c>
      <c r="Y34" s="283">
        <f t="shared" si="11"/>
        <v>-208710</v>
      </c>
      <c r="Z34" s="283"/>
      <c r="AA34" s="283">
        <f t="shared" si="12"/>
        <v>-208710</v>
      </c>
    </row>
    <row r="35" spans="2:27" x14ac:dyDescent="0.25">
      <c r="B35" s="30"/>
      <c r="C35" t="s">
        <v>131</v>
      </c>
      <c r="D35" s="52"/>
      <c r="E35" s="283"/>
      <c r="F35" s="283"/>
      <c r="G35" s="283">
        <f t="shared" si="8"/>
        <v>0</v>
      </c>
      <c r="H35" s="283"/>
      <c r="I35" s="283">
        <f>+'Hoja de trabajo'!L11+'Hoja de trabajo'!L23</f>
        <v>-7921265</v>
      </c>
      <c r="J35" s="52"/>
      <c r="K35" s="283"/>
      <c r="L35" s="283"/>
      <c r="M35" s="283">
        <v>0</v>
      </c>
      <c r="N35" s="283"/>
      <c r="O35" s="283">
        <v>18101009</v>
      </c>
      <c r="Q35" s="283">
        <v>-4641544</v>
      </c>
      <c r="R35" s="283">
        <f>5964089-R33-R32</f>
        <v>286222</v>
      </c>
      <c r="S35" s="283">
        <f t="shared" si="9"/>
        <v>-4355322</v>
      </c>
      <c r="T35" s="283">
        <v>-295764</v>
      </c>
      <c r="U35" s="283">
        <f t="shared" si="10"/>
        <v>-4651086</v>
      </c>
      <c r="V35" s="52"/>
      <c r="W35" s="283">
        <v>4568360</v>
      </c>
      <c r="X35" s="283"/>
      <c r="Y35" s="283">
        <f t="shared" si="11"/>
        <v>4568360</v>
      </c>
      <c r="Z35" s="283"/>
      <c r="AA35" s="283">
        <f t="shared" si="12"/>
        <v>4568360</v>
      </c>
    </row>
    <row r="36" spans="2:27" x14ac:dyDescent="0.25">
      <c r="B36" s="30"/>
      <c r="C36" t="s">
        <v>59</v>
      </c>
      <c r="D36" s="52"/>
      <c r="E36" s="283"/>
      <c r="F36" s="283"/>
      <c r="G36" s="283">
        <f t="shared" si="8"/>
        <v>0</v>
      </c>
      <c r="H36" s="283"/>
      <c r="I36" s="283">
        <f>+'Hoja de trabajo'!L25+'Hoja de trabajo'!L12</f>
        <v>-12162038</v>
      </c>
      <c r="J36" s="52"/>
      <c r="K36" s="283"/>
      <c r="L36" s="283"/>
      <c r="M36" s="283"/>
      <c r="N36" s="283"/>
      <c r="O36" s="283">
        <v>-8643863</v>
      </c>
      <c r="Q36" s="283"/>
      <c r="R36" s="283"/>
      <c r="S36" s="283">
        <f t="shared" si="9"/>
        <v>0</v>
      </c>
      <c r="T36" s="283"/>
      <c r="U36" s="283">
        <f t="shared" si="10"/>
        <v>0</v>
      </c>
      <c r="V36" s="52"/>
      <c r="W36" s="283"/>
      <c r="X36" s="283"/>
      <c r="Y36" s="283"/>
      <c r="Z36" s="283"/>
      <c r="AA36" s="283"/>
    </row>
    <row r="37" spans="2:27" x14ac:dyDescent="0.25">
      <c r="B37" s="30"/>
      <c r="C37" t="s">
        <v>62</v>
      </c>
      <c r="D37" s="52"/>
      <c r="E37" s="283"/>
      <c r="F37" s="283"/>
      <c r="G37" s="283">
        <f t="shared" si="8"/>
        <v>0</v>
      </c>
      <c r="H37" s="283"/>
      <c r="I37" s="283">
        <f>+'Hoja de trabajo'!L27</f>
        <v>-2580000</v>
      </c>
      <c r="J37" s="52"/>
      <c r="K37" s="283"/>
      <c r="L37" s="283"/>
      <c r="M37" s="283">
        <v>0</v>
      </c>
      <c r="N37" s="283"/>
      <c r="O37" s="283">
        <v>0</v>
      </c>
      <c r="Q37" s="283">
        <v>-81914</v>
      </c>
      <c r="R37" s="283"/>
      <c r="S37" s="283">
        <f t="shared" si="9"/>
        <v>-81914</v>
      </c>
      <c r="T37" s="283"/>
      <c r="U37" s="283">
        <f t="shared" si="10"/>
        <v>-81914</v>
      </c>
      <c r="V37" s="52"/>
      <c r="W37" s="283">
        <v>-2404770</v>
      </c>
      <c r="X37" s="283"/>
      <c r="Y37" s="283">
        <f t="shared" si="11"/>
        <v>-2404770</v>
      </c>
      <c r="Z37" s="283"/>
      <c r="AA37" s="283">
        <f t="shared" si="12"/>
        <v>-2404770</v>
      </c>
    </row>
    <row r="38" spans="2:27" x14ac:dyDescent="0.25">
      <c r="B38" s="30"/>
      <c r="C38" t="s">
        <v>60</v>
      </c>
      <c r="D38" s="52"/>
      <c r="E38" s="283"/>
      <c r="F38" s="283"/>
      <c r="G38" s="283">
        <f t="shared" si="8"/>
        <v>0</v>
      </c>
      <c r="H38" s="283"/>
      <c r="I38" s="319">
        <f>+'Hoja de trabajo'!B78</f>
        <v>-83181</v>
      </c>
      <c r="J38" s="52"/>
      <c r="K38" s="283"/>
      <c r="L38" s="283"/>
      <c r="M38" s="283">
        <v>0</v>
      </c>
      <c r="N38" s="283"/>
      <c r="O38" s="283">
        <v>-637915</v>
      </c>
      <c r="Q38" s="283">
        <v>577820</v>
      </c>
      <c r="R38" s="283">
        <v>417024</v>
      </c>
      <c r="S38" s="283">
        <f t="shared" si="9"/>
        <v>994844</v>
      </c>
      <c r="T38" s="283"/>
      <c r="U38" s="283">
        <f t="shared" si="10"/>
        <v>994844</v>
      </c>
      <c r="V38" s="52"/>
      <c r="W38" s="283">
        <v>344260</v>
      </c>
      <c r="X38" s="283">
        <v>-620687</v>
      </c>
      <c r="Y38" s="283">
        <f t="shared" si="11"/>
        <v>-276427</v>
      </c>
      <c r="Z38" s="283"/>
      <c r="AA38" s="283">
        <f t="shared" si="12"/>
        <v>-276427</v>
      </c>
    </row>
    <row r="39" spans="2:27" hidden="1" x14ac:dyDescent="0.25">
      <c r="B39" s="30"/>
      <c r="C39" t="s">
        <v>132</v>
      </c>
      <c r="D39" s="52"/>
      <c r="E39" s="283"/>
      <c r="F39" s="283"/>
      <c r="G39" s="283">
        <f t="shared" si="8"/>
        <v>0</v>
      </c>
      <c r="H39" s="283"/>
      <c r="I39" s="319">
        <f t="shared" ref="I25:I41" si="13">+G39+H39</f>
        <v>0</v>
      </c>
      <c r="J39" s="52"/>
      <c r="K39" s="283"/>
      <c r="L39" s="283"/>
      <c r="M39" s="283">
        <v>0</v>
      </c>
      <c r="N39" s="283"/>
      <c r="O39" s="283">
        <v>0</v>
      </c>
      <c r="Q39" s="283"/>
      <c r="R39" s="283"/>
      <c r="S39" s="283">
        <f t="shared" si="9"/>
        <v>0</v>
      </c>
      <c r="T39" s="283"/>
      <c r="U39" s="283">
        <f t="shared" si="10"/>
        <v>0</v>
      </c>
      <c r="V39" s="52"/>
      <c r="W39" s="283"/>
      <c r="X39" s="283"/>
      <c r="Y39" s="283">
        <f t="shared" si="11"/>
        <v>0</v>
      </c>
      <c r="Z39" s="283"/>
      <c r="AA39" s="283">
        <f t="shared" si="12"/>
        <v>0</v>
      </c>
    </row>
    <row r="40" spans="2:27" hidden="1" x14ac:dyDescent="0.25">
      <c r="B40" s="30"/>
      <c r="C40" t="s">
        <v>133</v>
      </c>
      <c r="D40" s="52"/>
      <c r="E40" s="283"/>
      <c r="F40" s="283"/>
      <c r="G40" s="283">
        <f t="shared" si="8"/>
        <v>0</v>
      </c>
      <c r="H40" s="283"/>
      <c r="I40" s="319">
        <f t="shared" si="13"/>
        <v>0</v>
      </c>
      <c r="J40" s="52"/>
      <c r="K40" s="283"/>
      <c r="L40" s="283"/>
      <c r="M40" s="283">
        <v>0</v>
      </c>
      <c r="N40" s="283"/>
      <c r="O40" s="283">
        <v>0</v>
      </c>
      <c r="Q40" s="283"/>
      <c r="R40" s="283"/>
      <c r="S40" s="283">
        <f t="shared" si="9"/>
        <v>0</v>
      </c>
      <c r="T40" s="283"/>
      <c r="U40" s="283">
        <f t="shared" si="10"/>
        <v>0</v>
      </c>
      <c r="V40" s="52"/>
      <c r="W40" s="283"/>
      <c r="X40" s="283"/>
      <c r="Y40" s="283">
        <f t="shared" si="11"/>
        <v>0</v>
      </c>
      <c r="Z40" s="283"/>
      <c r="AA40" s="283">
        <f t="shared" si="12"/>
        <v>0</v>
      </c>
    </row>
    <row r="41" spans="2:27" hidden="1" x14ac:dyDescent="0.25">
      <c r="B41" s="30"/>
      <c r="C41" t="s">
        <v>134</v>
      </c>
      <c r="D41" s="52"/>
      <c r="E41" s="294"/>
      <c r="F41" s="294"/>
      <c r="G41" s="283">
        <f t="shared" si="8"/>
        <v>0</v>
      </c>
      <c r="H41" s="283"/>
      <c r="I41" s="319">
        <f t="shared" si="13"/>
        <v>0</v>
      </c>
      <c r="J41" s="52"/>
      <c r="K41" s="294"/>
      <c r="L41" s="294"/>
      <c r="M41" s="283">
        <v>0</v>
      </c>
      <c r="N41" s="283"/>
      <c r="O41" s="283">
        <v>0</v>
      </c>
      <c r="Q41" s="294">
        <v>-992443</v>
      </c>
      <c r="R41" s="294"/>
      <c r="S41" s="283">
        <f t="shared" si="9"/>
        <v>-992443</v>
      </c>
      <c r="T41" s="283"/>
      <c r="U41" s="283">
        <f t="shared" si="10"/>
        <v>-992443</v>
      </c>
      <c r="V41" s="52"/>
      <c r="W41" s="294">
        <v>-2999556</v>
      </c>
      <c r="X41" s="294"/>
      <c r="Y41" s="283">
        <f t="shared" si="11"/>
        <v>-2999556</v>
      </c>
      <c r="Z41" s="283"/>
      <c r="AA41" s="283">
        <f t="shared" si="12"/>
        <v>-2999556</v>
      </c>
    </row>
    <row r="42" spans="2:27" x14ac:dyDescent="0.25">
      <c r="B42" s="289" t="s">
        <v>135</v>
      </c>
      <c r="D42" s="52"/>
      <c r="E42" s="283"/>
      <c r="F42" s="283"/>
      <c r="G42" s="282"/>
      <c r="H42" s="282"/>
      <c r="I42" s="320">
        <f>SUM(I23:I41)</f>
        <v>61964636.814851999</v>
      </c>
      <c r="J42" s="52"/>
      <c r="K42" s="283">
        <v>51381438</v>
      </c>
      <c r="L42" s="283">
        <v>22113436</v>
      </c>
      <c r="M42" s="282">
        <v>73494874</v>
      </c>
      <c r="N42" s="282">
        <v>2120374</v>
      </c>
      <c r="O42" s="282">
        <v>60374291.340000004</v>
      </c>
      <c r="Q42" s="283">
        <f>SUM(Q23:Q41)</f>
        <v>29430889.449999988</v>
      </c>
      <c r="R42" s="283">
        <f>SUM(R23:R41)</f>
        <v>12557763</v>
      </c>
      <c r="S42" s="282">
        <f>SUM(S23:S41)</f>
        <v>41988652.449999988</v>
      </c>
      <c r="T42" s="282">
        <f>SUM(T23:T41)</f>
        <v>-5827272.5</v>
      </c>
      <c r="U42" s="282">
        <f>SUM(U23:U41)</f>
        <v>36161379.949999988</v>
      </c>
      <c r="V42" s="52"/>
      <c r="W42" s="283">
        <f>SUM(W23:W41)</f>
        <v>20225786</v>
      </c>
      <c r="X42" s="283">
        <f>SUM(X23:X41)</f>
        <v>10678048</v>
      </c>
      <c r="Y42" s="282">
        <f>SUM(Y23:Y41)</f>
        <v>30427366</v>
      </c>
      <c r="Z42" s="282">
        <f>SUM(Z23:Z41)</f>
        <v>-7157121</v>
      </c>
      <c r="AA42" s="282">
        <f>SUM(AA23:AA41)</f>
        <v>23270245</v>
      </c>
    </row>
    <row r="43" spans="2:27" x14ac:dyDescent="0.25">
      <c r="B43" s="30"/>
      <c r="C43" t="s">
        <v>136</v>
      </c>
      <c r="D43" s="52"/>
      <c r="E43" s="283">
        <v>-3680975</v>
      </c>
      <c r="F43" s="283">
        <f>-483390-4162944</f>
        <v>-4646334</v>
      </c>
      <c r="G43" s="283">
        <f t="shared" ref="G43:I45" si="14">+E43+F43</f>
        <v>-8327309</v>
      </c>
      <c r="H43" s="18"/>
      <c r="I43" s="319">
        <f t="shared" si="14"/>
        <v>-8327309</v>
      </c>
      <c r="J43" s="52"/>
      <c r="K43" s="283"/>
      <c r="L43" s="283">
        <v>-2091119</v>
      </c>
      <c r="M43" s="283">
        <v>-2091119</v>
      </c>
      <c r="N43" s="18"/>
      <c r="O43" s="283">
        <v>-2091119</v>
      </c>
      <c r="Q43" s="283">
        <v>-4237903</v>
      </c>
      <c r="R43" s="283"/>
      <c r="S43" s="283">
        <f t="shared" si="9"/>
        <v>-4237903</v>
      </c>
      <c r="T43" s="18"/>
      <c r="U43" s="283">
        <f>+S43+T43</f>
        <v>-4237903</v>
      </c>
      <c r="V43" s="52"/>
      <c r="W43" s="283">
        <v>-3550763</v>
      </c>
      <c r="X43" s="283">
        <v>0</v>
      </c>
      <c r="Y43" s="283">
        <f t="shared" ref="Y43:Y45" si="15">+W43+X43</f>
        <v>-3550763</v>
      </c>
      <c r="Z43" s="18"/>
      <c r="AA43" s="283">
        <f>+Y43+Z43</f>
        <v>-3550763</v>
      </c>
    </row>
    <row r="44" spans="2:27" x14ac:dyDescent="0.25">
      <c r="B44" s="30"/>
      <c r="C44" t="s">
        <v>137</v>
      </c>
      <c r="D44" s="52"/>
      <c r="E44" s="283">
        <v>-3976474</v>
      </c>
      <c r="F44" s="283"/>
      <c r="G44" s="283">
        <f t="shared" si="14"/>
        <v>-3976474</v>
      </c>
      <c r="H44" s="18"/>
      <c r="I44" s="283">
        <f t="shared" si="14"/>
        <v>-3976474</v>
      </c>
      <c r="J44" s="52"/>
      <c r="K44" s="283">
        <v>-2840226</v>
      </c>
      <c r="L44" s="283"/>
      <c r="M44" s="283">
        <v>-2840226</v>
      </c>
      <c r="N44" s="18"/>
      <c r="O44" s="283">
        <v>-2840226</v>
      </c>
      <c r="Q44" s="283">
        <v>-1591304</v>
      </c>
      <c r="R44" s="283"/>
      <c r="S44" s="283">
        <f t="shared" si="9"/>
        <v>-1591304</v>
      </c>
      <c r="T44" s="18"/>
      <c r="U44" s="283">
        <f>+S44+T44</f>
        <v>-1591304</v>
      </c>
      <c r="V44" s="52"/>
      <c r="W44" s="283">
        <v>-1759101</v>
      </c>
      <c r="X44" s="283"/>
      <c r="Y44" s="283">
        <f t="shared" si="15"/>
        <v>-1759101</v>
      </c>
      <c r="Z44" s="18"/>
      <c r="AA44" s="283">
        <f>+Y44+Z44</f>
        <v>-1759101</v>
      </c>
    </row>
    <row r="45" spans="2:27" x14ac:dyDescent="0.25">
      <c r="B45" s="30"/>
      <c r="C45" t="s">
        <v>138</v>
      </c>
      <c r="D45" s="52"/>
      <c r="E45" s="294">
        <v>-17000</v>
      </c>
      <c r="F45" s="294">
        <f>-41759-29720</f>
        <v>-71479</v>
      </c>
      <c r="G45" s="283">
        <f t="shared" si="14"/>
        <v>-88479</v>
      </c>
      <c r="H45" s="18"/>
      <c r="I45" s="283">
        <f>+'Hoja de trabajo'!B56</f>
        <v>-1668962</v>
      </c>
      <c r="J45" s="52"/>
      <c r="K45" s="294"/>
      <c r="L45" s="294"/>
      <c r="M45" s="283">
        <v>0</v>
      </c>
      <c r="N45" s="18"/>
      <c r="O45" s="283">
        <v>-685257</v>
      </c>
      <c r="Q45" s="294">
        <v>-207177</v>
      </c>
      <c r="R45" s="294"/>
      <c r="S45" s="283">
        <f t="shared" si="9"/>
        <v>-207177</v>
      </c>
      <c r="T45" s="18"/>
      <c r="U45" s="283">
        <f>+S45+T45</f>
        <v>-207177</v>
      </c>
      <c r="V45" s="52"/>
      <c r="W45" s="294">
        <v>-107410</v>
      </c>
      <c r="X45" s="294"/>
      <c r="Y45" s="283">
        <f t="shared" si="15"/>
        <v>-107410</v>
      </c>
      <c r="Z45" s="18"/>
      <c r="AA45" s="283">
        <f>+Y45+Z45</f>
        <v>-107410</v>
      </c>
    </row>
    <row r="46" spans="2:27" x14ac:dyDescent="0.25">
      <c r="B46" s="295" t="s">
        <v>139</v>
      </c>
      <c r="C46" s="56"/>
      <c r="D46" s="57"/>
      <c r="E46" s="296"/>
      <c r="F46" s="296"/>
      <c r="G46" s="296"/>
      <c r="H46" s="296"/>
      <c r="I46" s="296">
        <f>SUM(I42:I45)</f>
        <v>47991891.814851999</v>
      </c>
      <c r="J46" s="57"/>
      <c r="K46" s="296">
        <v>48541212</v>
      </c>
      <c r="L46" s="296">
        <v>20022317</v>
      </c>
      <c r="M46" s="296">
        <v>68563529</v>
      </c>
      <c r="N46" s="296">
        <v>2120374</v>
      </c>
      <c r="O46" s="296">
        <v>54757689.340000004</v>
      </c>
      <c r="Q46" s="296">
        <f>SUM(Q42:Q45)</f>
        <v>23394505.449999988</v>
      </c>
      <c r="R46" s="296">
        <f>SUM(R42:R45)</f>
        <v>12557763</v>
      </c>
      <c r="S46" s="296">
        <f>SUM(S42:S45)</f>
        <v>35952268.449999988</v>
      </c>
      <c r="T46" s="296">
        <f>SUM(T42:T45)</f>
        <v>-5827272.5</v>
      </c>
      <c r="U46" s="296">
        <f>SUM(U42:U45)</f>
        <v>30124995.949999988</v>
      </c>
      <c r="V46" s="58"/>
      <c r="W46" s="296">
        <f>SUM(W42:W45)</f>
        <v>14808512</v>
      </c>
      <c r="X46" s="296">
        <f>SUM(X42:X45)</f>
        <v>10678048</v>
      </c>
      <c r="Y46" s="296">
        <f>SUM(Y42:Y45)</f>
        <v>25010092</v>
      </c>
      <c r="Z46" s="296">
        <f>SUM(Z42:Z45)</f>
        <v>-7157121</v>
      </c>
      <c r="AA46" s="296">
        <f>SUM(AA42:AA45)</f>
        <v>17852971</v>
      </c>
    </row>
    <row r="47" spans="2:27" x14ac:dyDescent="0.25">
      <c r="B47" s="59"/>
      <c r="C47" s="50"/>
      <c r="D47" s="51"/>
      <c r="E47" s="283"/>
      <c r="F47" s="283"/>
      <c r="G47" s="18"/>
      <c r="H47" s="18"/>
      <c r="I47" s="18"/>
      <c r="J47" s="52"/>
      <c r="K47" s="283"/>
      <c r="L47" s="283"/>
      <c r="M47" s="18"/>
      <c r="N47" s="18"/>
      <c r="O47" s="18"/>
      <c r="Q47" s="283"/>
      <c r="R47" s="283"/>
      <c r="S47" s="18"/>
      <c r="T47" s="18"/>
      <c r="U47" s="18"/>
      <c r="W47" s="283"/>
      <c r="X47" s="283"/>
      <c r="Y47" s="18"/>
      <c r="Z47" s="18"/>
      <c r="AA47" s="18"/>
    </row>
    <row r="48" spans="2:27" x14ac:dyDescent="0.25">
      <c r="B48" s="289" t="s">
        <v>140</v>
      </c>
      <c r="D48" s="52"/>
      <c r="E48" s="283"/>
      <c r="F48" s="283"/>
      <c r="G48" s="18"/>
      <c r="H48" s="18"/>
      <c r="I48" s="18"/>
      <c r="J48" s="52"/>
      <c r="K48" s="283"/>
      <c r="L48" s="283"/>
      <c r="M48" s="18"/>
      <c r="N48" s="18"/>
      <c r="O48" s="18"/>
      <c r="Q48" s="283"/>
      <c r="R48" s="283"/>
      <c r="S48" s="18"/>
      <c r="T48" s="18"/>
      <c r="U48" s="18"/>
      <c r="W48" s="283"/>
      <c r="X48" s="283"/>
      <c r="Y48" s="18"/>
      <c r="Z48" s="18"/>
      <c r="AA48" s="18"/>
    </row>
    <row r="49" spans="2:27" ht="27.75" customHeight="1" x14ac:dyDescent="0.25">
      <c r="B49" s="30"/>
      <c r="C49" s="297" t="s">
        <v>141</v>
      </c>
      <c r="D49" s="298"/>
      <c r="E49" s="283"/>
      <c r="F49" s="283"/>
      <c r="G49" s="283">
        <f>+E49+F49</f>
        <v>0</v>
      </c>
      <c r="H49" s="18"/>
      <c r="I49" s="283">
        <f>+'Hoja de trabajo'!C7</f>
        <v>3358789</v>
      </c>
      <c r="J49" s="316"/>
      <c r="K49" s="283"/>
      <c r="L49" s="283"/>
      <c r="M49" s="283">
        <v>0</v>
      </c>
      <c r="N49" s="18"/>
      <c r="O49" s="283">
        <v>-965344.68000000017</v>
      </c>
      <c r="Q49" s="283">
        <v>251011</v>
      </c>
      <c r="R49" s="283"/>
      <c r="S49" s="283">
        <f t="shared" ref="S49:S57" si="16">+Q49+R49</f>
        <v>251011</v>
      </c>
      <c r="T49" s="18"/>
      <c r="U49" s="283">
        <f>+S49+T49</f>
        <v>251011</v>
      </c>
      <c r="W49" s="283">
        <v>-593863</v>
      </c>
      <c r="X49" s="283"/>
      <c r="Y49" s="283">
        <f t="shared" ref="Y49:Y55" si="17">+W49+X49</f>
        <v>-593863</v>
      </c>
      <c r="Z49" s="18"/>
      <c r="AA49" s="283">
        <f>+Y49+Z49</f>
        <v>-593863</v>
      </c>
    </row>
    <row r="50" spans="2:27" x14ac:dyDescent="0.25">
      <c r="B50" s="30"/>
      <c r="C50" s="299" t="s">
        <v>142</v>
      </c>
      <c r="D50" s="52"/>
      <c r="E50" s="283"/>
      <c r="F50" s="283"/>
      <c r="G50" s="283">
        <f t="shared" ref="G50:G57" si="18">+E50+F50</f>
        <v>0</v>
      </c>
      <c r="H50" s="18"/>
      <c r="I50" s="283">
        <f>+'Hoja de trabajo'!C6</f>
        <v>-3107992</v>
      </c>
      <c r="J50" s="52"/>
      <c r="K50" s="283"/>
      <c r="L50" s="283"/>
      <c r="M50" s="283">
        <v>0</v>
      </c>
      <c r="N50" s="18"/>
      <c r="O50" s="283">
        <v>266474</v>
      </c>
      <c r="Q50" s="283">
        <v>29809</v>
      </c>
      <c r="R50" s="283">
        <v>-205582</v>
      </c>
      <c r="S50" s="283">
        <f t="shared" si="16"/>
        <v>-175773</v>
      </c>
      <c r="T50" s="18"/>
      <c r="U50" s="283">
        <f>+S50+T50</f>
        <v>-175773</v>
      </c>
      <c r="W50" s="283">
        <v>5828169</v>
      </c>
      <c r="X50" s="283"/>
      <c r="Y50" s="283">
        <f t="shared" si="17"/>
        <v>5828169</v>
      </c>
      <c r="Z50" s="18"/>
      <c r="AA50" s="283">
        <f t="shared" ref="AA50:AA57" si="19">+Y50+Z50</f>
        <v>5828169</v>
      </c>
    </row>
    <row r="51" spans="2:27" x14ac:dyDescent="0.25">
      <c r="B51" s="30"/>
      <c r="C51" t="s">
        <v>143</v>
      </c>
      <c r="D51" s="52"/>
      <c r="E51" s="283"/>
      <c r="F51" s="283"/>
      <c r="G51" s="283">
        <f t="shared" si="18"/>
        <v>0</v>
      </c>
      <c r="H51" s="18"/>
      <c r="I51" s="283">
        <f>+'Hoja de trabajo'!C24</f>
        <v>-163132</v>
      </c>
      <c r="J51" s="52"/>
      <c r="K51" s="283"/>
      <c r="L51" s="283"/>
      <c r="M51" s="283"/>
      <c r="N51" s="18"/>
      <c r="O51" s="283">
        <v>-251355</v>
      </c>
      <c r="Q51" s="283"/>
      <c r="R51" s="283"/>
      <c r="S51" s="283"/>
      <c r="T51" s="18"/>
      <c r="U51" s="283"/>
      <c r="W51" s="283"/>
      <c r="X51" s="283"/>
      <c r="Y51" s="283"/>
      <c r="Z51" s="18"/>
      <c r="AA51" s="283"/>
    </row>
    <row r="52" spans="2:27" x14ac:dyDescent="0.25">
      <c r="B52" s="30"/>
      <c r="C52" s="300" t="s">
        <v>144</v>
      </c>
      <c r="D52" s="301"/>
      <c r="E52" s="283"/>
      <c r="F52" s="283"/>
      <c r="G52" s="283">
        <f t="shared" si="18"/>
        <v>0</v>
      </c>
      <c r="H52" s="18"/>
      <c r="I52" s="283">
        <f>+'Hoja de trabajo'!B51</f>
        <v>-2214500</v>
      </c>
      <c r="J52" s="317"/>
      <c r="K52" s="283"/>
      <c r="L52" s="283">
        <v>205582</v>
      </c>
      <c r="M52" s="283">
        <v>205582</v>
      </c>
      <c r="N52" s="18"/>
      <c r="O52" s="283">
        <v>-253825</v>
      </c>
      <c r="Q52" s="283"/>
      <c r="R52" s="283"/>
      <c r="S52" s="283">
        <f t="shared" si="16"/>
        <v>0</v>
      </c>
      <c r="T52" s="18"/>
      <c r="U52" s="283"/>
      <c r="W52" s="283">
        <v>0</v>
      </c>
      <c r="X52" s="283"/>
      <c r="Y52" s="283">
        <f t="shared" si="17"/>
        <v>0</v>
      </c>
      <c r="Z52" s="18"/>
      <c r="AA52" s="283"/>
    </row>
    <row r="53" spans="2:27" x14ac:dyDescent="0.25">
      <c r="B53" s="30"/>
      <c r="C53" t="s">
        <v>145</v>
      </c>
      <c r="D53" s="52"/>
      <c r="E53" s="283"/>
      <c r="F53" s="283"/>
      <c r="G53" s="283">
        <f t="shared" si="18"/>
        <v>0</v>
      </c>
      <c r="H53" s="18"/>
      <c r="I53" s="283">
        <f>+'Hoja de trabajo'!B39</f>
        <v>-3610086</v>
      </c>
      <c r="J53" s="52"/>
      <c r="K53" s="283"/>
      <c r="L53" s="283"/>
      <c r="M53" s="283">
        <v>0</v>
      </c>
      <c r="N53" s="18"/>
      <c r="O53" s="283">
        <v>0</v>
      </c>
      <c r="Q53" s="283">
        <v>1978971</v>
      </c>
      <c r="R53" s="283"/>
      <c r="S53" s="283">
        <f t="shared" si="16"/>
        <v>1978971</v>
      </c>
      <c r="T53" s="18"/>
      <c r="U53" s="283">
        <f>+S53+T53</f>
        <v>1978971</v>
      </c>
      <c r="W53" s="283">
        <v>-962949</v>
      </c>
      <c r="X53" s="283"/>
      <c r="Y53" s="283">
        <f t="shared" si="17"/>
        <v>-962949</v>
      </c>
      <c r="Z53" s="18"/>
      <c r="AA53" s="283">
        <f t="shared" si="19"/>
        <v>-962949</v>
      </c>
    </row>
    <row r="54" spans="2:27" x14ac:dyDescent="0.25">
      <c r="B54" s="30"/>
      <c r="C54" t="s">
        <v>146</v>
      </c>
      <c r="D54" s="52"/>
      <c r="E54" s="283"/>
      <c r="F54" s="283"/>
      <c r="G54" s="283">
        <f t="shared" si="18"/>
        <v>0</v>
      </c>
      <c r="H54" s="283"/>
      <c r="I54" s="283">
        <f>+'Hoja de trabajo'!B45</f>
        <v>-34164512.061452001</v>
      </c>
      <c r="J54" s="52"/>
      <c r="K54" s="283"/>
      <c r="L54" s="283">
        <v>-11702814</v>
      </c>
      <c r="M54" s="283">
        <v>-11702814</v>
      </c>
      <c r="N54" s="283"/>
      <c r="O54" s="283">
        <v>-17331131</v>
      </c>
      <c r="Q54" s="283">
        <v>-10976052</v>
      </c>
      <c r="R54" s="283">
        <v>-6427483</v>
      </c>
      <c r="S54" s="283">
        <f t="shared" si="16"/>
        <v>-17403535</v>
      </c>
      <c r="T54" s="283">
        <f>+[2]AD!J23</f>
        <v>5827272</v>
      </c>
      <c r="U54" s="283">
        <f>+S54+T54</f>
        <v>-11576263</v>
      </c>
      <c r="W54" s="283">
        <v>-13974701</v>
      </c>
      <c r="X54" s="283">
        <v>-7233185</v>
      </c>
      <c r="Y54" s="283">
        <f t="shared" si="17"/>
        <v>-21207886</v>
      </c>
      <c r="Z54" s="283">
        <f>+[2]AD!L23</f>
        <v>7144181</v>
      </c>
      <c r="AA54" s="283">
        <f t="shared" si="19"/>
        <v>-14063705</v>
      </c>
    </row>
    <row r="55" spans="2:27" hidden="1" x14ac:dyDescent="0.25">
      <c r="B55" s="30"/>
      <c r="C55" t="s">
        <v>147</v>
      </c>
      <c r="D55" s="52"/>
      <c r="E55" s="283"/>
      <c r="F55" s="283"/>
      <c r="G55" s="283">
        <f t="shared" si="18"/>
        <v>0</v>
      </c>
      <c r="H55" s="18"/>
      <c r="I55" s="283">
        <f t="shared" ref="I49:I57" si="20">+G55+H55</f>
        <v>0</v>
      </c>
      <c r="J55" s="52"/>
      <c r="K55" s="283"/>
      <c r="L55" s="283"/>
      <c r="M55" s="283">
        <v>0</v>
      </c>
      <c r="N55" s="18"/>
      <c r="O55" s="283">
        <v>0</v>
      </c>
      <c r="Q55" s="283"/>
      <c r="R55" s="283"/>
      <c r="S55" s="283">
        <f t="shared" si="16"/>
        <v>0</v>
      </c>
      <c r="T55" s="18"/>
      <c r="U55" s="283">
        <f>+S55+T55</f>
        <v>0</v>
      </c>
      <c r="W55" s="283">
        <v>0</v>
      </c>
      <c r="X55" s="283"/>
      <c r="Y55" s="283">
        <f t="shared" si="17"/>
        <v>0</v>
      </c>
      <c r="Z55" s="18"/>
      <c r="AA55" s="283">
        <f t="shared" si="19"/>
        <v>0</v>
      </c>
    </row>
    <row r="56" spans="2:27" hidden="1" x14ac:dyDescent="0.25">
      <c r="B56" s="30"/>
      <c r="C56" s="302" t="s">
        <v>148</v>
      </c>
      <c r="D56" s="52"/>
      <c r="E56" s="283"/>
      <c r="F56" s="283"/>
      <c r="G56" s="283">
        <f t="shared" si="18"/>
        <v>0</v>
      </c>
      <c r="H56" s="18"/>
      <c r="I56" s="283">
        <f t="shared" si="20"/>
        <v>0</v>
      </c>
      <c r="J56" s="52"/>
      <c r="K56" s="283"/>
      <c r="L56" s="283"/>
      <c r="M56" s="283"/>
      <c r="N56" s="18"/>
      <c r="O56" s="283">
        <v>0</v>
      </c>
      <c r="Q56" s="283"/>
      <c r="R56" s="283"/>
      <c r="S56" s="283"/>
      <c r="T56" s="18"/>
      <c r="U56" s="283">
        <f>+S56+T56</f>
        <v>0</v>
      </c>
      <c r="W56" s="283"/>
      <c r="X56" s="283"/>
      <c r="Y56" s="283"/>
      <c r="Z56" s="18"/>
      <c r="AA56" s="283">
        <f t="shared" si="19"/>
        <v>0</v>
      </c>
    </row>
    <row r="57" spans="2:27" x14ac:dyDescent="0.25">
      <c r="B57" s="30"/>
      <c r="C57" t="s">
        <v>149</v>
      </c>
      <c r="D57" s="52"/>
      <c r="E57" s="294"/>
      <c r="F57" s="294"/>
      <c r="G57" s="283">
        <f t="shared" si="18"/>
        <v>0</v>
      </c>
      <c r="H57" s="18"/>
      <c r="I57" s="283">
        <f>+'Hoja de trabajo'!B61</f>
        <v>761222</v>
      </c>
      <c r="J57" s="52"/>
      <c r="K57" s="294"/>
      <c r="L57" s="294">
        <v>-231006</v>
      </c>
      <c r="M57" s="283">
        <v>-231006</v>
      </c>
      <c r="N57" s="18"/>
      <c r="O57" s="283">
        <v>-2961541.5700000003</v>
      </c>
      <c r="Q57" s="294">
        <v>-4862718</v>
      </c>
      <c r="R57" s="294">
        <v>-15600</v>
      </c>
      <c r="S57" s="283">
        <f t="shared" si="16"/>
        <v>-4878318</v>
      </c>
      <c r="T57" s="18"/>
      <c r="U57" s="283">
        <f>+S57+T57</f>
        <v>-4878318</v>
      </c>
      <c r="W57" s="294">
        <v>-1204028</v>
      </c>
      <c r="X57" s="294">
        <v>-261435</v>
      </c>
      <c r="Y57" s="283">
        <f t="shared" ref="Y57" si="21">+W57+X57</f>
        <v>-1465463</v>
      </c>
      <c r="Z57" s="18"/>
      <c r="AA57" s="283">
        <f t="shared" si="19"/>
        <v>-1465463</v>
      </c>
    </row>
    <row r="58" spans="2:27" x14ac:dyDescent="0.25">
      <c r="B58" s="295" t="s">
        <v>150</v>
      </c>
      <c r="C58" s="56"/>
      <c r="D58" s="57"/>
      <c r="E58" s="296">
        <v>0</v>
      </c>
      <c r="F58" s="296">
        <v>-11728238</v>
      </c>
      <c r="G58" s="296">
        <v>-11728238</v>
      </c>
      <c r="H58" s="296">
        <v>0</v>
      </c>
      <c r="I58" s="296">
        <f>SUM(I49:I57)</f>
        <v>-39140211.061452001</v>
      </c>
      <c r="J58" s="57"/>
      <c r="K58" s="296">
        <v>0</v>
      </c>
      <c r="L58" s="296">
        <v>-11728238</v>
      </c>
      <c r="M58" s="296">
        <v>-11728238</v>
      </c>
      <c r="N58" s="296">
        <v>0</v>
      </c>
      <c r="O58" s="296">
        <v>-21496723.25</v>
      </c>
      <c r="Q58" s="296">
        <f>Q49+Q50+Q52+Q53+Q54+Q55+Q57</f>
        <v>-13578979</v>
      </c>
      <c r="R58" s="296">
        <f>SUM(R49:R57)</f>
        <v>-6648665</v>
      </c>
      <c r="S58" s="296">
        <f>SUM(S49:S57)</f>
        <v>-20227644</v>
      </c>
      <c r="T58" s="296">
        <f>SUM(T49:T57)</f>
        <v>5827272</v>
      </c>
      <c r="U58" s="296">
        <f>SUM(U49:U57)</f>
        <v>-14400372</v>
      </c>
      <c r="W58" s="296">
        <f>W49+W50+W52+W53+W54+W55+W57</f>
        <v>-10907372</v>
      </c>
      <c r="X58" s="296">
        <f>SUM(X49:X57)</f>
        <v>-7494620</v>
      </c>
      <c r="Y58" s="296">
        <f>SUM(Y49:Y57)</f>
        <v>-18401992</v>
      </c>
      <c r="Z58" s="296">
        <f>SUM(Z49:Z57)</f>
        <v>7144181</v>
      </c>
      <c r="AA58" s="296">
        <f>SUM(AA49:AA57)</f>
        <v>-11257811</v>
      </c>
    </row>
    <row r="59" spans="2:27" x14ac:dyDescent="0.25">
      <c r="B59" s="59"/>
      <c r="C59" s="50"/>
      <c r="D59" s="51"/>
      <c r="E59" s="283"/>
      <c r="F59" s="283"/>
      <c r="G59" s="18"/>
      <c r="H59" s="18"/>
      <c r="I59" s="18"/>
      <c r="J59" s="52"/>
      <c r="K59" s="283"/>
      <c r="L59" s="283"/>
      <c r="M59" s="18"/>
      <c r="N59" s="18"/>
      <c r="O59" s="18"/>
      <c r="Q59" s="283"/>
      <c r="R59" s="283"/>
      <c r="S59" s="18"/>
      <c r="T59" s="18"/>
      <c r="U59" s="18"/>
      <c r="W59" s="283"/>
      <c r="X59" s="283"/>
      <c r="Y59" s="18"/>
      <c r="Z59" s="18"/>
      <c r="AA59" s="18"/>
    </row>
    <row r="60" spans="2:27" x14ac:dyDescent="0.25">
      <c r="B60" s="289" t="s">
        <v>151</v>
      </c>
      <c r="D60" s="52"/>
      <c r="E60" s="283"/>
      <c r="F60" s="283"/>
      <c r="G60" s="18"/>
      <c r="H60" s="18"/>
      <c r="I60" s="18"/>
      <c r="J60" s="52"/>
      <c r="K60" s="283"/>
      <c r="L60" s="283"/>
      <c r="M60" s="18"/>
      <c r="N60" s="18"/>
      <c r="O60" s="18"/>
      <c r="Q60" s="283"/>
      <c r="R60" s="283"/>
      <c r="S60" s="283">
        <f t="shared" ref="S60:S68" si="22">+Q60+R60</f>
        <v>0</v>
      </c>
      <c r="T60" s="18"/>
      <c r="U60" s="18"/>
      <c r="W60" s="283"/>
      <c r="X60" s="283"/>
      <c r="Y60" s="18"/>
      <c r="Z60" s="18"/>
      <c r="AA60" s="18"/>
    </row>
    <row r="61" spans="2:27" hidden="1" x14ac:dyDescent="0.25">
      <c r="B61" s="30"/>
      <c r="C61" t="s">
        <v>444</v>
      </c>
      <c r="D61" s="52"/>
      <c r="E61" s="283">
        <v>0</v>
      </c>
      <c r="F61" s="283"/>
      <c r="G61" s="303">
        <v>0</v>
      </c>
      <c r="H61" s="18"/>
      <c r="I61" s="283">
        <v>0</v>
      </c>
      <c r="J61" s="52"/>
      <c r="K61" s="283">
        <v>0</v>
      </c>
      <c r="L61" s="283"/>
      <c r="M61" s="303">
        <v>0</v>
      </c>
      <c r="N61" s="18"/>
      <c r="O61" s="283">
        <v>0</v>
      </c>
      <c r="Q61" s="283">
        <v>0</v>
      </c>
      <c r="R61" s="283"/>
      <c r="S61" s="283">
        <f t="shared" si="22"/>
        <v>0</v>
      </c>
      <c r="T61" s="18"/>
      <c r="U61" s="283">
        <f t="shared" ref="U61:U68" si="23">+S61+T61</f>
        <v>0</v>
      </c>
      <c r="W61" s="283">
        <v>0</v>
      </c>
      <c r="X61" s="283"/>
      <c r="Y61" s="303">
        <f t="shared" ref="Y61:Y68" si="24">+W61+X61</f>
        <v>0</v>
      </c>
      <c r="Z61" s="18"/>
      <c r="AA61" s="283">
        <f t="shared" ref="AA61:AA68" si="25">+Y61+Z61</f>
        <v>0</v>
      </c>
    </row>
    <row r="62" spans="2:27" hidden="1" x14ac:dyDescent="0.25">
      <c r="B62" s="30"/>
      <c r="C62" t="s">
        <v>73</v>
      </c>
      <c r="D62" s="52"/>
      <c r="E62" s="283"/>
      <c r="F62" s="283"/>
      <c r="G62" s="283">
        <v>0</v>
      </c>
      <c r="H62" s="18"/>
      <c r="I62" s="283">
        <v>0</v>
      </c>
      <c r="J62" s="52"/>
      <c r="K62" s="283"/>
      <c r="L62" s="283"/>
      <c r="M62" s="283">
        <v>0</v>
      </c>
      <c r="N62" s="18"/>
      <c r="O62" s="283">
        <v>0</v>
      </c>
      <c r="Q62" s="283"/>
      <c r="R62" s="283"/>
      <c r="S62" s="283">
        <f t="shared" si="22"/>
        <v>0</v>
      </c>
      <c r="T62" s="18"/>
      <c r="U62" s="283">
        <f t="shared" si="23"/>
        <v>0</v>
      </c>
      <c r="W62" s="283"/>
      <c r="X62" s="283"/>
      <c r="Y62" s="283">
        <f t="shared" si="24"/>
        <v>0</v>
      </c>
      <c r="Z62" s="18"/>
      <c r="AA62" s="283">
        <f t="shared" si="25"/>
        <v>0</v>
      </c>
    </row>
    <row r="63" spans="2:27" hidden="1" x14ac:dyDescent="0.25">
      <c r="B63" s="30"/>
      <c r="C63" t="s">
        <v>445</v>
      </c>
      <c r="D63" s="52"/>
      <c r="E63" s="283"/>
      <c r="F63" s="283"/>
      <c r="G63" s="283">
        <v>0</v>
      </c>
      <c r="H63" s="18"/>
      <c r="I63" s="283">
        <v>0</v>
      </c>
      <c r="J63" s="52"/>
      <c r="K63" s="283"/>
      <c r="L63" s="283"/>
      <c r="M63" s="283">
        <v>0</v>
      </c>
      <c r="N63" s="18"/>
      <c r="O63" s="283">
        <v>0</v>
      </c>
      <c r="Q63" s="283"/>
      <c r="R63" s="283"/>
      <c r="S63" s="283">
        <f t="shared" si="22"/>
        <v>0</v>
      </c>
      <c r="T63" s="18"/>
      <c r="U63" s="283">
        <f t="shared" si="23"/>
        <v>0</v>
      </c>
      <c r="W63" s="283"/>
      <c r="X63" s="283"/>
      <c r="Y63" s="283">
        <f t="shared" si="24"/>
        <v>0</v>
      </c>
      <c r="Z63" s="18"/>
      <c r="AA63" s="283">
        <f t="shared" si="25"/>
        <v>0</v>
      </c>
    </row>
    <row r="64" spans="2:27" x14ac:dyDescent="0.25">
      <c r="B64" s="30"/>
      <c r="C64" t="s">
        <v>152</v>
      </c>
      <c r="D64" s="52"/>
      <c r="E64" s="283"/>
      <c r="F64" s="283"/>
      <c r="G64" s="283">
        <f t="shared" ref="G64:G67" si="26">+E64+F64</f>
        <v>0</v>
      </c>
      <c r="H64" s="18"/>
      <c r="I64" s="283">
        <f>+'Hoja de trabajo'!L5+'Hoja de trabajo'!L6+'Hoja de trabajo'!L19</f>
        <v>-1660559</v>
      </c>
      <c r="J64" s="52"/>
      <c r="K64" s="283"/>
      <c r="L64" s="283">
        <v>-1606362</v>
      </c>
      <c r="M64" s="283">
        <v>-1606362</v>
      </c>
      <c r="N64" s="18"/>
      <c r="O64" s="283">
        <v>-12414999</v>
      </c>
      <c r="Q64" s="283">
        <v>-7240853</v>
      </c>
      <c r="R64" s="283">
        <v>873161</v>
      </c>
      <c r="S64" s="283">
        <f t="shared" si="22"/>
        <v>-6367692</v>
      </c>
      <c r="T64" s="18"/>
      <c r="U64" s="283">
        <f t="shared" si="23"/>
        <v>-6367692</v>
      </c>
      <c r="W64" s="283">
        <v>-4709384</v>
      </c>
      <c r="X64" s="283">
        <v>-3372028</v>
      </c>
      <c r="Y64" s="283">
        <f t="shared" si="24"/>
        <v>-8081412</v>
      </c>
      <c r="Z64" s="18"/>
      <c r="AA64" s="283">
        <f t="shared" si="25"/>
        <v>-8081412</v>
      </c>
    </row>
    <row r="65" spans="1:27" hidden="1" x14ac:dyDescent="0.25">
      <c r="B65" s="30"/>
      <c r="C65" t="s">
        <v>153</v>
      </c>
      <c r="D65" s="52"/>
      <c r="E65" s="283"/>
      <c r="F65" s="283"/>
      <c r="G65" s="283">
        <f t="shared" si="26"/>
        <v>0</v>
      </c>
      <c r="H65" s="18"/>
      <c r="I65" s="283">
        <f t="shared" ref="I64:I67" si="27">+G65+H65</f>
        <v>0</v>
      </c>
      <c r="J65" s="52"/>
      <c r="K65" s="283"/>
      <c r="L65" s="283">
        <v>-715413</v>
      </c>
      <c r="M65" s="283">
        <v>-715413</v>
      </c>
      <c r="N65" s="18"/>
      <c r="O65" s="283">
        <v>0</v>
      </c>
      <c r="Q65" s="283"/>
      <c r="R65" s="283"/>
      <c r="S65" s="283"/>
      <c r="T65" s="18"/>
      <c r="U65" s="283"/>
      <c r="W65" s="283"/>
      <c r="X65" s="283"/>
      <c r="Y65" s="283"/>
      <c r="Z65" s="18"/>
      <c r="AA65" s="283"/>
    </row>
    <row r="66" spans="1:27" x14ac:dyDescent="0.25">
      <c r="B66" s="30"/>
      <c r="C66" t="s">
        <v>447</v>
      </c>
      <c r="D66" s="52"/>
      <c r="E66" s="283">
        <v>-1307540</v>
      </c>
      <c r="F66" s="283"/>
      <c r="G66" s="283">
        <f t="shared" si="26"/>
        <v>-1307540</v>
      </c>
      <c r="H66" s="18"/>
      <c r="I66" s="283">
        <f>+G66+H66+'Hoja de trabajo'!B94</f>
        <v>-1826770</v>
      </c>
      <c r="J66" s="52"/>
      <c r="K66" s="283">
        <v>-5488035</v>
      </c>
      <c r="L66" s="283">
        <v>-3373023</v>
      </c>
      <c r="M66" s="283">
        <v>-8861058</v>
      </c>
      <c r="N66" s="18"/>
      <c r="O66" s="283">
        <v>-8861058</v>
      </c>
      <c r="Q66" s="283"/>
      <c r="R66" s="283"/>
      <c r="S66" s="283"/>
      <c r="T66" s="18"/>
      <c r="U66" s="283"/>
      <c r="W66" s="283"/>
      <c r="X66" s="283"/>
      <c r="Y66" s="283"/>
      <c r="Z66" s="18"/>
      <c r="AA66" s="283"/>
    </row>
    <row r="67" spans="1:27" x14ac:dyDescent="0.25">
      <c r="B67" s="30"/>
      <c r="C67" t="s">
        <v>154</v>
      </c>
      <c r="D67" s="52"/>
      <c r="E67" s="283"/>
      <c r="F67" s="283"/>
      <c r="G67" s="283">
        <f t="shared" si="26"/>
        <v>0</v>
      </c>
      <c r="H67" s="18"/>
      <c r="I67" s="283">
        <f>+'Hoja de trabajo'!L7+'Hoja de trabajo'!L20</f>
        <v>11113051</v>
      </c>
      <c r="J67" s="52"/>
      <c r="K67" s="283"/>
      <c r="L67" s="283"/>
      <c r="M67" s="283">
        <v>0</v>
      </c>
      <c r="N67" s="18"/>
      <c r="O67" s="283">
        <v>-8550313</v>
      </c>
      <c r="Q67" s="283">
        <v>-7134782</v>
      </c>
      <c r="R67" s="283"/>
      <c r="S67" s="283">
        <f t="shared" si="22"/>
        <v>-7134782</v>
      </c>
      <c r="T67" s="18"/>
      <c r="U67" s="283">
        <f t="shared" si="23"/>
        <v>-7134782</v>
      </c>
      <c r="W67" s="283">
        <v>-8370991</v>
      </c>
      <c r="X67" s="283">
        <v>0</v>
      </c>
      <c r="Y67" s="283">
        <f t="shared" si="24"/>
        <v>-8370991</v>
      </c>
      <c r="Z67" s="18"/>
      <c r="AA67" s="283">
        <f t="shared" si="25"/>
        <v>-8370991</v>
      </c>
    </row>
    <row r="68" spans="1:27" hidden="1" x14ac:dyDescent="0.25">
      <c r="B68" s="30"/>
      <c r="C68" t="s">
        <v>155</v>
      </c>
      <c r="D68" s="52"/>
      <c r="E68" s="283"/>
      <c r="F68" s="283"/>
      <c r="G68" s="283">
        <v>0</v>
      </c>
      <c r="H68" s="18"/>
      <c r="I68" s="283">
        <v>0</v>
      </c>
      <c r="J68" s="52"/>
      <c r="K68" s="283"/>
      <c r="L68" s="283"/>
      <c r="M68" s="283">
        <v>0</v>
      </c>
      <c r="N68" s="18"/>
      <c r="O68" s="283">
        <v>0</v>
      </c>
      <c r="Q68" s="283"/>
      <c r="R68" s="304"/>
      <c r="S68" s="283">
        <f t="shared" si="22"/>
        <v>0</v>
      </c>
      <c r="T68" s="18"/>
      <c r="U68" s="283">
        <f t="shared" si="23"/>
        <v>0</v>
      </c>
      <c r="W68" s="283"/>
      <c r="X68" s="283"/>
      <c r="Y68" s="283">
        <f t="shared" si="24"/>
        <v>0</v>
      </c>
      <c r="Z68" s="18"/>
      <c r="AA68" s="283">
        <f t="shared" si="25"/>
        <v>0</v>
      </c>
    </row>
    <row r="69" spans="1:27" x14ac:dyDescent="0.25">
      <c r="B69" s="305" t="s">
        <v>156</v>
      </c>
      <c r="C69" s="56"/>
      <c r="D69" s="57"/>
      <c r="E69" s="296"/>
      <c r="F69" s="296"/>
      <c r="G69" s="296"/>
      <c r="H69" s="296"/>
      <c r="I69" s="296">
        <f>SUM(I61:I68)</f>
        <v>7625722</v>
      </c>
      <c r="J69" s="57"/>
      <c r="K69" s="296">
        <v>-5488035</v>
      </c>
      <c r="L69" s="296">
        <v>-5694798</v>
      </c>
      <c r="M69" s="296">
        <v>-11182833</v>
      </c>
      <c r="N69" s="296">
        <v>0</v>
      </c>
      <c r="O69" s="296">
        <v>-29826370</v>
      </c>
      <c r="Q69" s="296">
        <f>SUM(Q61:Q68)</f>
        <v>-14375635</v>
      </c>
      <c r="R69" s="296">
        <f>SUM(R61:R68)</f>
        <v>873161</v>
      </c>
      <c r="S69" s="296">
        <f>SUM(S61:S68)</f>
        <v>-13502474</v>
      </c>
      <c r="T69" s="296">
        <f>SUM(T61:T68)</f>
        <v>0</v>
      </c>
      <c r="U69" s="296">
        <f>SUM(U61:U68)</f>
        <v>-13502474</v>
      </c>
      <c r="W69" s="296">
        <f>SUM(W61:W68)</f>
        <v>-13080375</v>
      </c>
      <c r="X69" s="296">
        <f>SUM(X61:X68)</f>
        <v>-3372028</v>
      </c>
      <c r="Y69" s="296">
        <f>SUM(Y61:Y68)</f>
        <v>-16452403</v>
      </c>
      <c r="Z69" s="296">
        <f>SUM(Z61:Z68)</f>
        <v>0</v>
      </c>
      <c r="AA69" s="296">
        <f>SUM(AA61:AA68)</f>
        <v>-16452403</v>
      </c>
    </row>
    <row r="70" spans="1:27" x14ac:dyDescent="0.25">
      <c r="B70" s="306" t="s">
        <v>157</v>
      </c>
      <c r="C70" s="56"/>
      <c r="D70" s="57"/>
      <c r="E70" s="307"/>
      <c r="F70" s="307"/>
      <c r="G70" s="308"/>
      <c r="H70" s="308"/>
      <c r="I70" s="308">
        <f>+I69+I58+I46</f>
        <v>16477402.753399998</v>
      </c>
      <c r="J70" s="58"/>
      <c r="K70" s="307">
        <v>43053177</v>
      </c>
      <c r="L70" s="307">
        <v>2599281</v>
      </c>
      <c r="M70" s="308">
        <v>45652458</v>
      </c>
      <c r="N70" s="308">
        <v>2120374</v>
      </c>
      <c r="O70" s="308">
        <v>3434596.0900000036</v>
      </c>
      <c r="Q70" s="307">
        <f>+Q69+Q58+Q46</f>
        <v>-4560108.5500000119</v>
      </c>
      <c r="R70" s="307">
        <f>+R69+R58+R46</f>
        <v>6782259</v>
      </c>
      <c r="S70" s="308">
        <f>+S69+S58+S46</f>
        <v>2222150.4499999881</v>
      </c>
      <c r="T70" s="309">
        <f>+T69+T58+T46</f>
        <v>-0.5</v>
      </c>
      <c r="U70" s="308">
        <f>+U69+U58+U46</f>
        <v>2222149.9499999881</v>
      </c>
      <c r="W70" s="307">
        <f>+W69+W58+W46</f>
        <v>-9179235</v>
      </c>
      <c r="X70" s="307">
        <f>+X69+X58+X46</f>
        <v>-188600</v>
      </c>
      <c r="Y70" s="308">
        <f>+Y69+Y58+Y46</f>
        <v>-9844303</v>
      </c>
      <c r="Z70" s="308">
        <f>+Z69+Z58+Z46</f>
        <v>-12940</v>
      </c>
      <c r="AA70" s="308">
        <f>+AA69+AA58+AA46</f>
        <v>-9857243</v>
      </c>
    </row>
    <row r="71" spans="1:27" x14ac:dyDescent="0.25">
      <c r="Q71" s="280"/>
      <c r="R71" s="280"/>
      <c r="S71" s="310">
        <f>+R70+Q70-S70</f>
        <v>0</v>
      </c>
    </row>
    <row r="72" spans="1:27" x14ac:dyDescent="0.25">
      <c r="A72" s="30"/>
      <c r="B72" s="59" t="s">
        <v>158</v>
      </c>
      <c r="C72" s="50"/>
      <c r="D72" s="50"/>
      <c r="E72" s="282"/>
      <c r="F72" s="282"/>
      <c r="G72" s="282">
        <f t="shared" ref="G72:G73" si="28">+E72+F72</f>
        <v>0</v>
      </c>
      <c r="H72" s="17"/>
      <c r="I72" s="311">
        <f>+I70</f>
        <v>16477402.753399998</v>
      </c>
      <c r="J72" s="50"/>
      <c r="K72" s="282">
        <v>43053177</v>
      </c>
      <c r="L72" s="282">
        <v>-188600</v>
      </c>
      <c r="M72" s="282">
        <v>42864577</v>
      </c>
      <c r="N72" s="17"/>
      <c r="O72" s="311">
        <v>3434596.0900000036</v>
      </c>
      <c r="Q72" s="282">
        <f>+Q70</f>
        <v>-4560108.5500000119</v>
      </c>
      <c r="R72" s="282">
        <f>+R70</f>
        <v>6782259</v>
      </c>
      <c r="S72" s="282">
        <f t="shared" ref="S72:S73" si="29">+Q72+R72</f>
        <v>2222150.4499999881</v>
      </c>
      <c r="T72" s="17"/>
      <c r="U72" s="311">
        <f>+S72+T72</f>
        <v>2222150.4499999881</v>
      </c>
      <c r="V72" s="50"/>
      <c r="W72" s="282">
        <f>+W70</f>
        <v>-9179235</v>
      </c>
      <c r="X72" s="282">
        <v>-188600</v>
      </c>
      <c r="Y72" s="282">
        <f t="shared" ref="Y72:Y73" si="30">+W72+X72</f>
        <v>-9367835</v>
      </c>
      <c r="Z72" s="17"/>
      <c r="AA72" s="311">
        <f>+Y72+Z72</f>
        <v>-9367835</v>
      </c>
    </row>
    <row r="73" spans="1:27" x14ac:dyDescent="0.25">
      <c r="A73" s="30"/>
      <c r="B73" s="30" t="s">
        <v>159</v>
      </c>
      <c r="E73" s="283"/>
      <c r="F73" s="283"/>
      <c r="G73" s="283">
        <f t="shared" si="28"/>
        <v>0</v>
      </c>
      <c r="H73" s="18"/>
      <c r="I73" s="303">
        <f>+O74</f>
        <v>7588800.0900000036</v>
      </c>
      <c r="K73" s="283">
        <v>-3213378.5500000119</v>
      </c>
      <c r="L73" s="283">
        <v>7367583</v>
      </c>
      <c r="M73" s="283">
        <v>4154204.4499999881</v>
      </c>
      <c r="N73" s="18"/>
      <c r="O73" s="303">
        <v>4154204</v>
      </c>
      <c r="Q73" s="283">
        <v>1346730</v>
      </c>
      <c r="R73" s="283">
        <v>585324</v>
      </c>
      <c r="S73" s="283">
        <f t="shared" si="29"/>
        <v>1932054</v>
      </c>
      <c r="T73" s="18"/>
      <c r="U73" s="303">
        <f>+S73</f>
        <v>1932054</v>
      </c>
      <c r="W73" s="283">
        <v>10525965</v>
      </c>
      <c r="X73" s="283">
        <v>773924</v>
      </c>
      <c r="Y73" s="283">
        <f t="shared" si="30"/>
        <v>11299889</v>
      </c>
      <c r="Z73" s="18"/>
      <c r="AA73" s="303">
        <f>+Y73</f>
        <v>11299889</v>
      </c>
    </row>
    <row r="74" spans="1:27" x14ac:dyDescent="0.25">
      <c r="A74" s="30"/>
      <c r="B74" s="312" t="s">
        <v>160</v>
      </c>
      <c r="C74" s="36"/>
      <c r="D74" s="36"/>
      <c r="E74" s="296"/>
      <c r="F74" s="296"/>
      <c r="G74" s="296"/>
      <c r="H74" s="296">
        <v>0</v>
      </c>
      <c r="I74" s="296">
        <f>SUM(I72:I73)</f>
        <v>24066202.843400002</v>
      </c>
      <c r="J74" s="36"/>
      <c r="K74" s="296">
        <v>39839798.449999988</v>
      </c>
      <c r="L74" s="296">
        <v>7178983</v>
      </c>
      <c r="M74" s="296">
        <v>47018781.449999988</v>
      </c>
      <c r="N74" s="296">
        <v>0</v>
      </c>
      <c r="O74" s="296">
        <v>7588800.0900000036</v>
      </c>
      <c r="Q74" s="296">
        <f>Q72+Q73</f>
        <v>-3213378.5500000119</v>
      </c>
      <c r="R74" s="296">
        <f>R72+R73</f>
        <v>7367583</v>
      </c>
      <c r="S74" s="296">
        <f>+S72+S73</f>
        <v>4154204.4499999881</v>
      </c>
      <c r="T74" s="296">
        <f>+T72+T73</f>
        <v>0</v>
      </c>
      <c r="U74" s="296">
        <f>+U72+U73</f>
        <v>4154204.4499999881</v>
      </c>
      <c r="V74" s="36"/>
      <c r="W74" s="296">
        <f>W72+W73</f>
        <v>1346730</v>
      </c>
      <c r="X74" s="296">
        <f>X72+X73</f>
        <v>585324</v>
      </c>
      <c r="Y74" s="296">
        <f>+Y72+Y73</f>
        <v>1932054</v>
      </c>
      <c r="Z74" s="296">
        <f>+Z72+Z73</f>
        <v>0</v>
      </c>
      <c r="AA74" s="296">
        <f>+AA72+AA73</f>
        <v>1932054</v>
      </c>
    </row>
    <row r="75" spans="1:27" x14ac:dyDescent="0.25">
      <c r="I75" s="321">
        <f>+I74-'BG '!I8</f>
        <v>954635.84340000153</v>
      </c>
      <c r="O75" s="313">
        <f>+'[2]Hoja de trabajo'!B5-'[2]Hoja de trabajo'!K5-O74</f>
        <v>-9.0000003576278687E-2</v>
      </c>
      <c r="Q75" s="280"/>
      <c r="R75" s="280"/>
    </row>
    <row r="76" spans="1:27" x14ac:dyDescent="0.25">
      <c r="I76" s="310"/>
      <c r="O76" s="310"/>
      <c r="Q76" s="280"/>
      <c r="R76" s="280"/>
    </row>
    <row r="77" spans="1:27" x14ac:dyDescent="0.25">
      <c r="E77" s="314"/>
      <c r="F77" s="314"/>
      <c r="G77" s="314"/>
      <c r="H77" s="314"/>
      <c r="I77" s="314"/>
      <c r="K77" s="314"/>
      <c r="L77" s="314"/>
      <c r="M77" s="314"/>
      <c r="N77" s="314"/>
      <c r="O77" s="314"/>
      <c r="Q77" s="280"/>
      <c r="R77" s="280"/>
      <c r="W77" s="314"/>
      <c r="X77" s="314"/>
      <c r="Y77" s="314"/>
      <c r="Z77" s="314"/>
      <c r="AA77" s="314"/>
    </row>
    <row r="78" spans="1:27" x14ac:dyDescent="0.25">
      <c r="E78" s="314"/>
      <c r="F78"/>
      <c r="I78" s="310"/>
      <c r="K78" s="314"/>
      <c r="L78"/>
      <c r="O78" s="310"/>
      <c r="Q78" s="315" t="s">
        <v>78</v>
      </c>
      <c r="R78" s="50"/>
      <c r="S78" s="50"/>
      <c r="W78" s="314"/>
      <c r="X78"/>
    </row>
    <row r="79" spans="1:27" x14ac:dyDescent="0.25">
      <c r="E79" s="314"/>
      <c r="F79"/>
      <c r="K79" s="314"/>
      <c r="L79"/>
      <c r="Q79" s="280" t="s">
        <v>79</v>
      </c>
      <c r="W79" s="314"/>
      <c r="X79"/>
    </row>
  </sheetData>
  <mergeCells count="4">
    <mergeCell ref="B9:D9"/>
    <mergeCell ref="C14:D14"/>
    <mergeCell ref="C49:D49"/>
    <mergeCell ref="C52:D52"/>
  </mergeCells>
  <pageMargins left="0.7" right="0.7" top="0.75" bottom="0.75" header="0.51180555555555496" footer="0.51180555555555496"/>
  <pageSetup scale="50" firstPageNumber="0" orientation="landscape"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AMJ116"/>
  <sheetViews>
    <sheetView topLeftCell="A16" zoomScaleNormal="100" workbookViewId="0">
      <selection activeCell="B45" sqref="B45"/>
    </sheetView>
  </sheetViews>
  <sheetFormatPr defaultColWidth="11.42578125" defaultRowHeight="15" x14ac:dyDescent="0.25"/>
  <cols>
    <col min="1" max="1" width="38.85546875" style="66" customWidth="1"/>
    <col min="2" max="2" width="12" style="67" customWidth="1"/>
    <col min="3" max="3" width="11.5703125" style="66" customWidth="1"/>
    <col min="4" max="4" width="11.7109375" style="66" customWidth="1"/>
    <col min="5" max="5" width="11.5703125" style="68" hidden="1" customWidth="1"/>
    <col min="6" max="6" width="11.7109375" style="66" hidden="1" customWidth="1"/>
    <col min="7" max="7" width="11" style="68" hidden="1" customWidth="1"/>
    <col min="8" max="8" width="11.7109375" style="66" hidden="1" customWidth="1"/>
    <col min="9" max="9" width="1.7109375" style="66" customWidth="1"/>
    <col min="10" max="10" width="41.5703125" style="66" customWidth="1"/>
    <col min="11" max="11" width="13.42578125" style="67" bestFit="1" customWidth="1"/>
    <col min="12" max="13" width="11.7109375" style="66" customWidth="1"/>
    <col min="14" max="14" width="10.5703125" style="68" hidden="1" customWidth="1"/>
    <col min="15" max="15" width="11.7109375" style="66" hidden="1" customWidth="1"/>
    <col min="16" max="16" width="10.5703125" style="68" hidden="1" customWidth="1"/>
    <col min="17" max="17" width="12" style="66" hidden="1" customWidth="1"/>
    <col min="18" max="18" width="11.5703125" style="69" hidden="1" customWidth="1"/>
    <col min="19" max="19" width="11.42578125" style="66"/>
    <col min="20" max="20" width="13.28515625" style="66" customWidth="1"/>
    <col min="21" max="1024" width="11.42578125" style="66"/>
  </cols>
  <sheetData>
    <row r="1" spans="1:21" s="66" customFormat="1" ht="9" customHeight="1" x14ac:dyDescent="0.2">
      <c r="A1" s="70"/>
      <c r="C1" s="70"/>
      <c r="D1" s="70"/>
      <c r="E1" s="71"/>
      <c r="F1" s="72"/>
      <c r="G1" s="71"/>
      <c r="H1" s="70"/>
      <c r="I1" s="72"/>
      <c r="J1" s="70"/>
      <c r="L1" s="70"/>
      <c r="M1" s="70"/>
      <c r="N1" s="71"/>
      <c r="O1" s="72"/>
      <c r="P1" s="71"/>
      <c r="Q1" s="73"/>
      <c r="R1" s="69"/>
    </row>
    <row r="2" spans="1:21" ht="12" customHeight="1" x14ac:dyDescent="0.25">
      <c r="A2" s="72" t="s">
        <v>161</v>
      </c>
      <c r="B2" s="78">
        <v>2020</v>
      </c>
      <c r="C2" s="74"/>
      <c r="D2" s="74">
        <v>2019</v>
      </c>
      <c r="E2" s="75"/>
      <c r="F2" s="74">
        <v>2017</v>
      </c>
      <c r="G2" s="76"/>
      <c r="H2" s="72">
        <v>2016</v>
      </c>
      <c r="I2" s="77"/>
      <c r="J2" s="72" t="s">
        <v>162</v>
      </c>
      <c r="K2" s="78">
        <v>2020</v>
      </c>
      <c r="L2" s="74"/>
      <c r="M2" s="74">
        <v>2019</v>
      </c>
      <c r="N2" s="75"/>
      <c r="O2" s="74">
        <v>2017</v>
      </c>
      <c r="P2" s="76"/>
      <c r="Q2" s="77">
        <v>2016</v>
      </c>
      <c r="S2" s="79"/>
      <c r="T2" s="80"/>
      <c r="U2" s="80"/>
    </row>
    <row r="3" spans="1:21" ht="12" customHeight="1" x14ac:dyDescent="0.25">
      <c r="A3" s="70"/>
      <c r="B3" s="81"/>
      <c r="C3" s="82"/>
      <c r="D3" s="82"/>
      <c r="E3" s="83"/>
      <c r="F3" s="84"/>
      <c r="G3" s="71"/>
      <c r="H3" s="70"/>
      <c r="I3" s="72"/>
      <c r="J3" s="70"/>
      <c r="K3" s="85"/>
      <c r="L3" s="86"/>
      <c r="M3" s="87"/>
      <c r="N3" s="83"/>
      <c r="O3" s="82"/>
      <c r="P3" s="71"/>
      <c r="Q3" s="70"/>
    </row>
    <row r="4" spans="1:21" ht="12" customHeight="1" x14ac:dyDescent="0.25">
      <c r="A4" s="88" t="s">
        <v>163</v>
      </c>
      <c r="B4" s="81"/>
      <c r="C4" s="89"/>
      <c r="D4" s="89"/>
      <c r="E4" s="83"/>
      <c r="F4" s="84"/>
      <c r="G4" s="71"/>
      <c r="H4" s="88"/>
      <c r="I4" s="72"/>
      <c r="J4" s="90" t="s">
        <v>164</v>
      </c>
      <c r="K4" s="91"/>
      <c r="L4" s="92"/>
      <c r="M4" s="93"/>
      <c r="N4" s="83"/>
      <c r="O4" s="94"/>
      <c r="P4" s="71"/>
      <c r="Q4" s="95"/>
    </row>
    <row r="5" spans="1:21" ht="12" customHeight="1" x14ac:dyDescent="0.25">
      <c r="A5" s="96" t="s">
        <v>165</v>
      </c>
      <c r="B5" s="97">
        <f>+'BG '!I8</f>
        <v>23111567</v>
      </c>
      <c r="C5" s="98">
        <f t="shared" ref="C5:C15" si="0">+D5-B5</f>
        <v>-15471991</v>
      </c>
      <c r="D5" s="97">
        <f>+'BG '!O8</f>
        <v>7639576</v>
      </c>
      <c r="E5" s="98">
        <f t="shared" ref="E5:E13" si="1">+F5-D5</f>
        <v>-5897014</v>
      </c>
      <c r="F5" s="99">
        <f>'[1]Planilla Final 2017'!R5</f>
        <v>1742562</v>
      </c>
      <c r="G5" s="100">
        <f t="shared" ref="G5:G13" si="2">F5-H5</f>
        <v>-9053595</v>
      </c>
      <c r="H5" s="101">
        <v>10796157</v>
      </c>
      <c r="I5" s="72"/>
      <c r="J5" s="96" t="s">
        <v>166</v>
      </c>
      <c r="K5" s="102">
        <f>+'BG '!I39</f>
        <v>1479636</v>
      </c>
      <c r="L5" s="98">
        <f t="shared" ref="L5:L14" si="3">+K5-M5</f>
        <v>1428860</v>
      </c>
      <c r="M5" s="102">
        <f>+'BG '!O39</f>
        <v>50776</v>
      </c>
      <c r="N5" s="98">
        <f t="shared" ref="N5:N12" si="4">+M5-O5</f>
        <v>-209626</v>
      </c>
      <c r="O5" s="103">
        <f>'[1]Planilla Final 2017'!R24</f>
        <v>260402</v>
      </c>
      <c r="P5" s="100">
        <f t="shared" ref="P5:P12" si="5">+O5-Q5</f>
        <v>61512</v>
      </c>
      <c r="Q5" s="104">
        <v>198890</v>
      </c>
      <c r="R5" s="105">
        <f>+D5-M5</f>
        <v>7588800</v>
      </c>
      <c r="S5" s="106"/>
      <c r="T5" s="107"/>
      <c r="U5" s="107"/>
    </row>
    <row r="6" spans="1:21" ht="12" customHeight="1" x14ac:dyDescent="0.25">
      <c r="A6" s="96" t="s">
        <v>167</v>
      </c>
      <c r="B6" s="97">
        <f>+'BG '!I9</f>
        <v>3119911</v>
      </c>
      <c r="C6" s="98">
        <f t="shared" si="0"/>
        <v>-3107992</v>
      </c>
      <c r="D6" s="97">
        <f>+'BG '!O9</f>
        <v>11919</v>
      </c>
      <c r="E6" s="98">
        <f t="shared" si="1"/>
        <v>90701</v>
      </c>
      <c r="F6" s="99">
        <f>'[1]Planilla Final 2017'!R7</f>
        <v>102620</v>
      </c>
      <c r="G6" s="100">
        <f t="shared" si="2"/>
        <v>-5828169</v>
      </c>
      <c r="H6" s="101">
        <v>5930789</v>
      </c>
      <c r="I6" s="70"/>
      <c r="J6" s="96" t="s">
        <v>168</v>
      </c>
      <c r="K6" s="102">
        <f>+'BG '!I40</f>
        <v>2936628</v>
      </c>
      <c r="L6" s="98">
        <f t="shared" si="3"/>
        <v>-2171744</v>
      </c>
      <c r="M6" s="102">
        <f>+'BG '!O40</f>
        <v>5108372</v>
      </c>
      <c r="N6" s="98">
        <f t="shared" si="4"/>
        <v>-8305303</v>
      </c>
      <c r="O6" s="108">
        <f>'[1]Planilla Final 2017'!R25</f>
        <v>13413675</v>
      </c>
      <c r="P6" s="100">
        <f t="shared" si="5"/>
        <v>-4986126</v>
      </c>
      <c r="Q6" s="95">
        <f>31524342-198890-12925651</f>
        <v>18399801</v>
      </c>
      <c r="S6" s="109"/>
      <c r="T6" s="107"/>
      <c r="U6" s="107"/>
    </row>
    <row r="7" spans="1:21" ht="12" customHeight="1" x14ac:dyDescent="0.25">
      <c r="A7" s="96" t="s">
        <v>25</v>
      </c>
      <c r="B7" s="97">
        <f>+'BG '!I10</f>
        <v>0</v>
      </c>
      <c r="C7" s="98">
        <f t="shared" si="0"/>
        <v>3358789</v>
      </c>
      <c r="D7" s="97">
        <f>+'BG '!O10</f>
        <v>3358789</v>
      </c>
      <c r="E7" s="98">
        <f t="shared" si="1"/>
        <v>-714334</v>
      </c>
      <c r="F7" s="99">
        <f>'[1]Planilla Final 2017'!R6</f>
        <v>2644455</v>
      </c>
      <c r="G7" s="100">
        <f t="shared" si="2"/>
        <v>593863</v>
      </c>
      <c r="H7" s="101">
        <v>2050592</v>
      </c>
      <c r="I7" s="72"/>
      <c r="J7" s="96" t="s">
        <v>169</v>
      </c>
      <c r="K7" s="102">
        <f>+'BG '!I41</f>
        <v>6939887</v>
      </c>
      <c r="L7" s="98">
        <f t="shared" si="3"/>
        <v>4455156</v>
      </c>
      <c r="M7" s="102">
        <f>+'BG '!O41</f>
        <v>2484731</v>
      </c>
      <c r="N7" s="98">
        <f t="shared" si="4"/>
        <v>-8974579</v>
      </c>
      <c r="O7" s="108">
        <f>'[1]Planilla Final 2017'!R26</f>
        <v>11459310</v>
      </c>
      <c r="P7" s="100">
        <f t="shared" si="5"/>
        <v>-1466341</v>
      </c>
      <c r="Q7" s="95">
        <v>12925651</v>
      </c>
      <c r="S7" s="109"/>
      <c r="T7" s="107"/>
      <c r="U7" s="107"/>
    </row>
    <row r="8" spans="1:21" ht="12" customHeight="1" x14ac:dyDescent="0.25">
      <c r="A8" s="96" t="s">
        <v>170</v>
      </c>
      <c r="B8" s="97">
        <f>+'BG '!I12</f>
        <v>22892112</v>
      </c>
      <c r="C8" s="98">
        <f t="shared" si="0"/>
        <v>-10279166</v>
      </c>
      <c r="D8" s="97">
        <f>+'BG '!O12</f>
        <v>12612946</v>
      </c>
      <c r="E8" s="98">
        <f t="shared" si="1"/>
        <v>2950458</v>
      </c>
      <c r="F8" s="99">
        <f>'[1]Planilla Final 2017'!R8</f>
        <v>15563404</v>
      </c>
      <c r="G8" s="100">
        <f t="shared" si="2"/>
        <v>1100909</v>
      </c>
      <c r="H8" s="101">
        <v>14462495</v>
      </c>
      <c r="I8" s="72"/>
      <c r="J8" s="96" t="s">
        <v>171</v>
      </c>
      <c r="K8" s="102">
        <f>+'BG '!I43</f>
        <v>29252162</v>
      </c>
      <c r="L8" s="98">
        <f t="shared" si="3"/>
        <v>6180016</v>
      </c>
      <c r="M8" s="102">
        <f>+'BG '!O43</f>
        <v>23072146</v>
      </c>
      <c r="N8" s="98">
        <f t="shared" si="4"/>
        <v>2636101</v>
      </c>
      <c r="O8" s="108">
        <f>'[1]Planilla Final 2017'!R27</f>
        <v>20436045</v>
      </c>
      <c r="P8" s="100">
        <f t="shared" si="5"/>
        <v>1910661</v>
      </c>
      <c r="Q8" s="95">
        <v>18525384</v>
      </c>
      <c r="S8" s="109"/>
      <c r="T8" s="107"/>
      <c r="U8" s="107"/>
    </row>
    <row r="9" spans="1:21" ht="12" customHeight="1" x14ac:dyDescent="0.25">
      <c r="A9" s="96" t="s">
        <v>172</v>
      </c>
      <c r="B9" s="97">
        <f>+'BG '!I13</f>
        <v>13871709</v>
      </c>
      <c r="C9" s="98">
        <f t="shared" si="0"/>
        <v>12748395</v>
      </c>
      <c r="D9" s="97">
        <f>+'BG '!O13</f>
        <v>26620104</v>
      </c>
      <c r="E9" s="98">
        <f t="shared" si="1"/>
        <v>-1545107</v>
      </c>
      <c r="F9" s="99">
        <f>'[1]Planilla Final 2017'!R9</f>
        <v>25074997</v>
      </c>
      <c r="G9" s="100">
        <f t="shared" si="2"/>
        <v>11254398</v>
      </c>
      <c r="H9" s="101">
        <v>13820599</v>
      </c>
      <c r="I9" s="72"/>
      <c r="J9" s="96" t="s">
        <v>173</v>
      </c>
      <c r="K9" s="102">
        <f>+'BG '!I44</f>
        <v>922234</v>
      </c>
      <c r="L9" s="98">
        <f t="shared" si="3"/>
        <v>-3997240</v>
      </c>
      <c r="M9" s="102">
        <f>+'BG '!O44</f>
        <v>4919474</v>
      </c>
      <c r="N9" s="98">
        <f t="shared" si="4"/>
        <v>3005845</v>
      </c>
      <c r="O9" s="108">
        <f>'[1]Planilla Final 2017'!R28</f>
        <v>1913629</v>
      </c>
      <c r="P9" s="100">
        <f t="shared" si="5"/>
        <v>1651239</v>
      </c>
      <c r="Q9" s="95">
        <v>262390</v>
      </c>
      <c r="T9" s="107"/>
      <c r="U9" s="107"/>
    </row>
    <row r="10" spans="1:21" ht="12" customHeight="1" x14ac:dyDescent="0.25">
      <c r="A10" s="96" t="s">
        <v>30</v>
      </c>
      <c r="B10" s="97">
        <f>+'BG '!I15</f>
        <v>7057883</v>
      </c>
      <c r="C10" s="98">
        <f t="shared" si="0"/>
        <v>-5084041</v>
      </c>
      <c r="D10" s="97">
        <f>+'BG '!O15</f>
        <v>1973842</v>
      </c>
      <c r="E10" s="98">
        <f t="shared" si="1"/>
        <v>-849063</v>
      </c>
      <c r="F10" s="99">
        <f>'[1]Planilla Final 2017'!R11</f>
        <v>1124779</v>
      </c>
      <c r="G10" s="100">
        <f t="shared" si="2"/>
        <v>-685042</v>
      </c>
      <c r="H10" s="101">
        <v>1809821</v>
      </c>
      <c r="I10" s="72"/>
      <c r="J10" s="96" t="s">
        <v>174</v>
      </c>
      <c r="K10" s="102">
        <f>+'BG '!I46</f>
        <v>14847746</v>
      </c>
      <c r="L10" s="98">
        <f t="shared" si="3"/>
        <v>5926500</v>
      </c>
      <c r="M10" s="102">
        <f>+'BG '!O46</f>
        <v>8921246</v>
      </c>
      <c r="N10" s="98">
        <f t="shared" si="4"/>
        <v>4646339</v>
      </c>
      <c r="O10" s="108">
        <f>'[1]Planilla Final 2017'!R29</f>
        <v>4274907</v>
      </c>
      <c r="P10" s="100">
        <f t="shared" si="5"/>
        <v>130512</v>
      </c>
      <c r="Q10" s="95">
        <v>4144395</v>
      </c>
      <c r="T10" s="107"/>
      <c r="U10" s="107"/>
    </row>
    <row r="11" spans="1:21" ht="12" customHeight="1" x14ac:dyDescent="0.25">
      <c r="A11" s="96" t="s">
        <v>38</v>
      </c>
      <c r="B11" s="97">
        <f>+'BG '!I14</f>
        <v>6686510</v>
      </c>
      <c r="C11" s="98">
        <f t="shared" si="0"/>
        <v>11370538</v>
      </c>
      <c r="D11" s="97">
        <f>+'BG '!O14</f>
        <v>18057048</v>
      </c>
      <c r="E11" s="98">
        <f t="shared" si="1"/>
        <v>-12518600</v>
      </c>
      <c r="F11" s="99">
        <f>'[1]Planilla Final 2017'!R10</f>
        <v>5538448</v>
      </c>
      <c r="G11" s="100">
        <f t="shared" si="2"/>
        <v>2963608</v>
      </c>
      <c r="H11" s="101">
        <v>2574840</v>
      </c>
      <c r="I11" s="72"/>
      <c r="J11" s="96" t="s">
        <v>131</v>
      </c>
      <c r="K11" s="102">
        <f>+'BG '!I47</f>
        <v>7311678</v>
      </c>
      <c r="L11" s="98">
        <f t="shared" si="3"/>
        <v>3437587</v>
      </c>
      <c r="M11" s="102">
        <f>+'BG '!O47</f>
        <v>3874091</v>
      </c>
      <c r="N11" s="98">
        <f t="shared" si="4"/>
        <v>185723</v>
      </c>
      <c r="O11" s="108">
        <f>'[1]Planilla Final 2017'!R30</f>
        <v>3688368</v>
      </c>
      <c r="P11" s="100">
        <f t="shared" si="5"/>
        <v>-31613</v>
      </c>
      <c r="Q11" s="95">
        <f>783153+2936828</f>
        <v>3719981</v>
      </c>
      <c r="T11" s="107"/>
      <c r="U11" s="107"/>
    </row>
    <row r="12" spans="1:21" ht="12" customHeight="1" x14ac:dyDescent="0.25">
      <c r="A12" s="96" t="s">
        <v>31</v>
      </c>
      <c r="B12" s="97">
        <f>+'BG '!I16</f>
        <v>6241240</v>
      </c>
      <c r="C12" s="98">
        <f t="shared" si="0"/>
        <v>-5493976</v>
      </c>
      <c r="D12" s="97">
        <f>+'BG '!O16</f>
        <v>747264</v>
      </c>
      <c r="E12" s="98">
        <f t="shared" si="1"/>
        <v>-105080</v>
      </c>
      <c r="F12" s="99">
        <f>'[1]Planilla Final 2017'!R12</f>
        <v>642184</v>
      </c>
      <c r="G12" s="100">
        <f t="shared" si="2"/>
        <v>-1728719</v>
      </c>
      <c r="H12" s="101">
        <v>2370903</v>
      </c>
      <c r="I12" s="70"/>
      <c r="J12" s="96" t="s">
        <v>59</v>
      </c>
      <c r="K12" s="102">
        <f>+'BG '!I48</f>
        <v>5255127</v>
      </c>
      <c r="L12" s="98">
        <f t="shared" si="3"/>
        <v>3821283</v>
      </c>
      <c r="M12" s="102">
        <f>+'BG '!O48</f>
        <v>1433844</v>
      </c>
      <c r="N12" s="98">
        <f t="shared" si="4"/>
        <v>-4702711</v>
      </c>
      <c r="O12" s="108">
        <f>'[1]Planilla Final 2017'!R31+'[1]Planilla Final 2017'!R33</f>
        <v>6136555</v>
      </c>
      <c r="P12" s="100">
        <f t="shared" si="5"/>
        <v>-2446877</v>
      </c>
      <c r="Q12" s="95">
        <f>4358272+4225160</f>
        <v>8583432</v>
      </c>
      <c r="T12" s="107"/>
      <c r="U12" s="107"/>
    </row>
    <row r="13" spans="1:21" ht="12" customHeight="1" x14ac:dyDescent="0.25">
      <c r="A13" s="96" t="s">
        <v>32</v>
      </c>
      <c r="B13" s="97">
        <f>+'BG '!I17</f>
        <v>28373524</v>
      </c>
      <c r="C13" s="98">
        <f t="shared" si="0"/>
        <v>221118</v>
      </c>
      <c r="D13" s="97">
        <f>+'BG '!O17</f>
        <v>28594642</v>
      </c>
      <c r="E13" s="98">
        <f t="shared" si="1"/>
        <v>-13709615</v>
      </c>
      <c r="F13" s="99">
        <f>'[1]Planilla Final 2017'!R13</f>
        <v>14885027</v>
      </c>
      <c r="G13" s="100">
        <f t="shared" si="2"/>
        <v>-4055589</v>
      </c>
      <c r="H13" s="110">
        <v>18940616</v>
      </c>
      <c r="I13" s="72"/>
      <c r="J13" s="111" t="s">
        <v>175</v>
      </c>
      <c r="K13" s="102">
        <f>+'BG '!I50</f>
        <v>1574195</v>
      </c>
      <c r="L13" s="98">
        <f t="shared" si="3"/>
        <v>-645022</v>
      </c>
      <c r="M13" s="102">
        <f>+'BG '!O50</f>
        <v>2219217</v>
      </c>
      <c r="N13" s="112"/>
      <c r="O13" s="81">
        <v>0</v>
      </c>
      <c r="P13" s="100">
        <f>+O14-Q13</f>
        <v>184123</v>
      </c>
      <c r="Q13" s="95">
        <v>4375344</v>
      </c>
      <c r="T13" s="107"/>
      <c r="U13" s="107"/>
    </row>
    <row r="14" spans="1:21" ht="12" customHeight="1" x14ac:dyDescent="0.25">
      <c r="A14" s="111" t="s">
        <v>176</v>
      </c>
      <c r="B14" s="113">
        <f>'BG '!I18</f>
        <v>413564</v>
      </c>
      <c r="C14" s="98">
        <f t="shared" si="0"/>
        <v>-413564</v>
      </c>
      <c r="D14" s="114">
        <f>'BG '!O18</f>
        <v>0</v>
      </c>
      <c r="E14" s="98"/>
      <c r="F14" s="115"/>
      <c r="G14" s="100"/>
      <c r="H14" s="116"/>
      <c r="I14" s="70"/>
      <c r="J14" s="96" t="s">
        <v>177</v>
      </c>
      <c r="K14" s="102">
        <f>+'BG '!I49</f>
        <v>13947126</v>
      </c>
      <c r="L14" s="98">
        <f t="shared" si="3"/>
        <v>4193609</v>
      </c>
      <c r="M14" s="102">
        <f>+'BG '!O49</f>
        <v>9753517</v>
      </c>
      <c r="N14" s="98">
        <f>+M14-O14</f>
        <v>5194050</v>
      </c>
      <c r="O14" s="108">
        <f>'[1]Planilla Final 2017'!R32</f>
        <v>4559467</v>
      </c>
      <c r="T14" s="107"/>
      <c r="U14" s="107"/>
    </row>
    <row r="15" spans="1:21" ht="12" customHeight="1" x14ac:dyDescent="0.25">
      <c r="A15" s="111"/>
      <c r="B15" s="113">
        <v>0</v>
      </c>
      <c r="C15" s="98">
        <f t="shared" si="0"/>
        <v>0</v>
      </c>
      <c r="D15" s="114">
        <v>0</v>
      </c>
      <c r="E15" s="98"/>
      <c r="F15" s="115"/>
      <c r="G15" s="100"/>
      <c r="H15" s="116"/>
      <c r="I15" s="70"/>
      <c r="J15" s="96" t="s">
        <v>178</v>
      </c>
      <c r="K15" s="117">
        <f>'BG '!I51</f>
        <v>0</v>
      </c>
      <c r="L15" s="98"/>
      <c r="M15" s="117">
        <f>'BG '!O51</f>
        <v>0</v>
      </c>
      <c r="N15" s="98"/>
      <c r="O15" s="108"/>
      <c r="T15" s="107"/>
      <c r="U15" s="107"/>
    </row>
    <row r="16" spans="1:21" ht="12" customHeight="1" x14ac:dyDescent="0.25">
      <c r="A16" s="88" t="s">
        <v>179</v>
      </c>
      <c r="B16" s="118">
        <f>SUM(B5:B15)</f>
        <v>111768020</v>
      </c>
      <c r="C16" s="98"/>
      <c r="D16" s="118">
        <f>SUM(D5:D15)</f>
        <v>99616130</v>
      </c>
      <c r="E16" s="98"/>
      <c r="F16" s="115"/>
      <c r="G16" s="100"/>
      <c r="H16" s="116"/>
      <c r="I16" s="72"/>
      <c r="J16" s="119" t="s">
        <v>180</v>
      </c>
      <c r="K16" s="97">
        <f>SUM(K5:K15)</f>
        <v>84466419</v>
      </c>
      <c r="L16" s="98"/>
      <c r="M16" s="97">
        <f>SUM(M5:M15)</f>
        <v>61837414</v>
      </c>
      <c r="N16" s="98"/>
      <c r="O16" s="120">
        <f>SUM(O5:O14)</f>
        <v>66142358</v>
      </c>
      <c r="P16" s="100"/>
      <c r="T16" s="107"/>
      <c r="U16" s="107"/>
    </row>
    <row r="17" spans="1:25" ht="12" customHeight="1" x14ac:dyDescent="0.25">
      <c r="A17" s="96"/>
      <c r="B17" s="81"/>
      <c r="C17" s="98"/>
      <c r="D17" s="121"/>
      <c r="E17" s="98">
        <f t="shared" ref="E17:E24" si="6">+F17-D19</f>
        <v>2851570</v>
      </c>
      <c r="F17" s="99">
        <f>'[1]Planilla Final 2017'!R15</f>
        <v>3212434</v>
      </c>
      <c r="G17" s="100">
        <f t="shared" ref="G17:G24" si="7">F17-H17</f>
        <v>206140</v>
      </c>
      <c r="H17" s="101">
        <v>3006294</v>
      </c>
      <c r="I17" s="70"/>
      <c r="K17" s="97"/>
      <c r="L17" s="112"/>
      <c r="M17" s="81"/>
      <c r="N17" s="112"/>
      <c r="O17" s="81"/>
      <c r="P17" s="100">
        <f t="shared" ref="P17:P24" si="8">+O19-Q17</f>
        <v>251068</v>
      </c>
      <c r="Q17" s="95">
        <f>23039030-13615166</f>
        <v>9423864</v>
      </c>
      <c r="T17" s="107"/>
      <c r="U17" s="107"/>
    </row>
    <row r="18" spans="1:25" ht="12" customHeight="1" x14ac:dyDescent="0.25">
      <c r="A18" s="88" t="s">
        <v>181</v>
      </c>
      <c r="B18" s="81"/>
      <c r="C18" s="98"/>
      <c r="D18" s="121"/>
      <c r="E18" s="98">
        <f t="shared" si="6"/>
        <v>1073025</v>
      </c>
      <c r="F18" s="81">
        <f>+'[1]Planilla Final 2017'!R14</f>
        <v>3150764</v>
      </c>
      <c r="G18" s="100">
        <f t="shared" si="7"/>
        <v>3150764</v>
      </c>
      <c r="H18" s="101">
        <v>0</v>
      </c>
      <c r="I18" s="72"/>
      <c r="J18" s="90" t="s">
        <v>182</v>
      </c>
      <c r="K18" s="97"/>
      <c r="L18" s="98"/>
      <c r="M18" s="122"/>
      <c r="N18" s="98"/>
      <c r="O18" s="81"/>
      <c r="P18" s="100">
        <f t="shared" si="8"/>
        <v>-6904650</v>
      </c>
      <c r="Q18" s="95">
        <v>13615166</v>
      </c>
      <c r="T18" s="107"/>
      <c r="U18" s="107"/>
    </row>
    <row r="19" spans="1:25" ht="12" customHeight="1" x14ac:dyDescent="0.25">
      <c r="A19" s="96" t="s">
        <v>38</v>
      </c>
      <c r="B19" s="97">
        <f>+'BG '!I25</f>
        <v>4645673</v>
      </c>
      <c r="C19" s="98">
        <f t="shared" ref="C19:C28" si="9">+D19-B19</f>
        <v>-4284809</v>
      </c>
      <c r="D19" s="97">
        <f>+'BG '!O25</f>
        <v>360864</v>
      </c>
      <c r="E19" s="98">
        <f t="shared" si="6"/>
        <v>66493952</v>
      </c>
      <c r="F19" s="99">
        <f>'[1]Planilla Final 2017'!R16</f>
        <v>112886401</v>
      </c>
      <c r="G19" s="100">
        <f t="shared" si="7"/>
        <v>-2499431</v>
      </c>
      <c r="H19" s="101">
        <v>115385832</v>
      </c>
      <c r="I19" s="72"/>
      <c r="J19" s="123" t="s">
        <v>183</v>
      </c>
      <c r="K19" s="97">
        <f>+'BG '!I55</f>
        <v>1645615</v>
      </c>
      <c r="L19" s="98">
        <f t="shared" ref="L19:L27" si="10">+K19-M19</f>
        <v>-917675</v>
      </c>
      <c r="M19" s="97">
        <f>+'BG '!O55</f>
        <v>2563290</v>
      </c>
      <c r="N19" s="98">
        <f t="shared" ref="N19:N27" si="11">+M19-O19</f>
        <v>-7111642</v>
      </c>
      <c r="O19" s="124">
        <f>'[1]Planilla Final 2017'!R34</f>
        <v>9674932</v>
      </c>
      <c r="P19" s="100">
        <f t="shared" si="8"/>
        <v>-3509537</v>
      </c>
      <c r="Q19" s="95">
        <v>5713210</v>
      </c>
      <c r="T19" s="107"/>
      <c r="U19" s="107"/>
    </row>
    <row r="20" spans="1:25" ht="12" customHeight="1" x14ac:dyDescent="0.25">
      <c r="A20" s="96" t="s">
        <v>172</v>
      </c>
      <c r="B20" s="97">
        <f>+'BG '!I24</f>
        <v>0</v>
      </c>
      <c r="C20" s="98">
        <f t="shared" si="9"/>
        <v>2077739</v>
      </c>
      <c r="D20" s="97">
        <f>+'BG '!O24</f>
        <v>2077739</v>
      </c>
      <c r="E20" s="98">
        <f t="shared" si="6"/>
        <v>76954</v>
      </c>
      <c r="F20" s="99">
        <f>'[1]Planilla Final 2017'!R17</f>
        <v>661755</v>
      </c>
      <c r="G20" s="100">
        <f t="shared" si="7"/>
        <v>-39210</v>
      </c>
      <c r="H20" s="101">
        <v>700965</v>
      </c>
      <c r="I20" s="72"/>
      <c r="J20" s="123" t="s">
        <v>184</v>
      </c>
      <c r="K20" s="97">
        <f>+'BG '!I56</f>
        <v>6657895</v>
      </c>
      <c r="L20" s="98">
        <f t="shared" si="10"/>
        <v>6657895</v>
      </c>
      <c r="M20" s="97">
        <f>+'BG '!O56</f>
        <v>0</v>
      </c>
      <c r="N20" s="98">
        <f t="shared" si="11"/>
        <v>-6710516</v>
      </c>
      <c r="O20" s="124">
        <f>'[1]Planilla Final 2017'!R35</f>
        <v>6710516</v>
      </c>
      <c r="P20" s="100">
        <f t="shared" si="8"/>
        <v>2</v>
      </c>
      <c r="Q20" s="95">
        <v>10628878</v>
      </c>
      <c r="S20" s="125"/>
      <c r="T20" s="107"/>
      <c r="U20" s="107"/>
      <c r="W20" s="126"/>
      <c r="Y20" s="126"/>
    </row>
    <row r="21" spans="1:25" ht="12" customHeight="1" x14ac:dyDescent="0.25">
      <c r="A21" s="96" t="s">
        <v>185</v>
      </c>
      <c r="B21" s="97">
        <f>+'BG '!I26</f>
        <v>62995647.061452001</v>
      </c>
      <c r="C21" s="98">
        <f t="shared" si="9"/>
        <v>-16603198.061452001</v>
      </c>
      <c r="D21" s="97">
        <f>+'BG '!O26</f>
        <v>46392449</v>
      </c>
      <c r="E21" s="98">
        <f t="shared" si="6"/>
        <v>-3411476</v>
      </c>
      <c r="F21" s="99">
        <f>'[1]Planilla Final 2017'!R18</f>
        <v>11276112</v>
      </c>
      <c r="G21" s="100">
        <f t="shared" si="7"/>
        <v>-841341</v>
      </c>
      <c r="H21" s="101">
        <v>12117453</v>
      </c>
      <c r="I21" s="72"/>
      <c r="J21" s="96" t="s">
        <v>171</v>
      </c>
      <c r="K21" s="97">
        <f>+'BG '!I58</f>
        <v>0</v>
      </c>
      <c r="L21" s="98">
        <f t="shared" si="10"/>
        <v>0</v>
      </c>
      <c r="M21" s="97">
        <f>+'BG '!O58</f>
        <v>0</v>
      </c>
      <c r="N21" s="98">
        <f t="shared" si="11"/>
        <v>-2203673</v>
      </c>
      <c r="O21" s="124">
        <f>'[1]Planilla Final 2017'!R36</f>
        <v>2203673</v>
      </c>
      <c r="P21" s="100">
        <f t="shared" si="8"/>
        <v>-477887</v>
      </c>
      <c r="Q21" s="95">
        <f>2766149+27717</f>
        <v>2793866</v>
      </c>
      <c r="T21" s="107"/>
      <c r="U21" s="107"/>
      <c r="V21" s="72"/>
      <c r="W21" s="126"/>
      <c r="X21" s="72"/>
      <c r="Y21" s="126"/>
    </row>
    <row r="22" spans="1:25" ht="12" customHeight="1" x14ac:dyDescent="0.25">
      <c r="A22" s="96" t="s">
        <v>186</v>
      </c>
      <c r="B22" s="97">
        <f>+'BG '!I27</f>
        <v>545591</v>
      </c>
      <c r="C22" s="98">
        <f t="shared" si="9"/>
        <v>39210</v>
      </c>
      <c r="D22" s="97">
        <f>+'BG '!O27</f>
        <v>584801</v>
      </c>
      <c r="E22" s="98">
        <f t="shared" si="6"/>
        <v>-251355</v>
      </c>
      <c r="F22" s="99">
        <f>'[1]Planilla Final 2017'!R19</f>
        <v>1422229</v>
      </c>
      <c r="G22" s="100">
        <f t="shared" si="7"/>
        <v>0</v>
      </c>
      <c r="H22" s="101">
        <v>1422229</v>
      </c>
      <c r="I22" s="72"/>
      <c r="J22" s="96" t="s">
        <v>173</v>
      </c>
      <c r="K22" s="97">
        <f>+'BG '!I59</f>
        <v>18563320</v>
      </c>
      <c r="L22" s="98">
        <f t="shared" si="10"/>
        <v>18563320</v>
      </c>
      <c r="M22" s="97">
        <f>+'BG '!O59</f>
        <v>0</v>
      </c>
      <c r="N22" s="98">
        <f t="shared" si="11"/>
        <v>-10628880</v>
      </c>
      <c r="O22" s="124">
        <f>'[1]Planilla Final 2017'!R37</f>
        <v>10628880</v>
      </c>
      <c r="P22" s="100">
        <f t="shared" si="8"/>
        <v>-610580</v>
      </c>
      <c r="Q22" s="95">
        <v>5796127</v>
      </c>
      <c r="T22" s="107"/>
      <c r="U22" s="107"/>
    </row>
    <row r="23" spans="1:25" ht="12" customHeight="1" x14ac:dyDescent="0.25">
      <c r="A23" s="96" t="s">
        <v>187</v>
      </c>
      <c r="B23" s="97">
        <f>+'BG '!I28</f>
        <v>11493173</v>
      </c>
      <c r="C23" s="98">
        <f t="shared" si="9"/>
        <v>3194415</v>
      </c>
      <c r="D23" s="97">
        <f>+'BG '!O28</f>
        <v>14687588</v>
      </c>
      <c r="E23" s="98">
        <f t="shared" si="6"/>
        <v>-35698843</v>
      </c>
      <c r="F23" s="99">
        <f>'[1]Planilla Final 2017'!R20</f>
        <v>3318028</v>
      </c>
      <c r="G23" s="100">
        <f t="shared" si="7"/>
        <v>-3227531</v>
      </c>
      <c r="H23" s="101">
        <v>6545559</v>
      </c>
      <c r="I23" s="72"/>
      <c r="J23" s="96" t="s">
        <v>131</v>
      </c>
      <c r="K23" s="97">
        <f>+'BG '!I60</f>
        <v>2286986</v>
      </c>
      <c r="L23" s="98">
        <f t="shared" si="10"/>
        <v>-11358852</v>
      </c>
      <c r="M23" s="97">
        <f>+'BG '!O60</f>
        <v>13645838</v>
      </c>
      <c r="N23" s="98">
        <f t="shared" si="11"/>
        <v>11329859</v>
      </c>
      <c r="O23" s="124">
        <f>'[1]Planilla Final 2017'!R38</f>
        <v>2315979</v>
      </c>
      <c r="P23" s="100">
        <f t="shared" si="8"/>
        <v>3116879</v>
      </c>
      <c r="Q23" s="95">
        <v>17696327</v>
      </c>
      <c r="T23" s="107"/>
      <c r="U23" s="107"/>
    </row>
    <row r="24" spans="1:25" ht="12" customHeight="1" x14ac:dyDescent="0.25">
      <c r="A24" s="96" t="s">
        <v>43</v>
      </c>
      <c r="B24" s="97">
        <f>+'BG '!I30</f>
        <v>1836716</v>
      </c>
      <c r="C24" s="98">
        <f t="shared" si="9"/>
        <v>-163132</v>
      </c>
      <c r="D24" s="97">
        <f>+'BG '!O30</f>
        <v>1673584</v>
      </c>
      <c r="E24" s="98">
        <f t="shared" si="6"/>
        <v>4266160</v>
      </c>
      <c r="F24" s="99">
        <f>'[1]Planilla Final 2017'!R21+'[1]Planilla Final 2017'!R22</f>
        <v>4326687</v>
      </c>
      <c r="G24" s="100">
        <f t="shared" si="7"/>
        <v>1190535</v>
      </c>
      <c r="H24" s="101">
        <f>106009+3030143</f>
        <v>3136152</v>
      </c>
      <c r="I24" s="72"/>
      <c r="J24" s="96" t="s">
        <v>188</v>
      </c>
      <c r="K24" s="97">
        <f>+'BG '!I62</f>
        <v>9332567</v>
      </c>
      <c r="L24" s="98">
        <f t="shared" si="10"/>
        <v>-428924</v>
      </c>
      <c r="M24" s="97">
        <f>+'BG '!O62</f>
        <v>9761491</v>
      </c>
      <c r="N24" s="98">
        <f t="shared" si="11"/>
        <v>4575944</v>
      </c>
      <c r="O24" s="124">
        <f>'[1]Planilla Final 2017'!R39</f>
        <v>5185547</v>
      </c>
      <c r="P24" s="100">
        <f t="shared" si="8"/>
        <v>0</v>
      </c>
      <c r="Q24" s="95">
        <v>3572443</v>
      </c>
      <c r="T24" s="107"/>
      <c r="U24" s="107"/>
    </row>
    <row r="25" spans="1:25" ht="12" customHeight="1" x14ac:dyDescent="0.25">
      <c r="A25" s="96" t="s">
        <v>189</v>
      </c>
      <c r="B25" s="97">
        <f>+'BG '!I31</f>
        <v>42626957</v>
      </c>
      <c r="C25" s="98">
        <f t="shared" si="9"/>
        <v>-3610086</v>
      </c>
      <c r="D25" s="97">
        <f>+'BG '!O31</f>
        <v>39016871</v>
      </c>
      <c r="E25" s="98"/>
      <c r="F25" s="99">
        <v>0</v>
      </c>
      <c r="G25" s="100"/>
      <c r="H25" s="101"/>
      <c r="I25" s="72"/>
      <c r="J25" s="96" t="s">
        <v>59</v>
      </c>
      <c r="K25" s="97">
        <f>+'BG '!I61</f>
        <v>2580000</v>
      </c>
      <c r="L25" s="98">
        <f t="shared" si="10"/>
        <v>-15983321</v>
      </c>
      <c r="M25" s="97">
        <f>+'BG '!O61</f>
        <v>18563321</v>
      </c>
      <c r="N25" s="98">
        <f t="shared" si="11"/>
        <v>-2249885</v>
      </c>
      <c r="O25" s="124">
        <f>'[1]Planilla Final 2017'!R40</f>
        <v>20813206</v>
      </c>
      <c r="P25" s="100"/>
      <c r="Q25" s="95"/>
      <c r="T25" s="107"/>
      <c r="U25" s="107"/>
    </row>
    <row r="26" spans="1:25" ht="12" customHeight="1" x14ac:dyDescent="0.25">
      <c r="A26" s="96" t="s">
        <v>46</v>
      </c>
      <c r="B26" s="97">
        <f>+'BG '!I33</f>
        <v>1783584</v>
      </c>
      <c r="C26" s="98">
        <f t="shared" si="9"/>
        <v>-1723057</v>
      </c>
      <c r="D26" s="97">
        <f>+'BG '!O33</f>
        <v>60527</v>
      </c>
      <c r="E26" s="98">
        <f>+F26-D28</f>
        <v>-3561499</v>
      </c>
      <c r="F26" s="127">
        <v>0</v>
      </c>
      <c r="G26" s="100">
        <f>F26-H26</f>
        <v>0</v>
      </c>
      <c r="H26" s="110">
        <v>0</v>
      </c>
      <c r="J26" s="96" t="s">
        <v>190</v>
      </c>
      <c r="K26" s="97">
        <f>+'BG '!I64</f>
        <v>2542451</v>
      </c>
      <c r="L26" s="98">
        <f t="shared" si="10"/>
        <v>-1181748</v>
      </c>
      <c r="M26" s="97">
        <f>+'BG '!O64</f>
        <v>3724199</v>
      </c>
      <c r="N26" s="98">
        <f t="shared" si="11"/>
        <v>151756</v>
      </c>
      <c r="O26" s="124">
        <f>'[1]Planilla Final 2017'!R41</f>
        <v>3572443</v>
      </c>
      <c r="P26" s="100">
        <f>+O27-Q26</f>
        <v>0</v>
      </c>
      <c r="Q26" s="128">
        <v>0</v>
      </c>
      <c r="T26" s="107"/>
      <c r="U26" s="107"/>
    </row>
    <row r="27" spans="1:25" ht="12" customHeight="1" x14ac:dyDescent="0.25">
      <c r="A27" s="96" t="s">
        <v>42</v>
      </c>
      <c r="B27" s="97">
        <f>+'BG '!I29</f>
        <v>3949574</v>
      </c>
      <c r="C27" s="98">
        <f t="shared" si="9"/>
        <v>197533</v>
      </c>
      <c r="D27" s="97">
        <f>+'BG '!O29</f>
        <v>4147107</v>
      </c>
      <c r="E27" s="112"/>
      <c r="F27" s="124">
        <f>SUM(F17:F26)</f>
        <v>140254410</v>
      </c>
      <c r="H27" s="129">
        <f>SUM(H17:H26)</f>
        <v>142314484</v>
      </c>
      <c r="I27" s="72"/>
      <c r="J27" s="96" t="s">
        <v>62</v>
      </c>
      <c r="K27" s="97">
        <f>+'BG '!I63</f>
        <v>0</v>
      </c>
      <c r="L27" s="98">
        <f t="shared" si="10"/>
        <v>-2580000</v>
      </c>
      <c r="M27" s="97">
        <f>+'BG '!O63</f>
        <v>2580000</v>
      </c>
      <c r="N27" s="98">
        <f t="shared" si="11"/>
        <v>2580000</v>
      </c>
      <c r="O27" s="130">
        <v>0</v>
      </c>
      <c r="Q27" s="131">
        <f>SUM(Q17:Q26)</f>
        <v>69239881</v>
      </c>
      <c r="T27" s="107"/>
      <c r="U27" s="107"/>
    </row>
    <row r="28" spans="1:25" ht="12" customHeight="1" x14ac:dyDescent="0.25">
      <c r="A28" s="96" t="s">
        <v>125</v>
      </c>
      <c r="B28" s="132">
        <f>+'BG '!I32</f>
        <v>5133423.1851480007</v>
      </c>
      <c r="C28" s="98">
        <f t="shared" si="9"/>
        <v>-1571924.1851480007</v>
      </c>
      <c r="D28" s="132">
        <f>+'BG '!O32</f>
        <v>3561499</v>
      </c>
      <c r="E28" s="112"/>
      <c r="F28" s="81"/>
      <c r="J28" s="119" t="s">
        <v>191</v>
      </c>
      <c r="K28" s="133">
        <f>SUM(K19:K27)</f>
        <v>43608834</v>
      </c>
      <c r="L28" s="112"/>
      <c r="M28" s="127">
        <f>SUM(M19:M27)</f>
        <v>50838139</v>
      </c>
      <c r="N28" s="112"/>
      <c r="O28" s="127">
        <f>SUM(O19:O26)</f>
        <v>61105176</v>
      </c>
      <c r="Q28" s="134" t="e">
        <f>+#REF!+Q27</f>
        <v>#REF!</v>
      </c>
      <c r="T28" s="107"/>
      <c r="U28" s="107"/>
    </row>
    <row r="29" spans="1:25" ht="12" customHeight="1" x14ac:dyDescent="0.25">
      <c r="A29" s="88" t="s">
        <v>192</v>
      </c>
      <c r="B29" s="97">
        <f>SUM(B19:B28)</f>
        <v>135010338.2466</v>
      </c>
      <c r="C29" s="124"/>
      <c r="D29" s="124">
        <f>SUM(D19:D28)</f>
        <v>112563029</v>
      </c>
      <c r="E29" s="112"/>
      <c r="F29" s="81"/>
      <c r="J29" s="119" t="s">
        <v>193</v>
      </c>
      <c r="K29" s="133">
        <f>+K16+K28</f>
        <v>128075253</v>
      </c>
      <c r="L29" s="112"/>
      <c r="M29" s="135">
        <f>+M28+M16</f>
        <v>112675553</v>
      </c>
      <c r="N29" s="112"/>
      <c r="O29" s="135">
        <f>+O16+O28</f>
        <v>127247534</v>
      </c>
      <c r="Q29" s="109"/>
      <c r="T29" s="107"/>
      <c r="U29" s="107"/>
    </row>
    <row r="30" spans="1:25" ht="12" customHeight="1" x14ac:dyDescent="0.25">
      <c r="B30" s="97"/>
      <c r="C30" s="81"/>
      <c r="D30" s="81"/>
      <c r="E30" s="112"/>
      <c r="F30" s="81"/>
      <c r="I30" s="72"/>
      <c r="J30" s="119"/>
      <c r="K30" s="97"/>
      <c r="L30" s="112"/>
      <c r="M30" s="136"/>
      <c r="N30" s="112"/>
      <c r="O30" s="137"/>
      <c r="Q30" s="138"/>
      <c r="T30" s="107"/>
      <c r="U30" s="107"/>
    </row>
    <row r="31" spans="1:25" ht="12" customHeight="1" x14ac:dyDescent="0.25">
      <c r="B31" s="97"/>
      <c r="C31" s="81"/>
      <c r="D31" s="81"/>
      <c r="E31" s="112"/>
      <c r="F31" s="81"/>
      <c r="J31" s="119" t="s">
        <v>194</v>
      </c>
      <c r="K31" s="97">
        <f>+'BG '!I73</f>
        <v>118703105.2466</v>
      </c>
      <c r="L31" s="112">
        <f>K31-M31</f>
        <v>19199498.796599999</v>
      </c>
      <c r="M31" s="97">
        <f>+'BG '!O73</f>
        <v>99503606.450000003</v>
      </c>
      <c r="N31" s="112">
        <f>M31-O31</f>
        <v>19178254.450000003</v>
      </c>
      <c r="O31" s="99">
        <f>'[1]Planilla Final 2017'!R51</f>
        <v>80325352</v>
      </c>
      <c r="P31" s="68">
        <f>O31-Q31</f>
        <v>5629205</v>
      </c>
      <c r="Q31" s="104">
        <f>77632975-2936828</f>
        <v>74696147</v>
      </c>
      <c r="S31" s="109"/>
      <c r="T31" s="107"/>
      <c r="U31" s="107"/>
    </row>
    <row r="32" spans="1:25" ht="12" customHeight="1" x14ac:dyDescent="0.25">
      <c r="B32" s="97"/>
      <c r="C32" s="81"/>
      <c r="D32" s="81"/>
      <c r="E32" s="112"/>
      <c r="F32" s="81"/>
      <c r="I32" s="139"/>
      <c r="K32" s="81"/>
      <c r="L32" s="81"/>
      <c r="M32" s="81"/>
      <c r="N32" s="112"/>
      <c r="O32" s="81"/>
      <c r="T32" s="107"/>
      <c r="U32" s="107"/>
    </row>
    <row r="33" spans="1:21" ht="12" customHeight="1" x14ac:dyDescent="0.25">
      <c r="A33" s="70" t="s">
        <v>195</v>
      </c>
      <c r="B33" s="140">
        <f>+B29+B16</f>
        <v>246778358.2466</v>
      </c>
      <c r="C33" s="141"/>
      <c r="D33" s="140">
        <f>+D29+D16</f>
        <v>212179159</v>
      </c>
      <c r="E33" s="83"/>
      <c r="F33" s="140" t="e">
        <f>+F27+#REF!</f>
        <v>#REF!</v>
      </c>
      <c r="G33" s="71"/>
      <c r="H33" s="142" t="e">
        <f>+H27+#REF!</f>
        <v>#REF!</v>
      </c>
      <c r="I33" s="72"/>
      <c r="J33" s="143" t="s">
        <v>196</v>
      </c>
      <c r="K33" s="140">
        <f>+K31+K29</f>
        <v>246778358.2466</v>
      </c>
      <c r="L33" s="141"/>
      <c r="M33" s="140">
        <f>+M31+M29</f>
        <v>212179159.44999999</v>
      </c>
      <c r="N33" s="83"/>
      <c r="O33" s="140">
        <f>+O29+O31</f>
        <v>207572886</v>
      </c>
      <c r="P33" s="71"/>
      <c r="Q33" s="142" t="e">
        <f>+Q28+Q31</f>
        <v>#REF!</v>
      </c>
      <c r="T33" s="107"/>
      <c r="U33" s="107"/>
    </row>
    <row r="34" spans="1:21" ht="5.0999999999999996" customHeight="1" x14ac:dyDescent="0.25">
      <c r="B34" s="144"/>
      <c r="C34" s="144"/>
      <c r="D34" s="144"/>
      <c r="E34" s="145"/>
      <c r="F34" s="146"/>
      <c r="I34" s="72"/>
      <c r="J34" s="138"/>
      <c r="K34" s="144"/>
      <c r="L34" s="147"/>
      <c r="M34" s="147"/>
      <c r="N34" s="145"/>
      <c r="O34" s="144"/>
      <c r="T34" s="138"/>
    </row>
    <row r="35" spans="1:21" ht="9" customHeight="1" x14ac:dyDescent="0.25">
      <c r="B35" s="66"/>
      <c r="F35" s="148"/>
      <c r="I35" s="72"/>
      <c r="J35" s="138"/>
      <c r="K35" s="106">
        <f>+K33-B33</f>
        <v>0</v>
      </c>
      <c r="L35" s="106">
        <f>+L33-C33</f>
        <v>0</v>
      </c>
      <c r="M35" s="106">
        <f>+M33-D33</f>
        <v>0.44999998807907104</v>
      </c>
      <c r="T35" s="138"/>
    </row>
    <row r="36" spans="1:21" ht="12" customHeight="1" x14ac:dyDescent="0.25">
      <c r="B36" s="66"/>
      <c r="F36" s="138"/>
      <c r="I36" s="72"/>
      <c r="J36" s="138"/>
      <c r="K36" s="66"/>
      <c r="L36" s="138"/>
      <c r="M36" s="138"/>
      <c r="O36" s="138"/>
      <c r="Q36" s="138"/>
      <c r="T36" s="138"/>
    </row>
    <row r="37" spans="1:21" ht="12" customHeight="1" x14ac:dyDescent="0.25">
      <c r="A37" s="149" t="s">
        <v>197</v>
      </c>
      <c r="B37" s="150"/>
      <c r="D37" s="151"/>
      <c r="E37" s="71"/>
      <c r="F37" s="138"/>
      <c r="G37" s="71"/>
      <c r="I37" s="72"/>
      <c r="J37" s="152" t="s">
        <v>198</v>
      </c>
      <c r="K37" s="150"/>
      <c r="L37" s="138"/>
      <c r="M37" s="138"/>
      <c r="N37" s="71"/>
      <c r="P37" s="71"/>
      <c r="T37" s="138"/>
    </row>
    <row r="38" spans="1:21" ht="12" customHeight="1" x14ac:dyDescent="0.25">
      <c r="A38" s="153" t="s">
        <v>199</v>
      </c>
      <c r="B38" s="97">
        <v>0</v>
      </c>
      <c r="C38" s="154"/>
      <c r="D38" s="154"/>
      <c r="E38" s="71"/>
      <c r="F38" s="138"/>
      <c r="G38" s="71"/>
      <c r="H38" s="138"/>
      <c r="I38" s="72"/>
      <c r="J38" s="153" t="s">
        <v>200</v>
      </c>
      <c r="K38" s="97">
        <f>+K45</f>
        <v>38384505</v>
      </c>
      <c r="L38" s="138"/>
      <c r="M38" s="138"/>
      <c r="N38" s="71"/>
      <c r="P38" s="71"/>
      <c r="T38" s="138"/>
    </row>
    <row r="39" spans="1:21" ht="12" customHeight="1" x14ac:dyDescent="0.25">
      <c r="A39" s="155" t="s">
        <v>201</v>
      </c>
      <c r="B39" s="132">
        <v>-3610086</v>
      </c>
      <c r="C39" s="156"/>
      <c r="D39" s="156"/>
      <c r="E39" s="71"/>
      <c r="F39" s="138"/>
      <c r="G39" s="71"/>
      <c r="J39" s="157" t="s">
        <v>446</v>
      </c>
      <c r="K39" s="97">
        <f>+PAT!J193</f>
        <v>-21629181</v>
      </c>
      <c r="L39" s="158"/>
      <c r="M39" s="158"/>
      <c r="N39" s="71"/>
      <c r="P39" s="71"/>
      <c r="T39" s="138"/>
    </row>
    <row r="40" spans="1:21" ht="12" customHeight="1" x14ac:dyDescent="0.25">
      <c r="A40" s="159" t="s">
        <v>202</v>
      </c>
      <c r="B40" s="132">
        <f>+B38+B39</f>
        <v>-3610086</v>
      </c>
      <c r="C40" s="156"/>
      <c r="D40" s="156"/>
      <c r="E40" s="71"/>
      <c r="F40" s="138"/>
      <c r="G40" s="71"/>
      <c r="I40" s="72"/>
      <c r="J40" s="153" t="s">
        <v>203</v>
      </c>
      <c r="K40" s="160">
        <f>+PAT!J191-139500</f>
        <v>2444175</v>
      </c>
      <c r="L40" s="158"/>
      <c r="M40" s="158"/>
      <c r="N40" s="71"/>
      <c r="P40" s="71"/>
      <c r="T40" s="138"/>
    </row>
    <row r="41" spans="1:21" ht="12" customHeight="1" x14ac:dyDescent="0.25">
      <c r="B41" s="161">
        <f>+B40-C25</f>
        <v>0</v>
      </c>
      <c r="F41" s="138"/>
      <c r="I41" s="72"/>
      <c r="J41" s="153" t="s">
        <v>450</v>
      </c>
      <c r="K41" s="97">
        <v>0</v>
      </c>
      <c r="L41" s="138"/>
      <c r="M41" s="138"/>
      <c r="O41" s="138"/>
      <c r="Q41" s="138"/>
      <c r="T41" s="138"/>
    </row>
    <row r="42" spans="1:21" ht="12" customHeight="1" x14ac:dyDescent="0.25">
      <c r="A42" s="149" t="s">
        <v>204</v>
      </c>
      <c r="B42" s="150"/>
      <c r="E42" s="71"/>
      <c r="F42" s="138"/>
      <c r="G42" s="71"/>
      <c r="I42" s="72"/>
      <c r="J42" s="162" t="s">
        <v>202</v>
      </c>
      <c r="K42" s="133">
        <f>SUM(K38:K41)</f>
        <v>19199499</v>
      </c>
      <c r="L42" s="138"/>
      <c r="M42" s="138"/>
      <c r="N42" s="71"/>
      <c r="P42" s="71"/>
      <c r="T42" s="138"/>
    </row>
    <row r="43" spans="1:21" ht="12" customHeight="1" x14ac:dyDescent="0.25">
      <c r="A43" s="153" t="s">
        <v>205</v>
      </c>
      <c r="B43" s="97">
        <f>+EFE!I12</f>
        <v>17561314</v>
      </c>
      <c r="C43" s="154"/>
      <c r="D43" s="154"/>
      <c r="E43" s="71"/>
      <c r="F43" s="138"/>
      <c r="G43" s="71"/>
      <c r="H43" s="138"/>
      <c r="I43" s="72"/>
      <c r="J43" s="158"/>
      <c r="K43" s="318">
        <f>+K42-L31</f>
        <v>0.20340000092983246</v>
      </c>
      <c r="L43" s="138"/>
      <c r="M43" s="138"/>
      <c r="N43" s="71"/>
      <c r="P43" s="71"/>
      <c r="T43" s="138"/>
    </row>
    <row r="44" spans="1:21" ht="12" customHeight="1" x14ac:dyDescent="0.25">
      <c r="A44" s="153" t="s">
        <v>449</v>
      </c>
      <c r="B44" s="97">
        <f>+EFE!I15</f>
        <v>1005412</v>
      </c>
      <c r="C44" s="154"/>
      <c r="D44" s="154"/>
      <c r="E44" s="71"/>
      <c r="F44" s="138"/>
      <c r="G44" s="71"/>
      <c r="H44" s="138"/>
      <c r="I44" s="72"/>
      <c r="J44" s="158"/>
      <c r="K44" s="318"/>
      <c r="L44" s="138"/>
      <c r="M44" s="138"/>
      <c r="N44" s="71"/>
      <c r="P44" s="71"/>
      <c r="T44" s="138"/>
    </row>
    <row r="45" spans="1:21" ht="12" customHeight="1" x14ac:dyDescent="0.25">
      <c r="A45" s="155" t="s">
        <v>201</v>
      </c>
      <c r="B45" s="132">
        <f>-B43+C21</f>
        <v>-34164512.061452001</v>
      </c>
      <c r="C45" s="156"/>
      <c r="D45" s="156"/>
      <c r="E45" s="71"/>
      <c r="F45" s="138"/>
      <c r="G45" s="71"/>
      <c r="J45" s="163" t="s">
        <v>200</v>
      </c>
      <c r="K45" s="118">
        <f>+ER!H36</f>
        <v>38384505</v>
      </c>
      <c r="L45" s="158"/>
      <c r="M45" s="158"/>
      <c r="N45" s="71"/>
      <c r="P45" s="71"/>
      <c r="T45" s="138"/>
    </row>
    <row r="46" spans="1:21" ht="12" customHeight="1" x14ac:dyDescent="0.25">
      <c r="A46" s="159" t="s">
        <v>202</v>
      </c>
      <c r="B46" s="132">
        <f>+B43+B45</f>
        <v>-16603198.061452001</v>
      </c>
      <c r="C46" s="156"/>
      <c r="D46" s="156"/>
      <c r="E46" s="71"/>
      <c r="F46" s="138"/>
      <c r="G46" s="71"/>
      <c r="I46" s="72"/>
      <c r="J46" s="164" t="s">
        <v>206</v>
      </c>
      <c r="K46" s="132">
        <f>-ER!H35</f>
        <v>11609963</v>
      </c>
      <c r="L46" s="158"/>
      <c r="M46" s="158"/>
      <c r="N46" s="71"/>
      <c r="P46" s="71"/>
      <c r="T46" s="138"/>
    </row>
    <row r="47" spans="1:21" ht="12" customHeight="1" x14ac:dyDescent="0.25">
      <c r="B47" s="156">
        <f>+B46-C21</f>
        <v>0</v>
      </c>
      <c r="C47" s="156"/>
      <c r="D47" s="156"/>
      <c r="F47" s="148"/>
      <c r="J47" s="165" t="s">
        <v>207</v>
      </c>
      <c r="K47" s="166">
        <f>+K45+K46</f>
        <v>49994468</v>
      </c>
      <c r="L47" s="158"/>
      <c r="M47" s="158"/>
      <c r="T47" s="138"/>
    </row>
    <row r="48" spans="1:21" ht="12" customHeight="1" x14ac:dyDescent="0.25">
      <c r="A48" s="149" t="s">
        <v>208</v>
      </c>
      <c r="B48" s="150"/>
      <c r="E48" s="71"/>
      <c r="F48" s="138"/>
      <c r="G48" s="71"/>
      <c r="I48" s="72"/>
      <c r="K48" s="167"/>
      <c r="L48" s="138"/>
      <c r="M48" s="138"/>
      <c r="N48" s="71"/>
      <c r="P48" s="71"/>
      <c r="T48" s="138"/>
    </row>
    <row r="49" spans="1:20" ht="12" customHeight="1" x14ac:dyDescent="0.25">
      <c r="A49" s="153" t="s">
        <v>205</v>
      </c>
      <c r="B49" s="97">
        <f>+EFE!I14</f>
        <v>2412033</v>
      </c>
      <c r="C49" s="154"/>
      <c r="D49" s="154"/>
      <c r="E49" s="71"/>
      <c r="F49" s="138"/>
      <c r="G49" s="71"/>
      <c r="H49" s="138"/>
      <c r="I49" s="72"/>
      <c r="K49" s="167"/>
      <c r="L49" s="138"/>
      <c r="M49" s="138"/>
      <c r="N49" s="71"/>
      <c r="P49" s="71"/>
      <c r="T49" s="138"/>
    </row>
    <row r="50" spans="1:20" ht="12" customHeight="1" x14ac:dyDescent="0.25">
      <c r="A50" s="155" t="s">
        <v>209</v>
      </c>
      <c r="B50" s="97">
        <v>0</v>
      </c>
      <c r="C50" s="156"/>
      <c r="D50" s="156"/>
      <c r="E50" s="71"/>
      <c r="F50" s="138"/>
      <c r="G50" s="71"/>
      <c r="J50" s="158"/>
      <c r="K50" s="66"/>
      <c r="L50" s="158"/>
      <c r="M50" s="158"/>
      <c r="N50" s="71"/>
      <c r="P50" s="71"/>
      <c r="T50" s="138"/>
    </row>
    <row r="51" spans="1:20" ht="12" customHeight="1" x14ac:dyDescent="0.25">
      <c r="A51" s="155" t="s">
        <v>210</v>
      </c>
      <c r="B51" s="132">
        <f>+C27-B49-B50</f>
        <v>-2214500</v>
      </c>
      <c r="C51" s="156"/>
      <c r="D51" s="156"/>
      <c r="E51" s="71"/>
      <c r="F51" s="138"/>
      <c r="G51" s="71"/>
      <c r="J51" s="158"/>
      <c r="K51" s="66"/>
      <c r="L51" s="158"/>
      <c r="M51" s="158"/>
      <c r="N51" s="71"/>
      <c r="P51" s="71"/>
      <c r="T51" s="138"/>
    </row>
    <row r="52" spans="1:20" ht="12" customHeight="1" x14ac:dyDescent="0.25">
      <c r="A52" s="159" t="s">
        <v>202</v>
      </c>
      <c r="B52" s="132">
        <f>SUM(B49:B51)</f>
        <v>197533</v>
      </c>
      <c r="C52" s="156"/>
      <c r="D52" s="156"/>
      <c r="E52" s="71"/>
      <c r="F52" s="138"/>
      <c r="G52" s="71"/>
      <c r="I52" s="72"/>
      <c r="J52" s="158"/>
      <c r="K52" s="66"/>
      <c r="L52" s="158"/>
      <c r="M52" s="158"/>
      <c r="N52" s="71"/>
      <c r="P52" s="71"/>
      <c r="T52" s="138"/>
    </row>
    <row r="53" spans="1:20" ht="12" customHeight="1" x14ac:dyDescent="0.25">
      <c r="B53" s="156">
        <f>+C27-B52</f>
        <v>0</v>
      </c>
      <c r="C53" s="156"/>
      <c r="D53" s="156"/>
      <c r="E53" s="71"/>
      <c r="F53" s="138"/>
      <c r="G53" s="71"/>
      <c r="I53" s="72"/>
      <c r="J53" s="158"/>
      <c r="K53" s="66"/>
      <c r="L53" s="158"/>
      <c r="M53" s="158"/>
      <c r="N53" s="71"/>
      <c r="P53" s="71"/>
      <c r="T53" s="138"/>
    </row>
    <row r="54" spans="1:20" ht="12" customHeight="1" x14ac:dyDescent="0.25">
      <c r="A54" s="149" t="s">
        <v>211</v>
      </c>
      <c r="B54" s="150"/>
      <c r="C54" s="156"/>
      <c r="D54" s="156"/>
      <c r="E54" s="71"/>
      <c r="F54" s="138"/>
      <c r="G54" s="71"/>
      <c r="I54" s="72"/>
      <c r="J54" s="158"/>
      <c r="K54" s="66"/>
      <c r="L54" s="158"/>
      <c r="M54" s="158"/>
      <c r="N54" s="71"/>
      <c r="P54" s="71"/>
      <c r="T54" s="138"/>
    </row>
    <row r="55" spans="1:20" ht="12" customHeight="1" x14ac:dyDescent="0.25">
      <c r="A55" s="153" t="s">
        <v>212</v>
      </c>
      <c r="B55" s="97">
        <f>+EFE!I19</f>
        <v>1240038</v>
      </c>
      <c r="C55" s="156"/>
      <c r="D55" s="156"/>
      <c r="I55" s="72"/>
      <c r="J55" s="158"/>
      <c r="K55" s="66"/>
      <c r="L55" s="158"/>
      <c r="M55" s="158"/>
      <c r="T55" s="138"/>
    </row>
    <row r="56" spans="1:20" ht="12" customHeight="1" x14ac:dyDescent="0.25">
      <c r="A56" s="155" t="s">
        <v>213</v>
      </c>
      <c r="B56" s="132">
        <f>-B55+L24</f>
        <v>-1668962</v>
      </c>
      <c r="C56" s="156"/>
      <c r="D56" s="156"/>
      <c r="E56" s="71"/>
      <c r="F56" s="138"/>
      <c r="G56" s="71"/>
      <c r="I56" s="72"/>
      <c r="J56" s="158"/>
      <c r="K56" s="66"/>
      <c r="L56" s="158"/>
      <c r="M56" s="158"/>
      <c r="N56" s="71"/>
      <c r="P56" s="71"/>
      <c r="T56" s="138"/>
    </row>
    <row r="57" spans="1:20" ht="12" customHeight="1" x14ac:dyDescent="0.25">
      <c r="A57" s="159" t="s">
        <v>202</v>
      </c>
      <c r="B57" s="132">
        <f>+B55+B56</f>
        <v>-428924</v>
      </c>
      <c r="C57" s="156"/>
      <c r="D57" s="156"/>
      <c r="E57" s="71"/>
      <c r="F57" s="138"/>
      <c r="G57" s="71"/>
      <c r="I57" s="72"/>
      <c r="J57" s="158"/>
      <c r="K57" s="66"/>
      <c r="L57" s="158"/>
      <c r="M57" s="158"/>
      <c r="N57" s="71"/>
      <c r="P57" s="71"/>
      <c r="T57" s="138"/>
    </row>
    <row r="58" spans="1:20" ht="12" customHeight="1" x14ac:dyDescent="0.25">
      <c r="B58" s="156">
        <f>+B57-L24</f>
        <v>0</v>
      </c>
      <c r="C58" s="156"/>
      <c r="D58" s="156"/>
      <c r="E58" s="71"/>
      <c r="F58" s="138"/>
      <c r="G58" s="71"/>
      <c r="I58" s="72"/>
      <c r="J58" s="158"/>
      <c r="K58" s="66"/>
      <c r="L58" s="158"/>
      <c r="M58" s="158"/>
      <c r="N58" s="71"/>
      <c r="P58" s="71"/>
      <c r="T58" s="138"/>
    </row>
    <row r="59" spans="1:20" ht="12" customHeight="1" x14ac:dyDescent="0.25">
      <c r="A59" s="149" t="s">
        <v>214</v>
      </c>
      <c r="B59" s="150"/>
      <c r="C59" s="156"/>
      <c r="D59" s="156"/>
      <c r="E59" s="71"/>
      <c r="F59" s="138"/>
      <c r="G59" s="71"/>
      <c r="I59" s="72"/>
      <c r="J59" s="158"/>
      <c r="K59" s="66"/>
      <c r="L59" s="158"/>
      <c r="M59" s="158"/>
      <c r="N59" s="71"/>
      <c r="P59" s="71"/>
      <c r="T59" s="138"/>
    </row>
    <row r="60" spans="1:20" ht="12" customHeight="1" x14ac:dyDescent="0.25">
      <c r="A60" s="153" t="s">
        <v>215</v>
      </c>
      <c r="B60" s="97">
        <f>+EFE!I16</f>
        <v>2433193</v>
      </c>
      <c r="C60" s="156"/>
      <c r="D60" s="156"/>
      <c r="E60" s="71"/>
      <c r="F60" s="138"/>
      <c r="G60" s="71"/>
      <c r="J60" s="158"/>
      <c r="K60" s="66"/>
      <c r="L60" s="158"/>
      <c r="M60" s="158"/>
      <c r="N60" s="71"/>
      <c r="P60" s="71"/>
      <c r="T60" s="138"/>
    </row>
    <row r="61" spans="1:20" ht="12" customHeight="1" x14ac:dyDescent="0.25">
      <c r="A61" s="155" t="s">
        <v>201</v>
      </c>
      <c r="B61" s="132">
        <f>-B60+C23</f>
        <v>761222</v>
      </c>
      <c r="C61" s="156"/>
      <c r="D61" s="156"/>
      <c r="E61" s="71"/>
      <c r="F61" s="138"/>
      <c r="G61" s="71"/>
      <c r="J61" s="158"/>
      <c r="K61" s="66"/>
      <c r="L61" s="158"/>
      <c r="M61" s="158"/>
      <c r="N61" s="71"/>
      <c r="P61" s="71"/>
      <c r="T61" s="138"/>
    </row>
    <row r="62" spans="1:20" ht="12" customHeight="1" x14ac:dyDescent="0.25">
      <c r="A62" s="159" t="s">
        <v>202</v>
      </c>
      <c r="B62" s="132">
        <f>+B60+B61</f>
        <v>3194415</v>
      </c>
      <c r="C62" s="156"/>
      <c r="D62" s="156"/>
      <c r="F62" s="158"/>
      <c r="J62" s="158"/>
      <c r="K62" s="66"/>
      <c r="L62" s="158"/>
      <c r="M62" s="158"/>
      <c r="T62" s="138"/>
    </row>
    <row r="63" spans="1:20" ht="12" customHeight="1" x14ac:dyDescent="0.25">
      <c r="B63" s="156">
        <f>+B62-C23</f>
        <v>0</v>
      </c>
      <c r="C63" s="156"/>
      <c r="D63" s="156"/>
      <c r="F63" s="158"/>
      <c r="J63" s="158"/>
      <c r="K63" s="66"/>
      <c r="L63" s="158"/>
      <c r="M63" s="158"/>
      <c r="T63" s="138"/>
    </row>
    <row r="64" spans="1:20" ht="12" customHeight="1" x14ac:dyDescent="0.25">
      <c r="A64" s="149" t="s">
        <v>216</v>
      </c>
      <c r="B64" s="150"/>
      <c r="C64" s="156"/>
      <c r="D64" s="156"/>
      <c r="J64" s="158"/>
      <c r="K64" s="66"/>
      <c r="L64" s="158"/>
      <c r="M64" s="158"/>
      <c r="T64" s="138"/>
    </row>
    <row r="65" spans="1:20" ht="12" customHeight="1" x14ac:dyDescent="0.25">
      <c r="A65" s="153" t="s">
        <v>217</v>
      </c>
      <c r="B65" s="97">
        <f>+EFE!I13</f>
        <v>39210</v>
      </c>
      <c r="C65" s="156"/>
      <c r="D65" s="156"/>
      <c r="J65" s="158"/>
      <c r="K65" s="66"/>
      <c r="L65" s="158"/>
      <c r="M65" s="158"/>
      <c r="T65" s="138"/>
    </row>
    <row r="66" spans="1:20" ht="12" customHeight="1" x14ac:dyDescent="0.25">
      <c r="A66" s="155" t="s">
        <v>201</v>
      </c>
      <c r="B66" s="132">
        <f>-B65+C22</f>
        <v>0</v>
      </c>
      <c r="C66" s="156"/>
      <c r="D66" s="156"/>
      <c r="K66" s="66"/>
      <c r="T66" s="138"/>
    </row>
    <row r="67" spans="1:20" ht="12" customHeight="1" x14ac:dyDescent="0.25">
      <c r="A67" s="159" t="s">
        <v>218</v>
      </c>
      <c r="B67" s="132">
        <f>+B65+B66</f>
        <v>39210</v>
      </c>
      <c r="C67" s="156"/>
      <c r="D67" s="156"/>
      <c r="K67" s="66"/>
      <c r="T67" s="138"/>
    </row>
    <row r="68" spans="1:20" ht="12" customHeight="1" x14ac:dyDescent="0.25">
      <c r="B68" s="156">
        <f>+B67-C22</f>
        <v>0</v>
      </c>
      <c r="C68" s="156"/>
      <c r="D68" s="156"/>
      <c r="K68" s="66"/>
      <c r="T68" s="138"/>
    </row>
    <row r="69" spans="1:20" ht="12" customHeight="1" x14ac:dyDescent="0.25">
      <c r="A69" s="149" t="s">
        <v>219</v>
      </c>
      <c r="B69" s="118"/>
      <c r="C69" s="156"/>
      <c r="D69" s="156"/>
      <c r="K69" s="66"/>
      <c r="T69" s="138"/>
    </row>
    <row r="70" spans="1:20" ht="12" customHeight="1" x14ac:dyDescent="0.25">
      <c r="A70" s="155" t="s">
        <v>220</v>
      </c>
      <c r="B70" s="97">
        <f>-ER!H35</f>
        <v>11609963</v>
      </c>
      <c r="K70" s="66"/>
      <c r="T70" s="138"/>
    </row>
    <row r="71" spans="1:20" ht="12" customHeight="1" x14ac:dyDescent="0.25">
      <c r="A71" s="155" t="s">
        <v>221</v>
      </c>
      <c r="B71" s="97">
        <f>+EFE!I43</f>
        <v>-8327309</v>
      </c>
      <c r="K71" s="66"/>
      <c r="T71" s="138"/>
    </row>
    <row r="72" spans="1:20" ht="12" customHeight="1" x14ac:dyDescent="0.25">
      <c r="A72" s="155" t="s">
        <v>222</v>
      </c>
      <c r="B72" s="168">
        <f>-B70-B71+L10</f>
        <v>2643846</v>
      </c>
      <c r="K72" s="66"/>
      <c r="T72" s="138"/>
    </row>
    <row r="73" spans="1:20" ht="12" customHeight="1" x14ac:dyDescent="0.25">
      <c r="A73" s="159" t="s">
        <v>218</v>
      </c>
      <c r="B73" s="168">
        <f>SUM(B70:B72)</f>
        <v>5926500</v>
      </c>
      <c r="K73" s="66"/>
      <c r="T73" s="138"/>
    </row>
    <row r="74" spans="1:20" ht="12" customHeight="1" x14ac:dyDescent="0.25">
      <c r="B74" s="109">
        <f>+B73-L10</f>
        <v>0</v>
      </c>
      <c r="K74" s="66"/>
      <c r="T74" s="138"/>
    </row>
    <row r="75" spans="1:20" ht="12" customHeight="1" x14ac:dyDescent="0.25">
      <c r="A75" s="149" t="s">
        <v>223</v>
      </c>
      <c r="B75" s="118"/>
      <c r="K75" s="66"/>
      <c r="T75" s="138"/>
    </row>
    <row r="76" spans="1:20" ht="12" customHeight="1" x14ac:dyDescent="0.25">
      <c r="A76" s="155" t="s">
        <v>224</v>
      </c>
      <c r="B76" s="97">
        <f>-ER!H34</f>
        <v>8253264</v>
      </c>
      <c r="K76" s="66"/>
      <c r="T76" s="138"/>
    </row>
    <row r="77" spans="1:20" ht="12" customHeight="1" x14ac:dyDescent="0.25">
      <c r="A77" s="155" t="s">
        <v>225</v>
      </c>
      <c r="B77" s="114">
        <f>+EFE!I44</f>
        <v>-3976474</v>
      </c>
      <c r="K77" s="66"/>
      <c r="T77" s="138"/>
    </row>
    <row r="78" spans="1:20" ht="12" customHeight="1" x14ac:dyDescent="0.25">
      <c r="A78" s="155" t="s">
        <v>222</v>
      </c>
      <c r="B78" s="168">
        <f>-B76-B77+L14</f>
        <v>-83181</v>
      </c>
      <c r="K78" s="66"/>
      <c r="T78" s="138"/>
    </row>
    <row r="79" spans="1:20" ht="12" customHeight="1" x14ac:dyDescent="0.25">
      <c r="A79" s="159" t="s">
        <v>218</v>
      </c>
      <c r="B79" s="168">
        <f>SUM(B76:B78)</f>
        <v>4193609</v>
      </c>
      <c r="K79" s="66"/>
      <c r="T79" s="138"/>
    </row>
    <row r="80" spans="1:20" ht="12" customHeight="1" x14ac:dyDescent="0.25">
      <c r="B80" s="109">
        <f>+B79-L14</f>
        <v>0</v>
      </c>
      <c r="K80" s="66"/>
      <c r="T80" s="138"/>
    </row>
    <row r="81" spans="1:20" ht="12" customHeight="1" x14ac:dyDescent="0.25">
      <c r="A81" s="149" t="s">
        <v>226</v>
      </c>
      <c r="B81" s="150"/>
      <c r="K81" s="66"/>
      <c r="T81" s="138"/>
    </row>
    <row r="82" spans="1:20" ht="12" customHeight="1" x14ac:dyDescent="0.25">
      <c r="A82" s="153" t="s">
        <v>227</v>
      </c>
      <c r="B82" s="97">
        <f>+EFE!I10</f>
        <v>697211</v>
      </c>
      <c r="K82" s="66"/>
      <c r="T82" s="138"/>
    </row>
    <row r="83" spans="1:20" ht="12" customHeight="1" x14ac:dyDescent="0.25">
      <c r="A83" s="155" t="s">
        <v>228</v>
      </c>
      <c r="B83" s="132">
        <f>-B82+C8</f>
        <v>-10976377</v>
      </c>
      <c r="K83" s="66"/>
      <c r="T83" s="138"/>
    </row>
    <row r="84" spans="1:20" ht="12" customHeight="1" x14ac:dyDescent="0.25">
      <c r="A84" s="159" t="s">
        <v>218</v>
      </c>
      <c r="B84" s="132">
        <f>+B82+B83</f>
        <v>-10279166</v>
      </c>
      <c r="K84" s="66"/>
      <c r="T84" s="138"/>
    </row>
    <row r="85" spans="1:20" ht="12" customHeight="1" x14ac:dyDescent="0.25">
      <c r="B85" s="156">
        <f>+B84-C8</f>
        <v>0</v>
      </c>
      <c r="K85" s="66"/>
      <c r="T85" s="138"/>
    </row>
    <row r="86" spans="1:20" ht="12" customHeight="1" x14ac:dyDescent="0.25">
      <c r="A86" s="149" t="s">
        <v>229</v>
      </c>
      <c r="B86" s="150"/>
      <c r="K86" s="66"/>
      <c r="T86" s="138"/>
    </row>
    <row r="87" spans="1:20" ht="12" customHeight="1" x14ac:dyDescent="0.25">
      <c r="A87" s="153" t="s">
        <v>230</v>
      </c>
      <c r="B87" s="97">
        <f>+EFE!I22</f>
        <v>1571924</v>
      </c>
      <c r="K87" s="66"/>
      <c r="T87" s="138"/>
    </row>
    <row r="88" spans="1:20" ht="12" customHeight="1" x14ac:dyDescent="0.25">
      <c r="A88" s="155" t="s">
        <v>222</v>
      </c>
      <c r="B88" s="132">
        <f>-B87+C28</f>
        <v>-3143848.1851480007</v>
      </c>
    </row>
    <row r="89" spans="1:20" ht="12" customHeight="1" x14ac:dyDescent="0.25">
      <c r="A89" s="159" t="s">
        <v>218</v>
      </c>
      <c r="B89" s="132">
        <f>+B87+B88</f>
        <v>-1571924.1851480007</v>
      </c>
    </row>
    <row r="90" spans="1:20" ht="12" customHeight="1" x14ac:dyDescent="0.25">
      <c r="B90" s="167">
        <f>+B89-C28</f>
        <v>0</v>
      </c>
    </row>
    <row r="91" spans="1:20" ht="12" customHeight="1" x14ac:dyDescent="0.25">
      <c r="A91" s="149" t="s">
        <v>231</v>
      </c>
      <c r="B91" s="150"/>
    </row>
    <row r="92" spans="1:20" ht="12" customHeight="1" x14ac:dyDescent="0.25">
      <c r="A92" s="153" t="s">
        <v>448</v>
      </c>
      <c r="B92" s="97">
        <v>-1307540</v>
      </c>
    </row>
    <row r="93" spans="1:20" ht="12" customHeight="1" x14ac:dyDescent="0.25">
      <c r="A93" s="153" t="s">
        <v>232</v>
      </c>
      <c r="B93" s="97">
        <v>0</v>
      </c>
    </row>
    <row r="94" spans="1:20" ht="12" customHeight="1" x14ac:dyDescent="0.25">
      <c r="A94" s="155" t="s">
        <v>222</v>
      </c>
      <c r="B94" s="132">
        <v>-519230</v>
      </c>
    </row>
    <row r="95" spans="1:20" ht="12" customHeight="1" x14ac:dyDescent="0.25">
      <c r="A95" s="159" t="s">
        <v>218</v>
      </c>
      <c r="B95" s="132">
        <f>SUM(B92:B94)</f>
        <v>-1826770</v>
      </c>
    </row>
    <row r="96" spans="1:20" ht="12" customHeight="1" x14ac:dyDescent="0.25">
      <c r="B96" s="167">
        <f>+B95-L13-L26</f>
        <v>0</v>
      </c>
    </row>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sheetData>
  <pageMargins left="0.7" right="0.7" top="0.75" bottom="0.75"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E7E6E6"/>
  </sheetPr>
  <dimension ref="A1:L201"/>
  <sheetViews>
    <sheetView topLeftCell="B6" zoomScaleNormal="100" workbookViewId="0">
      <pane xSplit="4" ySplit="15" topLeftCell="F154" activePane="bottomRight" state="frozen"/>
      <selection activeCell="B6" sqref="B6"/>
      <selection pane="topRight" activeCell="F6" sqref="F6"/>
      <selection pane="bottomLeft" activeCell="B21" sqref="B21"/>
      <selection pane="bottomRight" activeCell="E196" sqref="E196"/>
    </sheetView>
  </sheetViews>
  <sheetFormatPr defaultColWidth="11.5703125" defaultRowHeight="15" outlineLevelRow="1" x14ac:dyDescent="0.25"/>
  <cols>
    <col min="1" max="1" width="2.85546875" customWidth="1"/>
    <col min="2" max="4" width="11.42578125" style="8" customWidth="1"/>
    <col min="5" max="5" width="12.140625" style="8" customWidth="1"/>
    <col min="6" max="7" width="12.7109375" style="2" customWidth="1"/>
    <col min="8" max="8" width="12.5703125" customWidth="1"/>
    <col min="9" max="9" width="13.42578125" customWidth="1"/>
    <col min="10" max="10" width="13.140625" customWidth="1"/>
    <col min="11" max="11" width="13.42578125" bestFit="1" customWidth="1"/>
    <col min="12" max="12" width="12.28515625" customWidth="1"/>
  </cols>
  <sheetData>
    <row r="1" spans="1:10" x14ac:dyDescent="0.25">
      <c r="A1" s="3" t="s">
        <v>12</v>
      </c>
    </row>
    <row r="2" spans="1:10" x14ac:dyDescent="0.25">
      <c r="A2" s="4" t="s">
        <v>233</v>
      </c>
    </row>
    <row r="3" spans="1:10" x14ac:dyDescent="0.25">
      <c r="A3" s="4" t="s">
        <v>234</v>
      </c>
    </row>
    <row r="4" spans="1:10" x14ac:dyDescent="0.25">
      <c r="A4" s="8" t="s">
        <v>14</v>
      </c>
      <c r="F4" s="6"/>
      <c r="G4" s="6"/>
      <c r="H4" s="17"/>
      <c r="I4" s="17"/>
      <c r="J4" s="17"/>
    </row>
    <row r="5" spans="1:10" x14ac:dyDescent="0.25">
      <c r="F5" s="10"/>
      <c r="G5" s="10"/>
      <c r="H5" s="18"/>
      <c r="I5" s="37" t="s">
        <v>15</v>
      </c>
      <c r="J5" s="37"/>
    </row>
    <row r="6" spans="1:10" x14ac:dyDescent="0.25">
      <c r="F6" s="14" t="s">
        <v>16</v>
      </c>
      <c r="G6" s="14" t="s">
        <v>17</v>
      </c>
      <c r="H6" s="39" t="s">
        <v>18</v>
      </c>
      <c r="I6" s="40" t="s">
        <v>19</v>
      </c>
      <c r="J6" s="39" t="s">
        <v>20</v>
      </c>
    </row>
    <row r="7" spans="1:10" x14ac:dyDescent="0.25">
      <c r="B7" s="169" t="s">
        <v>235</v>
      </c>
      <c r="C7" s="50"/>
      <c r="D7" s="50"/>
      <c r="E7" s="50"/>
      <c r="F7" s="10"/>
      <c r="G7" s="10"/>
      <c r="H7" s="18"/>
      <c r="I7" s="18"/>
      <c r="J7" s="18"/>
    </row>
    <row r="8" spans="1:10" hidden="1" outlineLevel="1" x14ac:dyDescent="0.25">
      <c r="B8" s="30" t="s">
        <v>236</v>
      </c>
      <c r="C8" s="54"/>
      <c r="D8" s="54"/>
      <c r="E8" s="54"/>
      <c r="F8" s="10">
        <v>11061874</v>
      </c>
      <c r="G8" s="10">
        <v>4032283</v>
      </c>
      <c r="H8" s="10">
        <f t="shared" ref="H8:H15" si="0">+F8+G8</f>
        <v>15094157</v>
      </c>
      <c r="I8" s="10"/>
      <c r="J8" s="10">
        <f t="shared" ref="J8:J15" si="1">+H8+I8</f>
        <v>15094157</v>
      </c>
    </row>
    <row r="9" spans="1:10" hidden="1" outlineLevel="1" x14ac:dyDescent="0.25">
      <c r="B9" s="30" t="s">
        <v>237</v>
      </c>
      <c r="C9" s="54"/>
      <c r="D9" s="54"/>
      <c r="E9" s="54"/>
      <c r="F9" s="10">
        <f>+F8</f>
        <v>11061874</v>
      </c>
      <c r="G9" s="10">
        <f>+G8</f>
        <v>4032283</v>
      </c>
      <c r="H9" s="10">
        <f t="shared" si="0"/>
        <v>15094157</v>
      </c>
      <c r="I9" s="10"/>
      <c r="J9" s="10">
        <f t="shared" si="1"/>
        <v>15094157</v>
      </c>
    </row>
    <row r="10" spans="1:10" hidden="1" outlineLevel="1" x14ac:dyDescent="0.25">
      <c r="B10" s="30" t="s">
        <v>238</v>
      </c>
      <c r="C10" s="54"/>
      <c r="D10" s="54"/>
      <c r="E10" s="54"/>
      <c r="F10" s="10"/>
      <c r="G10" s="10">
        <v>1228319</v>
      </c>
      <c r="H10" s="10">
        <f t="shared" si="0"/>
        <v>1228319</v>
      </c>
      <c r="I10" s="10"/>
      <c r="J10" s="10">
        <f t="shared" si="1"/>
        <v>1228319</v>
      </c>
    </row>
    <row r="11" spans="1:10" hidden="1" outlineLevel="1" x14ac:dyDescent="0.25">
      <c r="B11" s="30" t="s">
        <v>239</v>
      </c>
      <c r="C11" s="54"/>
      <c r="D11" s="54"/>
      <c r="E11" s="54"/>
      <c r="F11" s="10">
        <v>7077000</v>
      </c>
      <c r="G11" s="10"/>
      <c r="H11" s="10">
        <f t="shared" si="0"/>
        <v>7077000</v>
      </c>
      <c r="I11" s="10"/>
      <c r="J11" s="10">
        <f t="shared" si="1"/>
        <v>7077000</v>
      </c>
    </row>
    <row r="12" spans="1:10" hidden="1" outlineLevel="1" x14ac:dyDescent="0.25">
      <c r="B12" s="30" t="s">
        <v>240</v>
      </c>
      <c r="C12" s="54"/>
      <c r="D12" s="54"/>
      <c r="E12" s="54"/>
      <c r="F12" s="10">
        <v>5470478</v>
      </c>
      <c r="G12" s="10"/>
      <c r="H12" s="10">
        <f t="shared" si="0"/>
        <v>5470478</v>
      </c>
      <c r="I12" s="10"/>
      <c r="J12" s="10">
        <f t="shared" si="1"/>
        <v>5470478</v>
      </c>
    </row>
    <row r="13" spans="1:10" hidden="1" outlineLevel="1" x14ac:dyDescent="0.25">
      <c r="B13" s="30" t="s">
        <v>241</v>
      </c>
      <c r="C13" s="54"/>
      <c r="D13" s="54"/>
      <c r="E13" s="54"/>
      <c r="F13" s="10">
        <v>270000</v>
      </c>
      <c r="G13" s="10"/>
      <c r="H13" s="10">
        <f t="shared" si="0"/>
        <v>270000</v>
      </c>
      <c r="I13" s="10"/>
      <c r="J13" s="10">
        <f t="shared" si="1"/>
        <v>270000</v>
      </c>
    </row>
    <row r="14" spans="1:10" hidden="1" outlineLevel="1" x14ac:dyDescent="0.25">
      <c r="B14" s="30" t="s">
        <v>242</v>
      </c>
      <c r="C14" s="54"/>
      <c r="D14" s="54"/>
      <c r="E14" s="54"/>
      <c r="F14" s="10">
        <v>23879352</v>
      </c>
      <c r="G14" s="10">
        <f>+G9+G10</f>
        <v>5260602</v>
      </c>
      <c r="H14" s="10">
        <f t="shared" si="0"/>
        <v>29139954</v>
      </c>
      <c r="I14" s="10"/>
      <c r="J14" s="10">
        <f t="shared" si="1"/>
        <v>29139954</v>
      </c>
    </row>
    <row r="15" spans="1:10" hidden="1" outlineLevel="1" x14ac:dyDescent="0.25">
      <c r="B15" s="30" t="s">
        <v>243</v>
      </c>
      <c r="C15" s="54"/>
      <c r="D15" s="54"/>
      <c r="E15" s="54"/>
      <c r="F15" s="24">
        <v>0</v>
      </c>
      <c r="G15" s="24">
        <v>2340607</v>
      </c>
      <c r="H15" s="24">
        <f t="shared" si="0"/>
        <v>2340607</v>
      </c>
      <c r="I15" s="24"/>
      <c r="J15" s="24">
        <f t="shared" si="1"/>
        <v>2340607</v>
      </c>
    </row>
    <row r="16" spans="1:10" hidden="1" collapsed="1" x14ac:dyDescent="0.25">
      <c r="B16" s="30" t="s">
        <v>244</v>
      </c>
      <c r="C16" s="54"/>
      <c r="D16" s="54"/>
      <c r="E16" s="54"/>
      <c r="F16" s="6">
        <f>+F14+F15</f>
        <v>23879352</v>
      </c>
      <c r="G16" s="6">
        <f>+G14+G15</f>
        <v>7601209</v>
      </c>
      <c r="H16" s="6">
        <f>+H14+H15</f>
        <v>31480561</v>
      </c>
      <c r="I16" s="6">
        <f>+I14+I15</f>
        <v>0</v>
      </c>
      <c r="J16" s="6">
        <f>+J14+J15</f>
        <v>31480561</v>
      </c>
    </row>
    <row r="17" spans="2:10" hidden="1" x14ac:dyDescent="0.25">
      <c r="B17" s="30" t="s">
        <v>245</v>
      </c>
      <c r="C17" s="54"/>
      <c r="D17" s="54"/>
      <c r="E17" s="54"/>
      <c r="F17" s="10">
        <v>6127345</v>
      </c>
      <c r="G17" s="10">
        <v>0</v>
      </c>
      <c r="H17" s="10">
        <f>+F17+G17</f>
        <v>6127345</v>
      </c>
      <c r="I17" s="10"/>
      <c r="J17" s="10">
        <f>+H17+I17</f>
        <v>6127345</v>
      </c>
    </row>
    <row r="18" spans="2:10" hidden="1" x14ac:dyDescent="0.25">
      <c r="B18" s="30" t="s">
        <v>243</v>
      </c>
      <c r="C18" s="54"/>
      <c r="D18" s="54"/>
      <c r="E18" s="54"/>
      <c r="F18" s="24">
        <v>0</v>
      </c>
      <c r="G18" s="24">
        <v>3414354</v>
      </c>
      <c r="H18" s="10">
        <f>+F18+G18</f>
        <v>3414354</v>
      </c>
      <c r="I18" s="24"/>
      <c r="J18" s="10">
        <f>+H18+I18</f>
        <v>3414354</v>
      </c>
    </row>
    <row r="19" spans="2:10" hidden="1" x14ac:dyDescent="0.25">
      <c r="B19" s="30" t="s">
        <v>246</v>
      </c>
      <c r="C19" s="54"/>
      <c r="D19" s="54"/>
      <c r="E19" s="54"/>
      <c r="F19" s="6">
        <f>+F16+F17</f>
        <v>30006697</v>
      </c>
      <c r="G19" s="6">
        <f>+G16+G17+G18</f>
        <v>11015563</v>
      </c>
      <c r="H19" s="6">
        <f>+H16+H17+H18</f>
        <v>41022260</v>
      </c>
      <c r="I19" s="6"/>
      <c r="J19" s="6">
        <f>+J16+J17+J18</f>
        <v>41022260</v>
      </c>
    </row>
    <row r="20" spans="2:10" hidden="1" x14ac:dyDescent="0.25">
      <c r="B20" s="30" t="s">
        <v>243</v>
      </c>
      <c r="C20" s="54"/>
      <c r="D20" s="54"/>
      <c r="E20" s="54"/>
      <c r="F20" s="10">
        <v>5035990</v>
      </c>
      <c r="G20" s="10">
        <v>2143739</v>
      </c>
      <c r="H20" s="10">
        <f>+F20+G20</f>
        <v>7179729</v>
      </c>
      <c r="I20" s="10"/>
      <c r="J20" s="10">
        <f>+H20+I20</f>
        <v>7179729</v>
      </c>
    </row>
    <row r="21" spans="2:10" x14ac:dyDescent="0.25">
      <c r="B21" s="30" t="s">
        <v>247</v>
      </c>
      <c r="C21" s="54"/>
      <c r="D21" s="54"/>
      <c r="E21" s="54"/>
      <c r="F21" s="6">
        <f>SUM(F19:F20)</f>
        <v>35042687</v>
      </c>
      <c r="G21" s="6">
        <f>SUM(G19:G20)</f>
        <v>13159302</v>
      </c>
      <c r="H21" s="6">
        <f>SUM(H19:H20)</f>
        <v>48201989</v>
      </c>
      <c r="I21" s="6">
        <f>SUM(I19:I20)</f>
        <v>0</v>
      </c>
      <c r="J21" s="6">
        <f>SUM(J19:J20)</f>
        <v>48201989</v>
      </c>
    </row>
    <row r="22" spans="2:10" x14ac:dyDescent="0.25">
      <c r="B22" s="30" t="s">
        <v>248</v>
      </c>
      <c r="C22" s="54"/>
      <c r="D22" s="54"/>
      <c r="E22" s="54"/>
      <c r="F22" s="10">
        <v>8215675</v>
      </c>
      <c r="G22" s="10"/>
      <c r="H22" s="10">
        <f>+F22+G22</f>
        <v>8215675</v>
      </c>
      <c r="I22" s="10"/>
      <c r="J22" s="10">
        <f>+H22+I22</f>
        <v>8215675</v>
      </c>
    </row>
    <row r="23" spans="2:10" x14ac:dyDescent="0.25">
      <c r="B23" s="30" t="s">
        <v>249</v>
      </c>
      <c r="C23" s="54"/>
      <c r="D23" s="54"/>
      <c r="E23" s="54"/>
      <c r="F23" s="10">
        <v>-6115000</v>
      </c>
      <c r="G23" s="10"/>
      <c r="H23" s="10">
        <f>+F23+G23</f>
        <v>-6115000</v>
      </c>
      <c r="I23" s="10"/>
      <c r="J23" s="10">
        <f>+H23+I23</f>
        <v>-6115000</v>
      </c>
    </row>
    <row r="24" spans="2:10" x14ac:dyDescent="0.25">
      <c r="B24" s="30" t="s">
        <v>250</v>
      </c>
      <c r="C24" s="54"/>
      <c r="D24" s="54"/>
      <c r="E24" s="54"/>
      <c r="F24" s="236">
        <f>SUM(F21:F23)</f>
        <v>37143362</v>
      </c>
      <c r="G24" s="236">
        <f>SUM(G21:G23)</f>
        <v>13159302</v>
      </c>
      <c r="H24" s="238">
        <f>SUM(H21:H23)</f>
        <v>50302664</v>
      </c>
      <c r="I24" s="236">
        <f>SUM(I21:I23)</f>
        <v>0</v>
      </c>
      <c r="J24" s="236">
        <f>SUM(J21:J23)</f>
        <v>50302664</v>
      </c>
    </row>
    <row r="25" spans="2:10" x14ac:dyDescent="0.25">
      <c r="B25" s="30" t="s">
        <v>433</v>
      </c>
      <c r="C25" s="54"/>
      <c r="D25" s="54"/>
      <c r="E25" s="54"/>
      <c r="F25" s="237">
        <v>-21629181</v>
      </c>
      <c r="G25" s="237"/>
      <c r="H25" s="2">
        <f>+F25+G25</f>
        <v>-21629181</v>
      </c>
      <c r="I25" s="237"/>
      <c r="J25" s="237">
        <f t="shared" ref="J25:J26" si="2">+H25+I25</f>
        <v>-21629181</v>
      </c>
    </row>
    <row r="26" spans="2:10" x14ac:dyDescent="0.25">
      <c r="B26" s="30" t="s">
        <v>434</v>
      </c>
      <c r="C26" s="54"/>
      <c r="D26" s="54"/>
      <c r="E26" s="54"/>
      <c r="F26" s="24">
        <v>6115000</v>
      </c>
      <c r="G26" s="24">
        <v>5404856</v>
      </c>
      <c r="H26" s="2">
        <f>+F26+G26</f>
        <v>11519856</v>
      </c>
      <c r="I26" s="24"/>
      <c r="J26" s="24">
        <f t="shared" si="2"/>
        <v>11519856</v>
      </c>
    </row>
    <row r="27" spans="2:10" x14ac:dyDescent="0.25">
      <c r="B27" s="30" t="s">
        <v>252</v>
      </c>
      <c r="C27" s="54"/>
      <c r="D27" s="54"/>
      <c r="E27" s="54"/>
      <c r="F27" s="170">
        <f>SUM(F24:F26)</f>
        <v>21629181</v>
      </c>
      <c r="G27" s="170">
        <f>SUM(G24:G26)</f>
        <v>18564158</v>
      </c>
      <c r="H27" s="170">
        <f>SUM(H24:H26)</f>
        <v>40193339</v>
      </c>
      <c r="I27" s="170">
        <f>SUM(I24:I26)</f>
        <v>0</v>
      </c>
      <c r="J27" s="170">
        <f>SUM(J24:J26)</f>
        <v>40193339</v>
      </c>
    </row>
    <row r="28" spans="2:10" x14ac:dyDescent="0.25">
      <c r="B28" s="30"/>
      <c r="C28" s="54"/>
      <c r="D28" s="54"/>
      <c r="E28" s="54"/>
      <c r="F28" s="10"/>
      <c r="G28" s="10"/>
      <c r="H28" s="10"/>
      <c r="I28" s="10"/>
      <c r="J28" s="10"/>
    </row>
    <row r="29" spans="2:10" x14ac:dyDescent="0.25">
      <c r="B29" s="171" t="s">
        <v>253</v>
      </c>
      <c r="C29" s="54"/>
      <c r="D29" s="54"/>
      <c r="E29" s="54"/>
      <c r="F29" s="10"/>
      <c r="G29" s="10"/>
      <c r="H29" s="10"/>
      <c r="I29" s="10"/>
      <c r="J29" s="10"/>
    </row>
    <row r="30" spans="2:10" hidden="1" outlineLevel="1" x14ac:dyDescent="0.25">
      <c r="B30" s="30" t="s">
        <v>254</v>
      </c>
      <c r="C30" s="54"/>
      <c r="D30" s="54"/>
      <c r="E30" s="54"/>
      <c r="F30" s="10">
        <v>9572420</v>
      </c>
      <c r="G30" s="10"/>
      <c r="H30" s="10">
        <f t="shared" ref="H30:H38" si="3">+F30+G30</f>
        <v>9572420</v>
      </c>
      <c r="I30" s="10"/>
      <c r="J30" s="10">
        <f t="shared" ref="J30:J38" si="4">+H30+I30</f>
        <v>9572420</v>
      </c>
    </row>
    <row r="31" spans="2:10" hidden="1" outlineLevel="1" x14ac:dyDescent="0.25">
      <c r="B31" s="30" t="s">
        <v>255</v>
      </c>
      <c r="C31" s="54"/>
      <c r="D31" s="54"/>
      <c r="E31" s="54"/>
      <c r="F31" s="10">
        <v>1304919</v>
      </c>
      <c r="G31" s="10"/>
      <c r="H31" s="10">
        <f t="shared" si="3"/>
        <v>1304919</v>
      </c>
      <c r="I31" s="10"/>
      <c r="J31" s="10">
        <f t="shared" si="4"/>
        <v>1304919</v>
      </c>
    </row>
    <row r="32" spans="2:10" hidden="1" outlineLevel="1" x14ac:dyDescent="0.25">
      <c r="B32" s="30" t="s">
        <v>237</v>
      </c>
      <c r="C32" s="54"/>
      <c r="D32" s="54"/>
      <c r="E32" s="54"/>
      <c r="F32" s="10">
        <f>+F30+F31</f>
        <v>10877339</v>
      </c>
      <c r="G32" s="10"/>
      <c r="H32" s="10">
        <f t="shared" si="3"/>
        <v>10877339</v>
      </c>
      <c r="I32" s="10"/>
      <c r="J32" s="10">
        <f t="shared" si="4"/>
        <v>10877339</v>
      </c>
    </row>
    <row r="33" spans="2:10" hidden="1" outlineLevel="1" x14ac:dyDescent="0.25">
      <c r="B33" s="30" t="s">
        <v>256</v>
      </c>
      <c r="C33" s="54"/>
      <c r="D33" s="54"/>
      <c r="E33" s="54"/>
      <c r="F33" s="10">
        <v>-3094403</v>
      </c>
      <c r="G33" s="10"/>
      <c r="H33" s="10">
        <f t="shared" si="3"/>
        <v>-3094403</v>
      </c>
      <c r="I33" s="18"/>
      <c r="J33" s="10">
        <f t="shared" si="4"/>
        <v>-3094403</v>
      </c>
    </row>
    <row r="34" spans="2:10" hidden="1" outlineLevel="1" x14ac:dyDescent="0.25">
      <c r="B34" s="30" t="s">
        <v>239</v>
      </c>
      <c r="C34" s="54"/>
      <c r="D34" s="54"/>
      <c r="E34" s="54"/>
      <c r="F34" s="10">
        <v>-7077000</v>
      </c>
      <c r="G34" s="10"/>
      <c r="H34" s="10">
        <f t="shared" si="3"/>
        <v>-7077000</v>
      </c>
      <c r="I34" s="18"/>
      <c r="J34" s="10">
        <f t="shared" si="4"/>
        <v>-7077000</v>
      </c>
    </row>
    <row r="35" spans="2:10" hidden="1" outlineLevel="1" x14ac:dyDescent="0.25">
      <c r="B35" s="30" t="s">
        <v>242</v>
      </c>
      <c r="C35" s="54"/>
      <c r="D35" s="54"/>
      <c r="E35" s="54"/>
      <c r="F35" s="24">
        <f>SUM(F32:F34)</f>
        <v>705936</v>
      </c>
      <c r="G35" s="24">
        <v>0</v>
      </c>
      <c r="H35" s="24">
        <f t="shared" si="3"/>
        <v>705936</v>
      </c>
      <c r="I35" s="27"/>
      <c r="J35" s="24">
        <f t="shared" si="4"/>
        <v>705936</v>
      </c>
    </row>
    <row r="36" spans="2:10" hidden="1" collapsed="1" x14ac:dyDescent="0.25">
      <c r="B36" s="30" t="s">
        <v>244</v>
      </c>
      <c r="C36" s="54"/>
      <c r="D36" s="54"/>
      <c r="E36" s="54"/>
      <c r="F36" s="6">
        <f>+F35</f>
        <v>705936</v>
      </c>
      <c r="G36" s="6">
        <v>0</v>
      </c>
      <c r="H36" s="6">
        <f t="shared" si="3"/>
        <v>705936</v>
      </c>
      <c r="I36" s="17"/>
      <c r="J36" s="6">
        <f t="shared" si="4"/>
        <v>705936</v>
      </c>
    </row>
    <row r="37" spans="2:10" ht="42.75" hidden="1" customHeight="1" x14ac:dyDescent="0.25">
      <c r="B37" s="267" t="s">
        <v>257</v>
      </c>
      <c r="C37" s="267"/>
      <c r="D37" s="267"/>
      <c r="E37" s="267"/>
      <c r="F37" s="24">
        <v>-705016</v>
      </c>
      <c r="G37" s="24">
        <v>0</v>
      </c>
      <c r="H37" s="24">
        <f t="shared" si="3"/>
        <v>-705016</v>
      </c>
      <c r="I37" s="27"/>
      <c r="J37" s="24">
        <f t="shared" si="4"/>
        <v>-705016</v>
      </c>
    </row>
    <row r="38" spans="2:10" hidden="1" x14ac:dyDescent="0.25">
      <c r="B38" s="268" t="s">
        <v>246</v>
      </c>
      <c r="C38" s="268"/>
      <c r="D38" s="268"/>
      <c r="E38" s="268"/>
      <c r="F38" s="6">
        <f>+F36+F37</f>
        <v>920</v>
      </c>
      <c r="G38" s="6">
        <v>0</v>
      </c>
      <c r="H38" s="6">
        <f t="shared" si="3"/>
        <v>920</v>
      </c>
      <c r="I38" s="17"/>
      <c r="J38" s="6">
        <f t="shared" si="4"/>
        <v>920</v>
      </c>
    </row>
    <row r="39" spans="2:10" x14ac:dyDescent="0.25">
      <c r="B39" s="268" t="s">
        <v>247</v>
      </c>
      <c r="C39" s="268"/>
      <c r="D39" s="268"/>
      <c r="E39" s="268"/>
      <c r="F39" s="6">
        <f>SUM(F38:F38)</f>
        <v>920</v>
      </c>
      <c r="G39" s="6">
        <f>SUM(G38:G38)</f>
        <v>0</v>
      </c>
      <c r="H39" s="6">
        <f>SUM(H38:H38)</f>
        <v>920</v>
      </c>
      <c r="I39" s="6">
        <f>SUM(I38:I38)</f>
        <v>0</v>
      </c>
      <c r="J39" s="6">
        <f>SUM(J38:J38)</f>
        <v>920</v>
      </c>
    </row>
    <row r="40" spans="2:10" x14ac:dyDescent="0.25">
      <c r="B40" s="268" t="s">
        <v>258</v>
      </c>
      <c r="C40" s="268"/>
      <c r="D40" s="268"/>
      <c r="E40" s="268"/>
      <c r="F40" s="10">
        <v>6115000</v>
      </c>
      <c r="G40" s="10"/>
      <c r="H40" s="10">
        <f>+F40+G40</f>
        <v>6115000</v>
      </c>
      <c r="I40" s="10"/>
      <c r="J40" s="10">
        <f>+H40+I40</f>
        <v>6115000</v>
      </c>
    </row>
    <row r="41" spans="2:10" x14ac:dyDescent="0.25">
      <c r="B41" s="30" t="s">
        <v>250</v>
      </c>
      <c r="C41" s="54"/>
      <c r="D41" s="54"/>
      <c r="E41" s="54"/>
      <c r="F41" s="236">
        <f>+F39+F40</f>
        <v>6115920</v>
      </c>
      <c r="G41" s="236">
        <f>+G39+G40</f>
        <v>0</v>
      </c>
      <c r="H41" s="238">
        <f>+H39+H40</f>
        <v>6115920</v>
      </c>
      <c r="I41" s="236">
        <f>+I39+I40</f>
        <v>0</v>
      </c>
      <c r="J41" s="236">
        <f>+J39+J40</f>
        <v>6115920</v>
      </c>
    </row>
    <row r="42" spans="2:10" x14ac:dyDescent="0.25">
      <c r="B42" s="30" t="s">
        <v>435</v>
      </c>
      <c r="C42" s="54"/>
      <c r="D42" s="54"/>
      <c r="E42" s="54"/>
      <c r="F42" s="10">
        <v>-6115000</v>
      </c>
      <c r="G42" s="10"/>
      <c r="H42" s="2">
        <f>+F42+G42</f>
        <v>-6115000</v>
      </c>
      <c r="I42" s="24"/>
      <c r="J42" s="24">
        <f>+H42+I42</f>
        <v>-6115000</v>
      </c>
    </row>
    <row r="43" spans="2:10" ht="15.75" thickBot="1" x14ac:dyDescent="0.3">
      <c r="B43" s="30" t="s">
        <v>252</v>
      </c>
      <c r="C43" s="54"/>
      <c r="D43" s="54"/>
      <c r="E43" s="54"/>
      <c r="F43" s="170">
        <f>SUM(F41:F42)</f>
        <v>920</v>
      </c>
      <c r="G43" s="170">
        <f>SUM(G41:G42)</f>
        <v>0</v>
      </c>
      <c r="H43" s="19">
        <f>SUM(H41:H42)</f>
        <v>920</v>
      </c>
      <c r="I43" s="19">
        <f>SUM(I41:I42)</f>
        <v>0</v>
      </c>
      <c r="J43" s="19">
        <f>SUM(J41:J42)</f>
        <v>920</v>
      </c>
    </row>
    <row r="44" spans="2:10" ht="15.75" thickTop="1" x14ac:dyDescent="0.25">
      <c r="B44" s="30"/>
      <c r="C44" s="54"/>
      <c r="D44" s="54"/>
      <c r="E44" s="54"/>
      <c r="F44" s="10"/>
      <c r="G44" s="10"/>
      <c r="H44" s="26"/>
      <c r="I44" s="10"/>
      <c r="J44" s="10"/>
    </row>
    <row r="45" spans="2:10" x14ac:dyDescent="0.25">
      <c r="B45" s="171" t="s">
        <v>259</v>
      </c>
      <c r="C45" s="54"/>
      <c r="D45" s="54"/>
      <c r="E45" s="54"/>
      <c r="F45" s="24"/>
      <c r="G45" s="24"/>
      <c r="H45" s="26"/>
      <c r="I45" s="18"/>
      <c r="J45" s="18"/>
    </row>
    <row r="46" spans="2:10" hidden="1" outlineLevel="1" x14ac:dyDescent="0.25">
      <c r="B46" s="30" t="s">
        <v>254</v>
      </c>
      <c r="C46" s="54"/>
      <c r="D46" s="54"/>
      <c r="E46" s="54"/>
      <c r="F46" s="10">
        <v>570206</v>
      </c>
      <c r="G46" s="10">
        <v>516352</v>
      </c>
      <c r="H46" s="10">
        <f>+F46+G46</f>
        <v>1086558</v>
      </c>
      <c r="I46" s="18"/>
      <c r="J46" s="60">
        <f>+H46+I46</f>
        <v>1086558</v>
      </c>
    </row>
    <row r="47" spans="2:10" hidden="1" outlineLevel="1" x14ac:dyDescent="0.25">
      <c r="B47" s="30" t="s">
        <v>260</v>
      </c>
      <c r="C47" s="54"/>
      <c r="D47" s="54"/>
      <c r="E47" s="54"/>
      <c r="F47" s="10">
        <v>359244</v>
      </c>
      <c r="G47" s="10"/>
      <c r="H47" s="10">
        <f>+F47+G47</f>
        <v>359244</v>
      </c>
      <c r="I47" s="18"/>
      <c r="J47" s="10">
        <f>+H47+I47</f>
        <v>359244</v>
      </c>
    </row>
    <row r="48" spans="2:10" hidden="1" outlineLevel="1" x14ac:dyDescent="0.25">
      <c r="B48" s="30" t="s">
        <v>237</v>
      </c>
      <c r="C48" s="54"/>
      <c r="D48" s="54"/>
      <c r="E48" s="54"/>
      <c r="F48" s="10">
        <f>+F47+F46</f>
        <v>929450</v>
      </c>
      <c r="G48" s="10">
        <f>+G46+G47</f>
        <v>516352</v>
      </c>
      <c r="H48" s="10">
        <f>+F48+G48</f>
        <v>1445802</v>
      </c>
      <c r="I48" s="18"/>
      <c r="J48" s="10">
        <f>+H48+I48</f>
        <v>1445802</v>
      </c>
    </row>
    <row r="49" spans="2:11" hidden="1" outlineLevel="1" x14ac:dyDescent="0.25">
      <c r="B49" s="30" t="s">
        <v>261</v>
      </c>
      <c r="C49" s="54"/>
      <c r="D49" s="54"/>
      <c r="E49" s="54"/>
      <c r="F49" s="10">
        <v>1710803</v>
      </c>
      <c r="G49" s="10">
        <v>136481</v>
      </c>
      <c r="H49" s="10">
        <f>+F49+G49</f>
        <v>1847284</v>
      </c>
      <c r="I49" s="18"/>
      <c r="J49" s="10">
        <f>+H49+I49</f>
        <v>1847284</v>
      </c>
    </row>
    <row r="50" spans="2:11" hidden="1" outlineLevel="1" x14ac:dyDescent="0.25">
      <c r="B50" s="30" t="s">
        <v>242</v>
      </c>
      <c r="C50" s="54"/>
      <c r="D50" s="54"/>
      <c r="E50" s="54"/>
      <c r="F50" s="10">
        <f>+F49+F48</f>
        <v>2640253</v>
      </c>
      <c r="G50" s="10">
        <f>+G49+G48</f>
        <v>652833</v>
      </c>
      <c r="H50" s="10">
        <f>+F50+G50</f>
        <v>3293086</v>
      </c>
      <c r="I50" s="18"/>
      <c r="J50" s="10">
        <f>+H50+I50</f>
        <v>3293086</v>
      </c>
    </row>
    <row r="51" spans="2:11" hidden="1" outlineLevel="1" x14ac:dyDescent="0.25">
      <c r="B51" s="30" t="s">
        <v>262</v>
      </c>
      <c r="C51" s="54"/>
      <c r="D51" s="54"/>
      <c r="E51" s="54"/>
      <c r="F51" s="6">
        <f>+F50</f>
        <v>2640253</v>
      </c>
      <c r="G51" s="6">
        <f>+G50</f>
        <v>652833</v>
      </c>
      <c r="H51" s="6">
        <f>+H50</f>
        <v>3293086</v>
      </c>
      <c r="I51" s="6">
        <f>+I50</f>
        <v>0</v>
      </c>
      <c r="J51" s="6">
        <f>+J50</f>
        <v>3293086</v>
      </c>
    </row>
    <row r="52" spans="2:11" hidden="1" outlineLevel="1" x14ac:dyDescent="0.25">
      <c r="B52" s="30" t="s">
        <v>261</v>
      </c>
      <c r="C52" s="54"/>
      <c r="D52" s="54"/>
      <c r="E52" s="54"/>
      <c r="F52" s="26">
        <v>1341885</v>
      </c>
      <c r="G52" s="26">
        <v>260067</v>
      </c>
      <c r="H52" s="10">
        <f>+F52+G52</f>
        <v>1601952</v>
      </c>
      <c r="I52" s="18"/>
      <c r="J52" s="10">
        <f>+H52+I52</f>
        <v>1601952</v>
      </c>
    </row>
    <row r="53" spans="2:11" hidden="1" outlineLevel="1" x14ac:dyDescent="0.25">
      <c r="B53" s="53" t="s">
        <v>263</v>
      </c>
      <c r="C53" s="54"/>
      <c r="D53" s="54"/>
      <c r="E53" s="54"/>
      <c r="F53" s="10"/>
      <c r="G53" s="172">
        <v>379372</v>
      </c>
      <c r="H53" s="10">
        <f>+F53+G53</f>
        <v>379372</v>
      </c>
      <c r="I53" s="18"/>
      <c r="J53" s="10">
        <f>+H53+I53</f>
        <v>379372</v>
      </c>
    </row>
    <row r="54" spans="2:11" hidden="1" x14ac:dyDescent="0.25">
      <c r="B54" s="30" t="s">
        <v>264</v>
      </c>
      <c r="C54" s="54"/>
      <c r="D54" s="54"/>
      <c r="E54" s="54"/>
      <c r="F54" s="6">
        <f>+F50+F52</f>
        <v>3982138</v>
      </c>
      <c r="G54" s="6">
        <f>+G51+G52+G53</f>
        <v>1292272</v>
      </c>
      <c r="H54" s="6">
        <f>+H51+H52+H53</f>
        <v>5274410</v>
      </c>
      <c r="I54" s="6">
        <f>+I50+I52</f>
        <v>0</v>
      </c>
      <c r="J54" s="6">
        <f>+J51+J52+J53</f>
        <v>5274410</v>
      </c>
    </row>
    <row r="55" spans="2:11" hidden="1" x14ac:dyDescent="0.25">
      <c r="B55" s="30" t="s">
        <v>251</v>
      </c>
      <c r="C55" s="54"/>
      <c r="D55" s="54"/>
      <c r="E55" s="54"/>
      <c r="F55" s="10">
        <v>680816</v>
      </c>
      <c r="G55" s="10">
        <v>259368</v>
      </c>
      <c r="H55" s="10">
        <f>+F55+G55</f>
        <v>940184</v>
      </c>
      <c r="I55" s="10"/>
      <c r="J55" s="10">
        <f>+H55+I55</f>
        <v>940184</v>
      </c>
    </row>
    <row r="56" spans="2:11" hidden="1" x14ac:dyDescent="0.25">
      <c r="B56" s="30" t="s">
        <v>265</v>
      </c>
      <c r="C56" s="54"/>
      <c r="D56" s="54"/>
      <c r="E56" s="54"/>
      <c r="F56" s="6">
        <v>4662954</v>
      </c>
      <c r="G56" s="6">
        <f>+G54+G55</f>
        <v>1551640</v>
      </c>
      <c r="H56" s="6">
        <f>+H54+H55</f>
        <v>6214594</v>
      </c>
      <c r="I56" s="6"/>
      <c r="J56" s="6">
        <f>+J54+J55</f>
        <v>6214594</v>
      </c>
    </row>
    <row r="57" spans="2:11" hidden="1" x14ac:dyDescent="0.25">
      <c r="B57" s="30" t="s">
        <v>266</v>
      </c>
      <c r="C57" s="54"/>
      <c r="D57" s="54"/>
      <c r="E57" s="48"/>
      <c r="F57" s="10">
        <v>559555</v>
      </c>
      <c r="G57" s="10"/>
      <c r="H57" s="10">
        <f>+F57+G57</f>
        <v>559555</v>
      </c>
      <c r="I57" s="18"/>
      <c r="J57" s="60">
        <f>+H57+I57</f>
        <v>559555</v>
      </c>
    </row>
    <row r="58" spans="2:11" x14ac:dyDescent="0.25">
      <c r="B58" s="30" t="s">
        <v>247</v>
      </c>
      <c r="C58" s="54"/>
      <c r="D58" s="54"/>
      <c r="E58" s="54"/>
      <c r="F58" s="6">
        <f>SUM(F56:F57)</f>
        <v>5222509</v>
      </c>
      <c r="G58" s="6">
        <f>SUM(G56:G57)</f>
        <v>1551640</v>
      </c>
      <c r="H58" s="6">
        <f>SUM(H56:H57)</f>
        <v>6774149</v>
      </c>
      <c r="I58" s="6">
        <f>SUM(I56:I57)</f>
        <v>0</v>
      </c>
      <c r="J58" s="6">
        <f>SUM(J56:J57)</f>
        <v>6774149</v>
      </c>
      <c r="K58" s="32"/>
    </row>
    <row r="59" spans="2:11" x14ac:dyDescent="0.25">
      <c r="B59" s="30" t="s">
        <v>261</v>
      </c>
      <c r="C59" s="54"/>
      <c r="D59" s="54"/>
      <c r="E59" s="54"/>
      <c r="F59" s="10">
        <v>912853</v>
      </c>
      <c r="G59" s="10">
        <v>374781</v>
      </c>
      <c r="H59" s="10">
        <f>+F59+G59</f>
        <v>1287634</v>
      </c>
      <c r="I59" s="10"/>
      <c r="J59" s="10">
        <f>+H59+I59</f>
        <v>1287634</v>
      </c>
      <c r="K59" s="32"/>
    </row>
    <row r="60" spans="2:11" x14ac:dyDescent="0.25">
      <c r="B60" s="30" t="s">
        <v>250</v>
      </c>
      <c r="C60" s="54"/>
      <c r="D60" s="54"/>
      <c r="E60" s="54"/>
      <c r="F60" s="6">
        <f>+F58+F59</f>
        <v>6135362</v>
      </c>
      <c r="G60" s="6">
        <f>+G58+G59</f>
        <v>1926421</v>
      </c>
      <c r="H60" s="6">
        <f>+H58+H59</f>
        <v>8061783</v>
      </c>
      <c r="I60" s="6">
        <f>+I58+I59</f>
        <v>0</v>
      </c>
      <c r="J60" s="6">
        <f>+J58+J59</f>
        <v>8061783</v>
      </c>
      <c r="K60" s="32"/>
    </row>
    <row r="61" spans="2:11" x14ac:dyDescent="0.25">
      <c r="B61" s="30" t="s">
        <v>248</v>
      </c>
      <c r="C61" s="54"/>
      <c r="D61" s="54"/>
      <c r="E61" s="54"/>
      <c r="F61" s="10">
        <v>0</v>
      </c>
      <c r="G61" s="239">
        <v>709264</v>
      </c>
      <c r="H61" s="10">
        <f>+F61+G61</f>
        <v>709264</v>
      </c>
      <c r="I61" s="183"/>
      <c r="J61" s="10">
        <f>+H61+I61</f>
        <v>709264</v>
      </c>
      <c r="K61" s="32"/>
    </row>
    <row r="62" spans="2:11" ht="15.75" thickBot="1" x14ac:dyDescent="0.3">
      <c r="B62" s="30" t="s">
        <v>252</v>
      </c>
      <c r="C62" s="54"/>
      <c r="D62" s="54"/>
      <c r="E62" s="54"/>
      <c r="F62" s="170">
        <f>SUM(F60:F61)</f>
        <v>6135362</v>
      </c>
      <c r="G62" s="170">
        <f>SUM(G60:G61)</f>
        <v>2635685</v>
      </c>
      <c r="H62" s="170">
        <f>SUM(H60:H61)</f>
        <v>8771047</v>
      </c>
      <c r="I62" s="170">
        <f>SUM(I60:I61)</f>
        <v>0</v>
      </c>
      <c r="J62" s="170">
        <f>SUM(J60:J61)</f>
        <v>8771047</v>
      </c>
      <c r="K62" s="32"/>
    </row>
    <row r="63" spans="2:11" x14ac:dyDescent="0.25">
      <c r="B63" s="30"/>
      <c r="C63" s="54"/>
      <c r="D63" s="54"/>
      <c r="E63" s="48"/>
      <c r="F63" s="10"/>
      <c r="G63" s="10"/>
      <c r="H63" s="10"/>
      <c r="I63" s="18"/>
      <c r="J63" s="18"/>
    </row>
    <row r="64" spans="2:11" x14ac:dyDescent="0.25">
      <c r="B64" s="171" t="s">
        <v>267</v>
      </c>
      <c r="C64" s="54"/>
      <c r="D64" s="54"/>
      <c r="E64" s="54"/>
      <c r="F64" s="10"/>
      <c r="G64" s="10"/>
      <c r="H64" s="10">
        <f t="shared" ref="H64:H70" si="5">+F64+G64</f>
        <v>0</v>
      </c>
      <c r="I64" s="18"/>
      <c r="J64" s="18"/>
    </row>
    <row r="65" spans="2:11" hidden="1" outlineLevel="1" x14ac:dyDescent="0.25">
      <c r="B65" s="30" t="s">
        <v>268</v>
      </c>
      <c r="C65" s="54"/>
      <c r="D65" s="54"/>
      <c r="E65" s="54"/>
      <c r="F65" s="24">
        <v>34797</v>
      </c>
      <c r="G65" s="24">
        <v>14436</v>
      </c>
      <c r="H65" s="10">
        <f t="shared" si="5"/>
        <v>49233</v>
      </c>
      <c r="I65" s="27"/>
      <c r="J65" s="24">
        <f t="shared" ref="J65:J70" si="6">+H65+I65</f>
        <v>49233</v>
      </c>
    </row>
    <row r="66" spans="2:11" hidden="1" outlineLevel="1" x14ac:dyDescent="0.25">
      <c r="B66" s="30" t="s">
        <v>269</v>
      </c>
      <c r="C66" s="54"/>
      <c r="D66" s="54"/>
      <c r="E66" s="54"/>
      <c r="F66" s="19">
        <f t="shared" ref="F66:G70" si="7">+F65</f>
        <v>34797</v>
      </c>
      <c r="G66" s="19">
        <f t="shared" si="7"/>
        <v>14436</v>
      </c>
      <c r="H66" s="10">
        <f t="shared" si="5"/>
        <v>49233</v>
      </c>
      <c r="I66" s="173"/>
      <c r="J66" s="19">
        <f t="shared" si="6"/>
        <v>49233</v>
      </c>
    </row>
    <row r="67" spans="2:11" hidden="1" x14ac:dyDescent="0.25">
      <c r="B67" s="30" t="s">
        <v>264</v>
      </c>
      <c r="C67" s="54"/>
      <c r="D67" s="54"/>
      <c r="E67" s="54"/>
      <c r="F67" s="19">
        <f t="shared" si="7"/>
        <v>34797</v>
      </c>
      <c r="G67" s="19">
        <f t="shared" si="7"/>
        <v>14436</v>
      </c>
      <c r="H67" s="10">
        <f t="shared" si="5"/>
        <v>49233</v>
      </c>
      <c r="I67" s="173"/>
      <c r="J67" s="19">
        <f t="shared" si="6"/>
        <v>49233</v>
      </c>
    </row>
    <row r="68" spans="2:11" hidden="1" x14ac:dyDescent="0.25">
      <c r="B68" s="30" t="s">
        <v>246</v>
      </c>
      <c r="C68" s="54"/>
      <c r="D68" s="54"/>
      <c r="E68" s="54"/>
      <c r="F68" s="19">
        <f t="shared" si="7"/>
        <v>34797</v>
      </c>
      <c r="G68" s="19">
        <f t="shared" si="7"/>
        <v>14436</v>
      </c>
      <c r="H68" s="10">
        <f t="shared" si="5"/>
        <v>49233</v>
      </c>
      <c r="I68" s="173"/>
      <c r="J68" s="19">
        <f t="shared" si="6"/>
        <v>49233</v>
      </c>
    </row>
    <row r="69" spans="2:11" x14ac:dyDescent="0.25">
      <c r="B69" s="30" t="s">
        <v>247</v>
      </c>
      <c r="C69" s="54"/>
      <c r="D69" s="54"/>
      <c r="E69" s="54"/>
      <c r="F69" s="10">
        <f t="shared" si="7"/>
        <v>34797</v>
      </c>
      <c r="G69" s="10">
        <f t="shared" si="7"/>
        <v>14436</v>
      </c>
      <c r="H69" s="24">
        <f t="shared" si="5"/>
        <v>49233</v>
      </c>
      <c r="I69" s="18"/>
      <c r="J69" s="10">
        <f t="shared" si="6"/>
        <v>49233</v>
      </c>
    </row>
    <row r="70" spans="2:11" x14ac:dyDescent="0.25">
      <c r="B70" s="30" t="s">
        <v>250</v>
      </c>
      <c r="C70" s="54"/>
      <c r="D70" s="54"/>
      <c r="E70" s="54"/>
      <c r="F70" s="19">
        <f t="shared" si="7"/>
        <v>34797</v>
      </c>
      <c r="G70" s="19">
        <f t="shared" si="7"/>
        <v>14436</v>
      </c>
      <c r="H70" s="19">
        <f t="shared" si="5"/>
        <v>49233</v>
      </c>
      <c r="I70" s="173"/>
      <c r="J70" s="19">
        <f t="shared" si="6"/>
        <v>49233</v>
      </c>
    </row>
    <row r="71" spans="2:11" ht="15.75" thickBot="1" x14ac:dyDescent="0.3">
      <c r="B71" s="30" t="s">
        <v>252</v>
      </c>
      <c r="C71" s="54"/>
      <c r="D71" s="54"/>
      <c r="E71" s="54"/>
      <c r="F71" s="241">
        <f>SUM(F70:F70)</f>
        <v>34797</v>
      </c>
      <c r="G71" s="241">
        <f>SUM(G70:G70)</f>
        <v>14436</v>
      </c>
      <c r="H71" s="241">
        <f>SUM(H70:H70)</f>
        <v>49233</v>
      </c>
      <c r="I71" s="241">
        <f>SUM(I70:I70)</f>
        <v>0</v>
      </c>
      <c r="J71" s="241">
        <f>SUM(J70:J70)</f>
        <v>49233</v>
      </c>
      <c r="K71" s="32"/>
    </row>
    <row r="72" spans="2:11" x14ac:dyDescent="0.25">
      <c r="B72" s="174" t="s">
        <v>270</v>
      </c>
      <c r="C72" s="175"/>
      <c r="D72" s="175"/>
      <c r="E72" s="175"/>
      <c r="F72" s="176">
        <f>+F62+F71</f>
        <v>6170159</v>
      </c>
      <c r="G72" s="176">
        <f t="shared" ref="G72:H72" si="8">+G62+G71</f>
        <v>2650121</v>
      </c>
      <c r="H72" s="176">
        <f t="shared" si="8"/>
        <v>8820280</v>
      </c>
      <c r="I72" s="176">
        <f>+I60+I70</f>
        <v>0</v>
      </c>
      <c r="J72" s="176">
        <f>+J62+J71</f>
        <v>8820280</v>
      </c>
    </row>
    <row r="73" spans="2:11" x14ac:dyDescent="0.25">
      <c r="B73" s="30"/>
      <c r="C73" s="54"/>
      <c r="D73" s="54"/>
      <c r="E73" s="54"/>
      <c r="F73" s="10"/>
      <c r="G73" s="10"/>
      <c r="H73" s="10">
        <f t="shared" ref="H73:H80" si="9">+F73+G73</f>
        <v>0</v>
      </c>
      <c r="I73" s="18"/>
      <c r="J73" s="18"/>
    </row>
    <row r="74" spans="2:11" x14ac:dyDescent="0.25">
      <c r="B74" s="171" t="s">
        <v>271</v>
      </c>
      <c r="C74" s="54"/>
      <c r="D74" s="54"/>
      <c r="E74" s="54"/>
      <c r="F74" s="10"/>
      <c r="G74" s="10"/>
      <c r="H74" s="10">
        <f t="shared" si="9"/>
        <v>0</v>
      </c>
      <c r="I74" s="18"/>
      <c r="J74" s="18"/>
    </row>
    <row r="75" spans="2:11" hidden="1" outlineLevel="1" x14ac:dyDescent="0.25">
      <c r="B75" s="30" t="s">
        <v>268</v>
      </c>
      <c r="C75" s="54"/>
      <c r="D75" s="54"/>
      <c r="E75" s="54"/>
      <c r="F75" s="24">
        <v>227072</v>
      </c>
      <c r="G75" s="24">
        <v>85174</v>
      </c>
      <c r="H75" s="24">
        <f t="shared" si="9"/>
        <v>312246</v>
      </c>
      <c r="I75" s="27"/>
      <c r="J75" s="24">
        <f t="shared" ref="J75:J80" si="10">+H75+I75</f>
        <v>312246</v>
      </c>
    </row>
    <row r="76" spans="2:11" hidden="1" outlineLevel="1" x14ac:dyDescent="0.25">
      <c r="B76" s="30" t="s">
        <v>269</v>
      </c>
      <c r="C76" s="54"/>
      <c r="D76" s="54"/>
      <c r="E76" s="54"/>
      <c r="F76" s="19">
        <f t="shared" ref="F76:G80" si="11">+F75</f>
        <v>227072</v>
      </c>
      <c r="G76" s="19">
        <f t="shared" si="11"/>
        <v>85174</v>
      </c>
      <c r="H76" s="19">
        <f t="shared" si="9"/>
        <v>312246</v>
      </c>
      <c r="I76" s="173"/>
      <c r="J76" s="19">
        <f t="shared" si="10"/>
        <v>312246</v>
      </c>
    </row>
    <row r="77" spans="2:11" hidden="1" x14ac:dyDescent="0.25">
      <c r="B77" s="30" t="s">
        <v>264</v>
      </c>
      <c r="C77" s="54"/>
      <c r="D77" s="54"/>
      <c r="E77" s="54"/>
      <c r="F77" s="19">
        <f t="shared" si="11"/>
        <v>227072</v>
      </c>
      <c r="G77" s="19">
        <f t="shared" si="11"/>
        <v>85174</v>
      </c>
      <c r="H77" s="19">
        <f t="shared" si="9"/>
        <v>312246</v>
      </c>
      <c r="I77" s="173"/>
      <c r="J77" s="19">
        <f t="shared" si="10"/>
        <v>312246</v>
      </c>
    </row>
    <row r="78" spans="2:11" hidden="1" x14ac:dyDescent="0.25">
      <c r="B78" s="30" t="s">
        <v>265</v>
      </c>
      <c r="C78" s="54"/>
      <c r="D78" s="54"/>
      <c r="E78" s="54"/>
      <c r="F78" s="19">
        <f t="shared" si="11"/>
        <v>227072</v>
      </c>
      <c r="G78" s="19">
        <f t="shared" si="11"/>
        <v>85174</v>
      </c>
      <c r="H78" s="19">
        <f t="shared" si="9"/>
        <v>312246</v>
      </c>
      <c r="I78" s="173"/>
      <c r="J78" s="19">
        <f t="shared" si="10"/>
        <v>312246</v>
      </c>
    </row>
    <row r="79" spans="2:11" x14ac:dyDescent="0.25">
      <c r="B79" s="30" t="s">
        <v>272</v>
      </c>
      <c r="C79" s="54"/>
      <c r="D79" s="54"/>
      <c r="E79" s="54"/>
      <c r="F79" s="6">
        <f t="shared" si="11"/>
        <v>227072</v>
      </c>
      <c r="G79" s="6">
        <f t="shared" si="11"/>
        <v>85174</v>
      </c>
      <c r="H79" s="6">
        <f t="shared" si="9"/>
        <v>312246</v>
      </c>
      <c r="I79" s="6"/>
      <c r="J79" s="6">
        <f t="shared" si="10"/>
        <v>312246</v>
      </c>
    </row>
    <row r="80" spans="2:11" x14ac:dyDescent="0.25">
      <c r="B80" s="30" t="s">
        <v>273</v>
      </c>
      <c r="C80" s="54"/>
      <c r="D80" s="54"/>
      <c r="E80" s="54"/>
      <c r="F80" s="19">
        <f t="shared" si="11"/>
        <v>227072</v>
      </c>
      <c r="G80" s="19">
        <f t="shared" si="11"/>
        <v>85174</v>
      </c>
      <c r="H80" s="19">
        <f t="shared" si="9"/>
        <v>312246</v>
      </c>
      <c r="I80" s="19"/>
      <c r="J80" s="19">
        <f t="shared" si="10"/>
        <v>312246</v>
      </c>
    </row>
    <row r="81" spans="2:11" ht="15.75" thickBot="1" x14ac:dyDescent="0.3">
      <c r="B81" s="30" t="s">
        <v>252</v>
      </c>
      <c r="C81" s="54"/>
      <c r="D81" s="54"/>
      <c r="E81" s="54"/>
      <c r="F81" s="241">
        <f>SUM(F80:F80)</f>
        <v>227072</v>
      </c>
      <c r="G81" s="241">
        <f>SUM(G80:G80)</f>
        <v>85174</v>
      </c>
      <c r="H81" s="241">
        <f>SUM(H80:H80)</f>
        <v>312246</v>
      </c>
      <c r="I81" s="241">
        <f>SUM(I80:I80)</f>
        <v>0</v>
      </c>
      <c r="J81" s="241">
        <f>SUM(J80:J80)</f>
        <v>312246</v>
      </c>
      <c r="K81" s="32"/>
    </row>
    <row r="82" spans="2:11" x14ac:dyDescent="0.25">
      <c r="B82" s="30"/>
      <c r="C82" s="54"/>
      <c r="D82" s="54"/>
      <c r="E82" s="54"/>
      <c r="F82" s="10"/>
      <c r="G82" s="10"/>
      <c r="H82" s="10"/>
      <c r="I82" s="18"/>
      <c r="J82" s="18"/>
    </row>
    <row r="83" spans="2:11" x14ac:dyDescent="0.25">
      <c r="B83" s="171" t="s">
        <v>274</v>
      </c>
      <c r="C83" s="54"/>
      <c r="D83" s="54"/>
      <c r="E83" s="54"/>
      <c r="F83" s="10"/>
      <c r="G83" s="10"/>
      <c r="H83" s="10">
        <f t="shared" ref="H83:H88" si="12">+F83+G83</f>
        <v>0</v>
      </c>
      <c r="I83" s="18"/>
      <c r="J83" s="18"/>
    </row>
    <row r="84" spans="2:11" hidden="1" outlineLevel="1" x14ac:dyDescent="0.25">
      <c r="B84" s="30" t="s">
        <v>236</v>
      </c>
      <c r="C84" s="54"/>
      <c r="D84" s="54"/>
      <c r="E84" s="54"/>
      <c r="F84" s="24">
        <v>-3202431</v>
      </c>
      <c r="G84" s="24">
        <v>-24915</v>
      </c>
      <c r="H84" s="24">
        <f t="shared" si="12"/>
        <v>-3227346</v>
      </c>
      <c r="I84" s="27"/>
      <c r="J84" s="24">
        <f>+H84+I84</f>
        <v>-3227346</v>
      </c>
    </row>
    <row r="85" spans="2:11" hidden="1" outlineLevel="1" x14ac:dyDescent="0.25">
      <c r="B85" s="30" t="s">
        <v>275</v>
      </c>
      <c r="C85" s="54"/>
      <c r="D85" s="54"/>
      <c r="E85" s="54"/>
      <c r="F85" s="19">
        <f t="shared" ref="F85:G89" si="13">+F84</f>
        <v>-3202431</v>
      </c>
      <c r="G85" s="19">
        <f t="shared" si="13"/>
        <v>-24915</v>
      </c>
      <c r="H85" s="19">
        <f t="shared" si="12"/>
        <v>-3227346</v>
      </c>
      <c r="I85" s="173"/>
      <c r="J85" s="19">
        <f>+H85+I85</f>
        <v>-3227346</v>
      </c>
    </row>
    <row r="86" spans="2:11" hidden="1" x14ac:dyDescent="0.25">
      <c r="B86" s="30" t="s">
        <v>264</v>
      </c>
      <c r="C86" s="54"/>
      <c r="D86" s="54"/>
      <c r="E86" s="54"/>
      <c r="F86" s="19">
        <f t="shared" si="13"/>
        <v>-3202431</v>
      </c>
      <c r="G86" s="19">
        <f t="shared" si="13"/>
        <v>-24915</v>
      </c>
      <c r="H86" s="19">
        <f t="shared" si="12"/>
        <v>-3227346</v>
      </c>
      <c r="I86" s="173"/>
      <c r="J86" s="19">
        <f>+H86+I86</f>
        <v>-3227346</v>
      </c>
    </row>
    <row r="87" spans="2:11" hidden="1" x14ac:dyDescent="0.25">
      <c r="B87" s="30" t="s">
        <v>265</v>
      </c>
      <c r="C87" s="54"/>
      <c r="D87" s="54"/>
      <c r="E87" s="54"/>
      <c r="F87" s="6">
        <f t="shared" si="13"/>
        <v>-3202431</v>
      </c>
      <c r="G87" s="6">
        <f t="shared" si="13"/>
        <v>-24915</v>
      </c>
      <c r="H87" s="19">
        <f t="shared" si="12"/>
        <v>-3227346</v>
      </c>
      <c r="I87" s="17"/>
      <c r="J87" s="19">
        <f>+H87+I87</f>
        <v>-3227346</v>
      </c>
    </row>
    <row r="88" spans="2:11" x14ac:dyDescent="0.25">
      <c r="B88" s="30" t="s">
        <v>272</v>
      </c>
      <c r="C88" s="54"/>
      <c r="D88" s="54"/>
      <c r="E88" s="54"/>
      <c r="F88" s="19">
        <f t="shared" si="13"/>
        <v>-3202431</v>
      </c>
      <c r="G88" s="19">
        <f t="shared" si="13"/>
        <v>-24915</v>
      </c>
      <c r="H88" s="19">
        <f t="shared" si="12"/>
        <v>-3227346</v>
      </c>
      <c r="I88" s="173"/>
      <c r="J88" s="19">
        <f>+H88+I88</f>
        <v>-3227346</v>
      </c>
    </row>
    <row r="89" spans="2:11" x14ac:dyDescent="0.25">
      <c r="B89" s="30" t="s">
        <v>273</v>
      </c>
      <c r="C89" s="54"/>
      <c r="D89" s="54"/>
      <c r="E89" s="54"/>
      <c r="F89" s="19">
        <f t="shared" si="13"/>
        <v>-3202431</v>
      </c>
      <c r="G89" s="19">
        <f t="shared" si="13"/>
        <v>-24915</v>
      </c>
      <c r="H89" s="19">
        <f>+H88</f>
        <v>-3227346</v>
      </c>
      <c r="I89" s="19">
        <f>+I88</f>
        <v>0</v>
      </c>
      <c r="J89" s="19">
        <f>+J88</f>
        <v>-3227346</v>
      </c>
    </row>
    <row r="90" spans="2:11" ht="15.75" thickBot="1" x14ac:dyDescent="0.3">
      <c r="B90" s="30" t="s">
        <v>252</v>
      </c>
      <c r="C90" s="54"/>
      <c r="D90" s="54"/>
      <c r="E90" s="54"/>
      <c r="F90" s="241">
        <f>SUM(F89:F89)</f>
        <v>-3202431</v>
      </c>
      <c r="G90" s="241">
        <f>SUM(G89:G89)</f>
        <v>-24915</v>
      </c>
      <c r="H90" s="241">
        <f>SUM(H89:H89)</f>
        <v>-3227346</v>
      </c>
      <c r="I90" s="241">
        <f>SUM(I89:I89)</f>
        <v>0</v>
      </c>
      <c r="J90" s="241">
        <f>SUM(J89:J89)</f>
        <v>-3227346</v>
      </c>
      <c r="K90" s="32"/>
    </row>
    <row r="91" spans="2:11" x14ac:dyDescent="0.25">
      <c r="B91" s="30"/>
      <c r="C91" s="54"/>
      <c r="D91" s="54"/>
      <c r="E91" s="54"/>
      <c r="F91" s="10"/>
      <c r="G91" s="10"/>
      <c r="H91" s="10">
        <f>+F91+G91</f>
        <v>0</v>
      </c>
      <c r="I91" s="18"/>
      <c r="J91" s="18"/>
    </row>
    <row r="92" spans="2:11" x14ac:dyDescent="0.25">
      <c r="B92" s="171" t="s">
        <v>276</v>
      </c>
      <c r="C92" s="54"/>
      <c r="D92" s="54"/>
      <c r="E92" s="54"/>
      <c r="F92" s="10"/>
      <c r="G92" s="10"/>
      <c r="H92" s="10">
        <f>+F92+G92</f>
        <v>0</v>
      </c>
      <c r="I92" s="18"/>
      <c r="J92" s="18"/>
    </row>
    <row r="93" spans="2:11" hidden="1" outlineLevel="1" x14ac:dyDescent="0.25">
      <c r="B93" s="30" t="s">
        <v>236</v>
      </c>
      <c r="C93" s="54"/>
      <c r="D93" s="54"/>
      <c r="E93" s="54"/>
      <c r="F93" s="10"/>
      <c r="G93" s="10"/>
      <c r="H93" s="10"/>
      <c r="I93" s="18"/>
      <c r="J93" s="18"/>
    </row>
    <row r="94" spans="2:11" hidden="1" outlineLevel="1" x14ac:dyDescent="0.25">
      <c r="B94" s="30" t="s">
        <v>277</v>
      </c>
      <c r="C94" s="54"/>
      <c r="D94" s="54"/>
      <c r="E94" s="54"/>
      <c r="F94" s="10"/>
      <c r="G94" s="10">
        <v>-164317</v>
      </c>
      <c r="H94" s="10">
        <f>F94+G94</f>
        <v>-164317</v>
      </c>
      <c r="I94" s="18"/>
      <c r="J94" s="18"/>
    </row>
    <row r="95" spans="2:11" hidden="1" outlineLevel="1" x14ac:dyDescent="0.25">
      <c r="B95" s="177" t="s">
        <v>278</v>
      </c>
      <c r="C95" s="54"/>
      <c r="D95" s="54"/>
      <c r="E95" s="54"/>
      <c r="F95" s="10">
        <v>0</v>
      </c>
      <c r="G95" s="10">
        <v>-164317</v>
      </c>
      <c r="H95" s="10">
        <f>F95+G95</f>
        <v>-164317</v>
      </c>
      <c r="I95" s="18"/>
      <c r="J95" s="10">
        <f t="shared" ref="J95:J104" si="14">+H95+I95</f>
        <v>-164317</v>
      </c>
    </row>
    <row r="96" spans="2:11" hidden="1" outlineLevel="1" x14ac:dyDescent="0.25">
      <c r="B96" s="30" t="s">
        <v>279</v>
      </c>
      <c r="C96" s="54"/>
      <c r="D96" s="54"/>
      <c r="E96" s="54"/>
      <c r="F96" s="24">
        <v>0</v>
      </c>
      <c r="G96" s="24">
        <v>44500</v>
      </c>
      <c r="H96" s="24">
        <f>+F96+G96</f>
        <v>44500</v>
      </c>
      <c r="I96" s="27"/>
      <c r="J96" s="24">
        <f t="shared" si="14"/>
        <v>44500</v>
      </c>
    </row>
    <row r="97" spans="2:11" hidden="1" outlineLevel="1" x14ac:dyDescent="0.25">
      <c r="B97" s="30" t="s">
        <v>268</v>
      </c>
      <c r="C97" s="54"/>
      <c r="D97" s="54"/>
      <c r="E97" s="54"/>
      <c r="F97" s="6">
        <v>0</v>
      </c>
      <c r="G97" s="6">
        <f>G95+G96</f>
        <v>-119817</v>
      </c>
      <c r="H97" s="6">
        <f>+F97+G97</f>
        <v>-119817</v>
      </c>
      <c r="I97" s="17"/>
      <c r="J97" s="6">
        <f t="shared" si="14"/>
        <v>-119817</v>
      </c>
    </row>
    <row r="98" spans="2:11" hidden="1" outlineLevel="1" x14ac:dyDescent="0.25">
      <c r="B98" s="30" t="s">
        <v>279</v>
      </c>
      <c r="C98" s="54"/>
      <c r="D98" s="54"/>
      <c r="E98" s="54"/>
      <c r="F98" s="24">
        <v>0</v>
      </c>
      <c r="G98" s="24">
        <v>16673</v>
      </c>
      <c r="H98" s="24">
        <v>16673</v>
      </c>
      <c r="I98" s="27"/>
      <c r="J98" s="24">
        <f t="shared" si="14"/>
        <v>16673</v>
      </c>
    </row>
    <row r="99" spans="2:11" hidden="1" x14ac:dyDescent="0.25">
      <c r="B99" s="30" t="s">
        <v>264</v>
      </c>
      <c r="C99" s="54"/>
      <c r="D99" s="54"/>
      <c r="E99" s="54"/>
      <c r="F99" s="178">
        <v>-495802</v>
      </c>
      <c r="G99" s="6">
        <f>G97+G98</f>
        <v>-103144</v>
      </c>
      <c r="H99" s="6">
        <f t="shared" ref="H99:H104" si="15">+F99+G99</f>
        <v>-598946</v>
      </c>
      <c r="I99" s="17"/>
      <c r="J99" s="6">
        <f t="shared" si="14"/>
        <v>-598946</v>
      </c>
    </row>
    <row r="100" spans="2:11" hidden="1" x14ac:dyDescent="0.25">
      <c r="B100" s="30" t="s">
        <v>279</v>
      </c>
      <c r="C100" s="54"/>
      <c r="D100" s="54"/>
      <c r="E100" s="54"/>
      <c r="F100" s="179">
        <v>1849659</v>
      </c>
      <c r="G100" s="24">
        <v>-26254</v>
      </c>
      <c r="H100" s="24">
        <f t="shared" si="15"/>
        <v>1823405</v>
      </c>
      <c r="I100" s="27"/>
      <c r="J100" s="24">
        <f t="shared" si="14"/>
        <v>1823405</v>
      </c>
    </row>
    <row r="101" spans="2:11" hidden="1" x14ac:dyDescent="0.25">
      <c r="B101" s="30" t="s">
        <v>265</v>
      </c>
      <c r="C101" s="54"/>
      <c r="D101" s="54"/>
      <c r="E101" s="54"/>
      <c r="F101" s="178">
        <f>+F99+F100</f>
        <v>1353857</v>
      </c>
      <c r="G101" s="6">
        <f>+G99+G100</f>
        <v>-129398</v>
      </c>
      <c r="H101" s="6">
        <f t="shared" si="15"/>
        <v>1224459</v>
      </c>
      <c r="I101" s="17"/>
      <c r="J101" s="6">
        <f t="shared" si="14"/>
        <v>1224459</v>
      </c>
    </row>
    <row r="102" spans="2:11" hidden="1" x14ac:dyDescent="0.25">
      <c r="B102" s="30" t="s">
        <v>279</v>
      </c>
      <c r="C102" s="54"/>
      <c r="D102" s="54"/>
      <c r="E102" s="54"/>
      <c r="F102" s="179">
        <v>70086</v>
      </c>
      <c r="G102" s="24">
        <v>-16606</v>
      </c>
      <c r="H102" s="24">
        <f t="shared" si="15"/>
        <v>53480</v>
      </c>
      <c r="I102" s="27"/>
      <c r="J102" s="24">
        <f t="shared" si="14"/>
        <v>53480</v>
      </c>
    </row>
    <row r="103" spans="2:11" x14ac:dyDescent="0.25">
      <c r="B103" s="30" t="s">
        <v>272</v>
      </c>
      <c r="C103" s="54"/>
      <c r="D103" s="54"/>
      <c r="E103" s="54"/>
      <c r="F103" s="178">
        <f>+F101+F102</f>
        <v>1423943</v>
      </c>
      <c r="G103" s="6">
        <f>+G101+G102</f>
        <v>-146004</v>
      </c>
      <c r="H103" s="6">
        <f t="shared" si="15"/>
        <v>1277939</v>
      </c>
      <c r="I103" s="17"/>
      <c r="J103" s="6">
        <f t="shared" si="14"/>
        <v>1277939</v>
      </c>
    </row>
    <row r="104" spans="2:11" x14ac:dyDescent="0.25">
      <c r="B104" s="30" t="s">
        <v>279</v>
      </c>
      <c r="C104" s="54"/>
      <c r="D104" s="54"/>
      <c r="E104" s="54"/>
      <c r="F104" s="180">
        <v>-1099700</v>
      </c>
      <c r="G104" s="10">
        <v>-15737</v>
      </c>
      <c r="H104" s="10">
        <f t="shared" si="15"/>
        <v>-1115437</v>
      </c>
      <c r="I104" s="18"/>
      <c r="J104" s="10">
        <f t="shared" si="14"/>
        <v>-1115437</v>
      </c>
    </row>
    <row r="105" spans="2:11" x14ac:dyDescent="0.25">
      <c r="B105" s="30" t="s">
        <v>273</v>
      </c>
      <c r="C105" s="54"/>
      <c r="D105" s="54"/>
      <c r="E105" s="54"/>
      <c r="F105" s="6">
        <f>+F103+F104</f>
        <v>324243</v>
      </c>
      <c r="G105" s="6">
        <f>+G103+G104</f>
        <v>-161741</v>
      </c>
      <c r="H105" s="6">
        <f>+H103+H104</f>
        <v>162502</v>
      </c>
      <c r="I105" s="6">
        <f>+I103+I104</f>
        <v>0</v>
      </c>
      <c r="J105" s="6">
        <f>+J103+J104</f>
        <v>162502</v>
      </c>
    </row>
    <row r="106" spans="2:11" x14ac:dyDescent="0.25">
      <c r="B106" s="30" t="s">
        <v>279</v>
      </c>
      <c r="C106" s="54"/>
      <c r="D106" s="54"/>
      <c r="E106" s="54"/>
      <c r="F106" s="23"/>
      <c r="G106" s="250">
        <v>-139500</v>
      </c>
      <c r="H106" s="10">
        <f>+F106+G106</f>
        <v>-139500</v>
      </c>
      <c r="I106" s="64"/>
      <c r="J106" s="10">
        <f>+H106+I106</f>
        <v>-139500</v>
      </c>
      <c r="K106" s="32"/>
    </row>
    <row r="107" spans="2:11" ht="15.75" thickBot="1" x14ac:dyDescent="0.3">
      <c r="B107" s="30" t="s">
        <v>252</v>
      </c>
      <c r="C107" s="54"/>
      <c r="D107" s="54"/>
      <c r="E107" s="54"/>
      <c r="F107" s="170">
        <f>SUM(F105:F106)</f>
        <v>324243</v>
      </c>
      <c r="G107" s="170">
        <f>SUM(G105:G106)</f>
        <v>-301241</v>
      </c>
      <c r="H107" s="170">
        <f>SUM(H105:H106)</f>
        <v>23002</v>
      </c>
      <c r="I107" s="170">
        <f>SUM(I105:I106)</f>
        <v>0</v>
      </c>
      <c r="J107" s="170">
        <f>SUM(J105:J106)</f>
        <v>23002</v>
      </c>
      <c r="K107" s="32"/>
    </row>
    <row r="108" spans="2:11" x14ac:dyDescent="0.25">
      <c r="B108" s="30"/>
      <c r="C108" s="54"/>
      <c r="D108" s="54"/>
      <c r="E108" s="54"/>
      <c r="F108" s="10"/>
      <c r="G108" s="10"/>
      <c r="H108" s="10"/>
      <c r="I108" s="18"/>
      <c r="J108" s="18"/>
    </row>
    <row r="109" spans="2:11" x14ac:dyDescent="0.25">
      <c r="B109" s="171" t="s">
        <v>280</v>
      </c>
      <c r="C109" s="54"/>
      <c r="D109" s="54"/>
      <c r="E109" s="54"/>
      <c r="F109" s="10"/>
      <c r="G109" s="10"/>
      <c r="H109" s="10">
        <f>+F109+G109</f>
        <v>0</v>
      </c>
      <c r="I109" s="18"/>
      <c r="J109" s="18"/>
    </row>
    <row r="110" spans="2:11" hidden="1" outlineLevel="1" x14ac:dyDescent="0.25">
      <c r="B110" s="30" t="s">
        <v>236</v>
      </c>
      <c r="C110" s="54"/>
      <c r="D110" s="54"/>
      <c r="E110" s="54"/>
      <c r="F110" s="10">
        <v>21286279</v>
      </c>
      <c r="G110" s="10">
        <v>801209</v>
      </c>
      <c r="H110" s="10">
        <f>+F110+G110</f>
        <v>22087488</v>
      </c>
      <c r="I110" s="10"/>
      <c r="J110" s="10">
        <f>+H110+I110</f>
        <v>22087488</v>
      </c>
    </row>
    <row r="111" spans="2:11" hidden="1" outlineLevel="1" x14ac:dyDescent="0.25">
      <c r="B111" s="30" t="s">
        <v>281</v>
      </c>
      <c r="C111" s="54"/>
      <c r="D111" s="54"/>
      <c r="E111" s="54"/>
      <c r="F111" s="10">
        <v>-10113380</v>
      </c>
      <c r="G111" s="10"/>
      <c r="H111" s="10">
        <f>+F111+G111</f>
        <v>-10113380</v>
      </c>
      <c r="I111" s="10"/>
      <c r="J111" s="10">
        <f>+H111+I111</f>
        <v>-10113380</v>
      </c>
    </row>
    <row r="112" spans="2:11" hidden="1" outlineLevel="1" x14ac:dyDescent="0.25">
      <c r="B112" s="30" t="s">
        <v>282</v>
      </c>
      <c r="C112" s="54"/>
      <c r="D112" s="54"/>
      <c r="E112" s="54"/>
      <c r="F112" s="6">
        <f>+F110+F111</f>
        <v>11172899</v>
      </c>
      <c r="G112" s="6">
        <f>+G110+G111</f>
        <v>801209</v>
      </c>
      <c r="H112" s="6">
        <f>+H110+H111</f>
        <v>11974108</v>
      </c>
      <c r="I112" s="6">
        <f>+I110+I111</f>
        <v>0</v>
      </c>
      <c r="J112" s="6">
        <f>+J110+J111</f>
        <v>11974108</v>
      </c>
    </row>
    <row r="113" spans="2:12" hidden="1" outlineLevel="1" x14ac:dyDescent="0.25">
      <c r="B113" s="30" t="s">
        <v>283</v>
      </c>
      <c r="C113" s="54"/>
      <c r="D113" s="54"/>
      <c r="E113" s="54"/>
      <c r="F113" s="10">
        <v>-359244</v>
      </c>
      <c r="G113" s="10"/>
      <c r="H113" s="10">
        <f>+F113+G113</f>
        <v>-359244</v>
      </c>
      <c r="I113" s="18"/>
      <c r="J113" s="10">
        <f>+H113+I113</f>
        <v>-359244</v>
      </c>
    </row>
    <row r="114" spans="2:12" hidden="1" outlineLevel="1" x14ac:dyDescent="0.25">
      <c r="B114" s="30" t="s">
        <v>107</v>
      </c>
      <c r="C114" s="54"/>
      <c r="D114" s="54"/>
      <c r="E114" s="54"/>
      <c r="F114" s="10">
        <v>24778671</v>
      </c>
      <c r="G114" s="10"/>
      <c r="H114" s="10">
        <f>+F114+G114</f>
        <v>24778671</v>
      </c>
      <c r="I114" s="10"/>
      <c r="J114" s="10">
        <f>+H114+I114</f>
        <v>24778671</v>
      </c>
    </row>
    <row r="115" spans="2:12" hidden="1" outlineLevel="1" x14ac:dyDescent="0.25">
      <c r="B115" s="30" t="s">
        <v>236</v>
      </c>
      <c r="C115" s="54"/>
      <c r="D115" s="54"/>
      <c r="E115" s="54"/>
      <c r="F115" s="10">
        <f>SUM(F112:F114)</f>
        <v>35592326</v>
      </c>
      <c r="G115" s="10">
        <f>SUM(G112:G114)</f>
        <v>801209</v>
      </c>
      <c r="H115" s="10">
        <f>SUM(H112:H114)</f>
        <v>36393535</v>
      </c>
      <c r="I115" s="10" t="e">
        <f>-AD!Q66</f>
        <v>#REF!</v>
      </c>
      <c r="J115" s="10" t="e">
        <f>+H115+I115</f>
        <v>#REF!</v>
      </c>
    </row>
    <row r="116" spans="2:12" hidden="1" outlineLevel="1" x14ac:dyDescent="0.25">
      <c r="B116" s="30" t="s">
        <v>284</v>
      </c>
      <c r="C116" s="54"/>
      <c r="D116" s="54"/>
      <c r="E116" s="54"/>
      <c r="F116" s="10">
        <v>0</v>
      </c>
      <c r="G116" s="10">
        <v>10139</v>
      </c>
      <c r="H116" s="10">
        <f>+F116+G116</f>
        <v>10139</v>
      </c>
      <c r="I116" s="18"/>
      <c r="J116" s="10">
        <f>+H116+I116</f>
        <v>10139</v>
      </c>
    </row>
    <row r="117" spans="2:12" hidden="1" outlineLevel="1" x14ac:dyDescent="0.25">
      <c r="B117" s="30" t="s">
        <v>285</v>
      </c>
      <c r="C117" s="54"/>
      <c r="D117" s="54"/>
      <c r="E117" s="54"/>
      <c r="F117" s="24">
        <v>-5585599</v>
      </c>
      <c r="G117" s="24">
        <v>0</v>
      </c>
      <c r="H117" s="24">
        <f>+F117+G117</f>
        <v>-5585599</v>
      </c>
      <c r="I117" s="24"/>
      <c r="J117" s="24">
        <f>+H117+I117</f>
        <v>-5585599</v>
      </c>
      <c r="K117" s="32"/>
    </row>
    <row r="118" spans="2:12" hidden="1" outlineLevel="1" x14ac:dyDescent="0.25">
      <c r="B118" s="30" t="s">
        <v>286</v>
      </c>
      <c r="C118" s="54"/>
      <c r="D118" s="54"/>
      <c r="E118" s="54"/>
      <c r="F118" s="10">
        <f>+F115+F117+F116</f>
        <v>30006727</v>
      </c>
      <c r="G118" s="10">
        <f>+G115+G117+G116</f>
        <v>811348</v>
      </c>
      <c r="H118" s="10">
        <f>+H115+H117+H116</f>
        <v>30818075</v>
      </c>
      <c r="I118" s="10" t="e">
        <f>+I115+I117+I116</f>
        <v>#REF!</v>
      </c>
      <c r="J118" s="10" t="e">
        <f>+J115+J117+J116</f>
        <v>#REF!</v>
      </c>
      <c r="K118" s="8"/>
    </row>
    <row r="119" spans="2:12" hidden="1" outlineLevel="1" x14ac:dyDescent="0.25">
      <c r="B119" s="30" t="s">
        <v>287</v>
      </c>
      <c r="C119" s="54"/>
      <c r="D119" s="54"/>
      <c r="E119" s="54"/>
      <c r="F119" s="10">
        <v>0</v>
      </c>
      <c r="G119" s="10">
        <v>-1228319</v>
      </c>
      <c r="H119" s="10">
        <f>+F119+G119</f>
        <v>-1228319</v>
      </c>
      <c r="I119" s="18"/>
      <c r="J119" s="10">
        <f>+H119+I119</f>
        <v>-1228319</v>
      </c>
      <c r="K119" s="8"/>
    </row>
    <row r="120" spans="2:12" hidden="1" outlineLevel="1" x14ac:dyDescent="0.25">
      <c r="B120" s="30" t="s">
        <v>240</v>
      </c>
      <c r="C120" s="54"/>
      <c r="D120" s="54"/>
      <c r="E120" s="54"/>
      <c r="F120" s="10">
        <v>-5470478</v>
      </c>
      <c r="G120" s="10">
        <v>0</v>
      </c>
      <c r="H120" s="10">
        <f>+F120+G120</f>
        <v>-5470478</v>
      </c>
      <c r="I120" s="18"/>
      <c r="J120" s="10">
        <f>+H120+I120</f>
        <v>-5470478</v>
      </c>
      <c r="K120" s="8"/>
    </row>
    <row r="121" spans="2:12" hidden="1" outlineLevel="1" x14ac:dyDescent="0.25">
      <c r="B121" s="30" t="s">
        <v>241</v>
      </c>
      <c r="C121" s="54"/>
      <c r="D121" s="54"/>
      <c r="E121" s="54"/>
      <c r="F121" s="10">
        <v>-270000</v>
      </c>
      <c r="G121" s="10">
        <v>0</v>
      </c>
      <c r="H121" s="10">
        <f>+F121+G121</f>
        <v>-270000</v>
      </c>
      <c r="I121" s="18"/>
      <c r="J121" s="10">
        <f>+H121+I121</f>
        <v>-270000</v>
      </c>
      <c r="K121" s="8"/>
    </row>
    <row r="122" spans="2:12" hidden="1" outlineLevel="1" x14ac:dyDescent="0.25">
      <c r="B122" s="30" t="str">
        <f>+B113</f>
        <v>Transferencia a Reserva Legal</v>
      </c>
      <c r="C122" s="54"/>
      <c r="D122" s="54"/>
      <c r="E122" s="54"/>
      <c r="F122" s="10">
        <f>-F49</f>
        <v>-1710803</v>
      </c>
      <c r="G122" s="10">
        <v>-136481</v>
      </c>
      <c r="H122" s="10">
        <f>+F122+G122</f>
        <v>-1847284</v>
      </c>
      <c r="I122" s="18"/>
      <c r="J122" s="10">
        <f>+H122+I122</f>
        <v>-1847284</v>
      </c>
      <c r="K122" s="8"/>
    </row>
    <row r="123" spans="2:12" hidden="1" outlineLevel="1" x14ac:dyDescent="0.25">
      <c r="B123" s="30" t="s">
        <v>288</v>
      </c>
      <c r="C123" s="54"/>
      <c r="D123" s="54"/>
      <c r="E123" s="54"/>
      <c r="F123" s="24">
        <v>13423797</v>
      </c>
      <c r="G123" s="24">
        <v>2558818</v>
      </c>
      <c r="H123" s="24">
        <f>+F123+G123</f>
        <v>15982615</v>
      </c>
      <c r="I123" s="24" t="e">
        <f>-AD!O66+AD!Q66</f>
        <v>#REF!</v>
      </c>
      <c r="J123" s="24" t="e">
        <f>+H123+I123</f>
        <v>#REF!</v>
      </c>
      <c r="K123" s="32"/>
    </row>
    <row r="124" spans="2:12" hidden="1" outlineLevel="1" x14ac:dyDescent="0.25">
      <c r="B124" s="30" t="s">
        <v>275</v>
      </c>
      <c r="C124" s="54"/>
      <c r="D124" s="54"/>
      <c r="E124" s="54"/>
      <c r="F124" s="6">
        <v>35993633</v>
      </c>
      <c r="G124" s="6">
        <f>SUM(G118:G123)</f>
        <v>2005366</v>
      </c>
      <c r="H124" s="6">
        <f>SUM(H118:H123)</f>
        <v>37984609</v>
      </c>
      <c r="I124" s="6">
        <f>-AD!M17-AD!M42</f>
        <v>-16446314.003400002</v>
      </c>
      <c r="J124" s="6" t="e">
        <f>SUM(J118:J123)</f>
        <v>#REF!</v>
      </c>
      <c r="K124" s="32"/>
      <c r="L124" s="2"/>
    </row>
    <row r="125" spans="2:12" hidden="1" outlineLevel="1" x14ac:dyDescent="0.25">
      <c r="B125" s="30" t="s">
        <v>289</v>
      </c>
      <c r="C125" s="54"/>
      <c r="D125" s="54"/>
      <c r="E125" s="54"/>
      <c r="F125" s="10">
        <v>-2936828</v>
      </c>
      <c r="G125" s="10">
        <v>0</v>
      </c>
      <c r="H125" s="10">
        <f>+F125+G125</f>
        <v>-2936828</v>
      </c>
      <c r="I125" s="10"/>
      <c r="J125" s="10">
        <f>+H125+I125</f>
        <v>-2936828</v>
      </c>
      <c r="K125" s="32"/>
      <c r="L125" s="2"/>
    </row>
    <row r="126" spans="2:12" hidden="1" outlineLevel="1" x14ac:dyDescent="0.25">
      <c r="B126" s="30" t="s">
        <v>290</v>
      </c>
      <c r="C126" s="54"/>
      <c r="D126" s="54"/>
      <c r="E126" s="54"/>
      <c r="F126" s="6">
        <f>+F124+F125</f>
        <v>33056805</v>
      </c>
      <c r="G126" s="6">
        <f>+G124+G125</f>
        <v>2005366</v>
      </c>
      <c r="H126" s="181">
        <f>+H124+H125</f>
        <v>35047781</v>
      </c>
      <c r="I126" s="6">
        <f>+I124+I125</f>
        <v>-16446314.003400002</v>
      </c>
      <c r="J126" s="6" t="e">
        <f>+J124+J125</f>
        <v>#REF!</v>
      </c>
      <c r="K126" s="32"/>
      <c r="L126" s="2"/>
    </row>
    <row r="127" spans="2:12" hidden="1" outlineLevel="1" x14ac:dyDescent="0.25">
      <c r="B127" s="30" t="s">
        <v>291</v>
      </c>
      <c r="C127" s="54"/>
      <c r="D127" s="54"/>
      <c r="E127" s="54"/>
      <c r="F127" s="10">
        <v>0</v>
      </c>
      <c r="G127" s="10">
        <v>-2340607</v>
      </c>
      <c r="H127" s="10">
        <f t="shared" ref="H127:H148" si="16">+F127+G127</f>
        <v>-2340607</v>
      </c>
      <c r="I127" s="18"/>
      <c r="J127" s="10">
        <f>+H127+I127</f>
        <v>-2340607</v>
      </c>
      <c r="L127" s="2"/>
    </row>
    <row r="128" spans="2:12" hidden="1" outlineLevel="1" x14ac:dyDescent="0.25">
      <c r="B128" s="30" t="s">
        <v>283</v>
      </c>
      <c r="C128" s="54"/>
      <c r="D128" s="54"/>
      <c r="E128" s="54"/>
      <c r="F128" s="10">
        <v>-1341885</v>
      </c>
      <c r="G128" s="10">
        <v>-260067</v>
      </c>
      <c r="H128" s="10">
        <f t="shared" si="16"/>
        <v>-1601952</v>
      </c>
      <c r="I128" s="10"/>
      <c r="J128" s="10">
        <f>+H128+I128</f>
        <v>-1601952</v>
      </c>
      <c r="L128" s="2"/>
    </row>
    <row r="129" spans="2:12" hidden="1" outlineLevel="1" x14ac:dyDescent="0.25">
      <c r="B129" s="30" t="s">
        <v>107</v>
      </c>
      <c r="C129" s="54"/>
      <c r="D129" s="54"/>
      <c r="E129" s="54"/>
      <c r="F129" s="10">
        <v>6808164</v>
      </c>
      <c r="G129" s="10">
        <v>3793728</v>
      </c>
      <c r="H129" s="10">
        <f t="shared" si="16"/>
        <v>10601892</v>
      </c>
      <c r="I129" s="10"/>
      <c r="J129" s="10">
        <f>+H129+I129</f>
        <v>10601892</v>
      </c>
      <c r="L129" s="2"/>
    </row>
    <row r="130" spans="2:12" hidden="1" x14ac:dyDescent="0.25">
      <c r="B130" s="30" t="s">
        <v>264</v>
      </c>
      <c r="C130" s="54"/>
      <c r="D130" s="54"/>
      <c r="E130" s="54"/>
      <c r="F130" s="19">
        <f>SUM(F126:F129)</f>
        <v>38523084</v>
      </c>
      <c r="G130" s="19">
        <f>SUM(G126:G129)</f>
        <v>3198420</v>
      </c>
      <c r="H130" s="19">
        <f t="shared" si="16"/>
        <v>41721504</v>
      </c>
      <c r="I130" s="19">
        <f>SUM(I126:I129)</f>
        <v>-16446314.003400002</v>
      </c>
      <c r="J130" s="19" t="e">
        <f>SUM(J126:J129)</f>
        <v>#REF!</v>
      </c>
      <c r="K130" s="32"/>
      <c r="L130" s="2"/>
    </row>
    <row r="131" spans="2:12" hidden="1" x14ac:dyDescent="0.25">
      <c r="B131" s="30" t="s">
        <v>292</v>
      </c>
      <c r="C131" s="54"/>
      <c r="D131" s="54"/>
      <c r="E131" s="54"/>
      <c r="F131" s="10">
        <v>-6127345</v>
      </c>
      <c r="G131" s="10"/>
      <c r="H131" s="10">
        <f t="shared" si="16"/>
        <v>-6127345</v>
      </c>
      <c r="I131" s="10"/>
      <c r="J131" s="10">
        <f t="shared" ref="J131:J153" si="17">+H131+I131</f>
        <v>-6127345</v>
      </c>
      <c r="K131" s="32"/>
      <c r="L131" s="2"/>
    </row>
    <row r="132" spans="2:12" hidden="1" x14ac:dyDescent="0.25">
      <c r="B132" s="30" t="s">
        <v>251</v>
      </c>
      <c r="C132" s="54"/>
      <c r="D132" s="54"/>
      <c r="E132" s="54"/>
      <c r="F132" s="10">
        <v>-680816</v>
      </c>
      <c r="G132" s="10">
        <f>-259368-379372</f>
        <v>-638740</v>
      </c>
      <c r="H132" s="10">
        <f t="shared" si="16"/>
        <v>-1319556</v>
      </c>
      <c r="I132" s="10"/>
      <c r="J132" s="10">
        <f t="shared" si="17"/>
        <v>-1319556</v>
      </c>
      <c r="L132" s="2"/>
    </row>
    <row r="133" spans="2:12" hidden="1" x14ac:dyDescent="0.25">
      <c r="B133" s="30" t="s">
        <v>293</v>
      </c>
      <c r="C133" s="54"/>
      <c r="D133" s="54"/>
      <c r="E133" s="54"/>
      <c r="F133" s="10">
        <f>446968</f>
        <v>446968</v>
      </c>
      <c r="G133" s="10"/>
      <c r="H133" s="10">
        <f t="shared" si="16"/>
        <v>446968</v>
      </c>
      <c r="I133" s="10"/>
      <c r="J133" s="10">
        <f t="shared" si="17"/>
        <v>446968</v>
      </c>
      <c r="L133" s="2"/>
    </row>
    <row r="134" spans="2:12" hidden="1" x14ac:dyDescent="0.25">
      <c r="B134" s="30" t="s">
        <v>107</v>
      </c>
      <c r="C134" s="54"/>
      <c r="D134" s="54"/>
      <c r="E134" s="54"/>
      <c r="F134" s="10">
        <v>5595545</v>
      </c>
      <c r="G134" s="10">
        <v>2593677</v>
      </c>
      <c r="H134" s="10">
        <f t="shared" si="16"/>
        <v>8189222</v>
      </c>
      <c r="I134" s="10">
        <f>+ER!S40</f>
        <v>1836936.4151480002</v>
      </c>
      <c r="J134" s="10">
        <f t="shared" si="17"/>
        <v>10026158.415148001</v>
      </c>
      <c r="K134" s="32">
        <f>+F134-5595545</f>
        <v>0</v>
      </c>
      <c r="L134" s="2"/>
    </row>
    <row r="135" spans="2:12" hidden="1" x14ac:dyDescent="0.25">
      <c r="B135" s="30" t="s">
        <v>291</v>
      </c>
      <c r="C135" s="54"/>
      <c r="D135" s="54"/>
      <c r="E135" s="54"/>
      <c r="F135" s="10"/>
      <c r="G135" s="10">
        <v>-3414354</v>
      </c>
      <c r="H135" s="10">
        <f t="shared" si="16"/>
        <v>-3414354</v>
      </c>
      <c r="I135" s="10"/>
      <c r="J135" s="10">
        <f t="shared" si="17"/>
        <v>-3414354</v>
      </c>
      <c r="L135" s="2"/>
    </row>
    <row r="136" spans="2:12" hidden="1" x14ac:dyDescent="0.25">
      <c r="B136" s="30" t="s">
        <v>265</v>
      </c>
      <c r="C136" s="54"/>
      <c r="D136" s="54"/>
      <c r="E136" s="54"/>
      <c r="F136" s="19">
        <f>SUM(F130:F135)</f>
        <v>37757436</v>
      </c>
      <c r="G136" s="182">
        <f>SUM(G130:G135)</f>
        <v>1739003</v>
      </c>
      <c r="H136" s="182">
        <f t="shared" si="16"/>
        <v>39496439</v>
      </c>
      <c r="I136" s="19">
        <f>SUM(I130:I135)</f>
        <v>-14609377.588252001</v>
      </c>
      <c r="J136" s="19">
        <f t="shared" si="17"/>
        <v>24887061.411747999</v>
      </c>
      <c r="K136" s="32"/>
      <c r="L136" s="2"/>
    </row>
    <row r="137" spans="2:12" hidden="1" x14ac:dyDescent="0.25">
      <c r="B137" s="30" t="s">
        <v>293</v>
      </c>
      <c r="C137" s="54"/>
      <c r="D137" s="54"/>
      <c r="E137" s="54"/>
      <c r="F137" s="10">
        <v>251108</v>
      </c>
      <c r="G137" s="180">
        <v>-48910</v>
      </c>
      <c r="H137" s="180">
        <f t="shared" si="16"/>
        <v>202198</v>
      </c>
      <c r="I137" s="10"/>
      <c r="J137" s="10">
        <f t="shared" si="17"/>
        <v>202198</v>
      </c>
      <c r="L137" s="2"/>
    </row>
    <row r="138" spans="2:12" hidden="1" x14ac:dyDescent="0.25">
      <c r="B138" s="30" t="s">
        <v>294</v>
      </c>
      <c r="C138" s="54"/>
      <c r="D138" s="54"/>
      <c r="E138" s="54"/>
      <c r="F138" s="10">
        <v>854455</v>
      </c>
      <c r="G138" s="180">
        <v>-334309</v>
      </c>
      <c r="H138" s="180">
        <f t="shared" si="16"/>
        <v>520146</v>
      </c>
      <c r="I138" s="10"/>
      <c r="J138" s="10">
        <f t="shared" si="17"/>
        <v>520146</v>
      </c>
      <c r="L138" s="2"/>
    </row>
    <row r="139" spans="2:12" hidden="1" x14ac:dyDescent="0.25">
      <c r="B139" s="30" t="s">
        <v>291</v>
      </c>
      <c r="C139" s="54"/>
      <c r="D139" s="54"/>
      <c r="E139" s="26"/>
      <c r="F139" s="10">
        <v>-5035990</v>
      </c>
      <c r="G139" s="180">
        <v>-2143739</v>
      </c>
      <c r="H139" s="180">
        <f t="shared" si="16"/>
        <v>-7179729</v>
      </c>
      <c r="I139" s="10"/>
      <c r="J139" s="10">
        <f t="shared" si="17"/>
        <v>-7179729</v>
      </c>
      <c r="L139" s="2"/>
    </row>
    <row r="140" spans="2:12" hidden="1" x14ac:dyDescent="0.25">
      <c r="B140" s="30" t="s">
        <v>251</v>
      </c>
      <c r="C140" s="54"/>
      <c r="D140" s="54"/>
      <c r="E140" s="2"/>
      <c r="F140" s="10">
        <v>-559555</v>
      </c>
      <c r="G140" s="180"/>
      <c r="H140" s="180">
        <f t="shared" si="16"/>
        <v>-559555</v>
      </c>
      <c r="I140" s="10"/>
      <c r="J140" s="10">
        <f t="shared" si="17"/>
        <v>-559555</v>
      </c>
      <c r="L140" s="2"/>
    </row>
    <row r="141" spans="2:12" hidden="1" x14ac:dyDescent="0.25">
      <c r="B141" s="30" t="s">
        <v>295</v>
      </c>
      <c r="C141" s="54"/>
      <c r="D141" s="54"/>
      <c r="E141" s="54"/>
      <c r="F141" s="10"/>
      <c r="G141" s="180">
        <v>-190570</v>
      </c>
      <c r="H141" s="180">
        <f t="shared" si="16"/>
        <v>-190570</v>
      </c>
      <c r="I141" s="10"/>
      <c r="J141" s="10">
        <f t="shared" si="17"/>
        <v>-190570</v>
      </c>
      <c r="L141" s="2"/>
    </row>
    <row r="142" spans="2:12" hidden="1" x14ac:dyDescent="0.25">
      <c r="B142" s="30" t="s">
        <v>296</v>
      </c>
      <c r="C142" s="54"/>
      <c r="D142" s="54"/>
      <c r="E142" s="54"/>
      <c r="F142" s="10">
        <v>9390028</v>
      </c>
      <c r="G142" s="180">
        <v>3747805</v>
      </c>
      <c r="H142" s="180">
        <f t="shared" si="16"/>
        <v>13137833</v>
      </c>
      <c r="I142" s="10">
        <f>+ER!M36</f>
        <v>1762103.75</v>
      </c>
      <c r="J142" s="10">
        <f t="shared" si="17"/>
        <v>14899936.75</v>
      </c>
      <c r="L142" s="2"/>
    </row>
    <row r="143" spans="2:12" x14ac:dyDescent="0.25">
      <c r="B143" s="30" t="s">
        <v>272</v>
      </c>
      <c r="C143" s="54"/>
      <c r="D143" s="54"/>
      <c r="E143" s="54"/>
      <c r="F143" s="6">
        <f>SUM(F136:F142)</f>
        <v>42657482</v>
      </c>
      <c r="G143" s="178">
        <f>SUM(G136:G142)</f>
        <v>2769280</v>
      </c>
      <c r="H143" s="178">
        <f t="shared" si="16"/>
        <v>45426762</v>
      </c>
      <c r="I143" s="6">
        <v>-11525237</v>
      </c>
      <c r="J143" s="6">
        <f t="shared" si="17"/>
        <v>33901525</v>
      </c>
      <c r="K143" s="32"/>
      <c r="L143" s="2"/>
    </row>
    <row r="144" spans="2:12" x14ac:dyDescent="0.25">
      <c r="B144" s="30" t="s">
        <v>297</v>
      </c>
      <c r="C144" s="54"/>
      <c r="D144" s="54"/>
      <c r="E144" s="54"/>
      <c r="F144" s="10">
        <f>-42657482+40887284</f>
        <v>-1770198</v>
      </c>
      <c r="G144" s="180">
        <v>-111739</v>
      </c>
      <c r="H144" s="180">
        <f t="shared" si="16"/>
        <v>-1881937</v>
      </c>
      <c r="I144" s="10"/>
      <c r="J144" s="10">
        <f t="shared" si="17"/>
        <v>-1881937</v>
      </c>
      <c r="K144" s="32"/>
      <c r="L144" s="2"/>
    </row>
    <row r="145" spans="2:12" x14ac:dyDescent="0.25">
      <c r="B145" s="30" t="s">
        <v>298</v>
      </c>
      <c r="C145" s="54"/>
      <c r="D145" s="54"/>
      <c r="E145" s="54"/>
      <c r="F145" s="10">
        <v>-8215675</v>
      </c>
      <c r="G145" s="180"/>
      <c r="H145" s="180">
        <f t="shared" si="16"/>
        <v>-8215675</v>
      </c>
      <c r="I145" s="10"/>
      <c r="J145" s="10">
        <f t="shared" si="17"/>
        <v>-8215675</v>
      </c>
      <c r="K145" s="32"/>
      <c r="L145" s="2"/>
    </row>
    <row r="146" spans="2:12" x14ac:dyDescent="0.25">
      <c r="B146" s="30" t="s">
        <v>251</v>
      </c>
      <c r="C146" s="54"/>
      <c r="D146" s="54"/>
      <c r="E146" s="54"/>
      <c r="F146" s="10">
        <v>-912853</v>
      </c>
      <c r="G146" s="180">
        <v>-374781</v>
      </c>
      <c r="H146" s="180">
        <f t="shared" si="16"/>
        <v>-1287634</v>
      </c>
      <c r="I146" s="10"/>
      <c r="J146" s="10">
        <f t="shared" si="17"/>
        <v>-1287634</v>
      </c>
      <c r="K146" s="32"/>
      <c r="L146" s="2"/>
    </row>
    <row r="147" spans="2:12" x14ac:dyDescent="0.25">
      <c r="B147" s="30" t="s">
        <v>295</v>
      </c>
      <c r="C147" s="54"/>
      <c r="D147" s="54"/>
      <c r="E147" s="54"/>
      <c r="F147" s="10">
        <v>-5488035</v>
      </c>
      <c r="G147" s="180">
        <v>-3373023</v>
      </c>
      <c r="H147" s="180">
        <f t="shared" si="16"/>
        <v>-8861058</v>
      </c>
      <c r="I147" s="10"/>
      <c r="J147" s="10">
        <f t="shared" si="17"/>
        <v>-8861058</v>
      </c>
      <c r="K147" s="32"/>
      <c r="L147" s="2"/>
    </row>
    <row r="148" spans="2:12" x14ac:dyDescent="0.25">
      <c r="B148" s="30" t="s">
        <v>296</v>
      </c>
      <c r="C148" s="54"/>
      <c r="D148" s="54"/>
      <c r="E148" s="54"/>
      <c r="F148" s="10">
        <v>15216635</v>
      </c>
      <c r="G148" s="180">
        <v>7092645</v>
      </c>
      <c r="H148" s="180">
        <f t="shared" si="16"/>
        <v>22309280</v>
      </c>
      <c r="I148" s="10">
        <f>+ER!M40</f>
        <v>1762103.75</v>
      </c>
      <c r="J148" s="24">
        <f t="shared" si="17"/>
        <v>24071383.75</v>
      </c>
      <c r="K148" s="32"/>
      <c r="L148" s="2"/>
    </row>
    <row r="149" spans="2:12" x14ac:dyDescent="0.25">
      <c r="B149" s="30" t="s">
        <v>273</v>
      </c>
      <c r="C149" s="54"/>
      <c r="D149" s="54"/>
      <c r="E149" s="54"/>
      <c r="F149" s="178">
        <f>SUM(F143:F148)</f>
        <v>41487356</v>
      </c>
      <c r="G149" s="178">
        <f>SUM(G143:G148)</f>
        <v>6002382</v>
      </c>
      <c r="H149" s="178">
        <f>SUM(H143:H148)</f>
        <v>47489738</v>
      </c>
      <c r="I149" s="178">
        <f>-AD!G42+AD!H17</f>
        <v>-9763133.7534000017</v>
      </c>
      <c r="J149" s="178">
        <f>SUM(J143:J148)</f>
        <v>37726604.75</v>
      </c>
      <c r="K149" s="258">
        <f>+I143+I148-I149</f>
        <v>0.50340000167489052</v>
      </c>
      <c r="L149" s="2"/>
    </row>
    <row r="150" spans="2:12" x14ac:dyDescent="0.25">
      <c r="B150" s="247" t="s">
        <v>251</v>
      </c>
      <c r="C150" s="248"/>
      <c r="D150" s="248"/>
      <c r="E150" s="248"/>
      <c r="F150" s="251"/>
      <c r="G150" s="251">
        <v>-709264</v>
      </c>
      <c r="H150" s="6">
        <f>+F150+G150</f>
        <v>-709264</v>
      </c>
      <c r="I150" s="6"/>
      <c r="J150" s="6">
        <f t="shared" si="17"/>
        <v>-709264</v>
      </c>
      <c r="K150" s="32"/>
    </row>
    <row r="151" spans="2:12" x14ac:dyDescent="0.25">
      <c r="B151" s="30" t="s">
        <v>436</v>
      </c>
      <c r="C151" s="54"/>
      <c r="D151" s="54"/>
      <c r="E151" s="54"/>
      <c r="F151" s="10">
        <f>1859768+660505</f>
        <v>2520273</v>
      </c>
      <c r="G151" s="249">
        <v>63402</v>
      </c>
      <c r="H151" s="10">
        <f t="shared" ref="H151:H152" si="18">+F151+G151</f>
        <v>2583675</v>
      </c>
      <c r="I151" s="10"/>
      <c r="J151" s="10">
        <f t="shared" si="17"/>
        <v>2583675</v>
      </c>
      <c r="K151" s="32"/>
    </row>
    <row r="152" spans="2:12" x14ac:dyDescent="0.25">
      <c r="B152" s="247" t="s">
        <v>298</v>
      </c>
      <c r="C152" s="248"/>
      <c r="D152" s="248"/>
      <c r="E152" s="248"/>
      <c r="F152" s="249"/>
      <c r="G152" s="249">
        <v>-5404856</v>
      </c>
      <c r="H152" s="10">
        <f t="shared" si="18"/>
        <v>-5404856</v>
      </c>
      <c r="I152" s="10"/>
      <c r="J152" s="10">
        <f t="shared" si="17"/>
        <v>-5404856</v>
      </c>
      <c r="K152" s="32"/>
    </row>
    <row r="153" spans="2:12" x14ac:dyDescent="0.25">
      <c r="B153" s="247" t="s">
        <v>296</v>
      </c>
      <c r="C153" s="248"/>
      <c r="D153" s="248"/>
      <c r="E153" s="248"/>
      <c r="F153" s="250">
        <f>ER!D40</f>
        <v>19151165</v>
      </c>
      <c r="G153" s="250">
        <f>ER!E36</f>
        <v>14579979</v>
      </c>
      <c r="H153" s="24">
        <f>+F153+G153</f>
        <v>33731144</v>
      </c>
      <c r="I153" s="24">
        <f>+ER!G40</f>
        <v>4653361</v>
      </c>
      <c r="J153" s="24">
        <f t="shared" si="17"/>
        <v>38384505</v>
      </c>
      <c r="K153" s="32"/>
    </row>
    <row r="154" spans="2:12" x14ac:dyDescent="0.25">
      <c r="B154" s="30" t="s">
        <v>252</v>
      </c>
      <c r="C154" s="54"/>
      <c r="D154" s="54"/>
      <c r="E154" s="54"/>
      <c r="F154" s="170">
        <f>SUM(F149:F153)</f>
        <v>63158794</v>
      </c>
      <c r="G154" s="170">
        <f>SUM(G149:G153)</f>
        <v>14531643</v>
      </c>
      <c r="H154" s="170">
        <f>SUM(H149:H153)</f>
        <v>77690437</v>
      </c>
      <c r="I154" s="170">
        <f>SUM(I149:I153)</f>
        <v>-5109772.7534000017</v>
      </c>
      <c r="J154" s="170">
        <f>SUM(J149:J153)</f>
        <v>72580664.75</v>
      </c>
      <c r="K154" s="32"/>
    </row>
    <row r="155" spans="2:12" x14ac:dyDescent="0.25">
      <c r="B155" s="174" t="s">
        <v>299</v>
      </c>
      <c r="C155" s="175"/>
      <c r="D155" s="175"/>
      <c r="E155" s="175"/>
      <c r="F155" s="176">
        <f>F154+F107+F90+F81</f>
        <v>60507678</v>
      </c>
      <c r="G155" s="176">
        <f>G154+G107+G90+G81</f>
        <v>14290661</v>
      </c>
      <c r="H155" s="176">
        <f>H154+H107+H90+H81</f>
        <v>74798339</v>
      </c>
      <c r="I155" s="176">
        <f>I154+I107+I90+I81</f>
        <v>-5109772.7534000017</v>
      </c>
      <c r="J155" s="176">
        <f>J154+J107+J90+J81</f>
        <v>69688566.75</v>
      </c>
      <c r="K155" s="32"/>
      <c r="L155" s="2"/>
    </row>
    <row r="156" spans="2:12" x14ac:dyDescent="0.25">
      <c r="B156" s="174"/>
      <c r="C156" s="175"/>
      <c r="D156" s="175"/>
      <c r="E156" s="175"/>
      <c r="F156" s="176"/>
      <c r="G156" s="176"/>
      <c r="H156" s="176"/>
      <c r="I156" s="176"/>
      <c r="J156" s="176"/>
      <c r="K156" s="32"/>
      <c r="L156" s="2"/>
    </row>
    <row r="157" spans="2:12" ht="13.15" customHeight="1" x14ac:dyDescent="0.25">
      <c r="B157" s="171" t="s">
        <v>300</v>
      </c>
      <c r="C157" s="54"/>
      <c r="D157" s="54"/>
      <c r="E157" s="54"/>
      <c r="F157" s="10"/>
      <c r="G157" s="10"/>
      <c r="H157" s="10"/>
      <c r="I157" s="18"/>
      <c r="J157" s="18"/>
      <c r="L157" s="2"/>
    </row>
    <row r="158" spans="2:12" hidden="1" outlineLevel="1" x14ac:dyDescent="0.25">
      <c r="B158" s="30" t="s">
        <v>254</v>
      </c>
      <c r="C158" s="54"/>
      <c r="D158" s="54"/>
      <c r="E158" s="54"/>
      <c r="F158" s="10">
        <f>+F8+F30+F46+F65+F75+F84+F110</f>
        <v>39550217</v>
      </c>
      <c r="G158" s="10">
        <f>+G8+G30+G46+G65+G75+G84+G110</f>
        <v>5424539</v>
      </c>
      <c r="H158" s="10">
        <f>+F158+G158</f>
        <v>44974756</v>
      </c>
      <c r="I158" s="18"/>
      <c r="J158" s="10">
        <f>+H158+I158</f>
        <v>44974756</v>
      </c>
      <c r="L158" s="2"/>
    </row>
    <row r="159" spans="2:12" hidden="1" outlineLevel="1" x14ac:dyDescent="0.25">
      <c r="B159" s="30" t="s">
        <v>284</v>
      </c>
      <c r="C159" s="54"/>
      <c r="D159" s="54"/>
      <c r="E159" s="54"/>
      <c r="F159" s="10"/>
      <c r="G159" s="10">
        <v>-154178</v>
      </c>
      <c r="H159" s="10"/>
      <c r="I159" s="18"/>
      <c r="J159" s="10"/>
      <c r="L159" s="2"/>
    </row>
    <row r="160" spans="2:12" hidden="1" outlineLevel="1" x14ac:dyDescent="0.25">
      <c r="B160" s="30" t="s">
        <v>281</v>
      </c>
      <c r="C160" s="54"/>
      <c r="D160" s="54"/>
      <c r="E160" s="54"/>
      <c r="F160" s="10">
        <f>+F111</f>
        <v>-10113380</v>
      </c>
      <c r="G160" s="10"/>
      <c r="H160" s="10">
        <f>+F160+G160</f>
        <v>-10113380</v>
      </c>
      <c r="I160" s="18"/>
      <c r="J160" s="10">
        <f>+H160+I160</f>
        <v>-10113380</v>
      </c>
      <c r="L160" s="2"/>
    </row>
    <row r="161" spans="2:12" hidden="1" outlineLevel="1" x14ac:dyDescent="0.25">
      <c r="B161" s="30" t="s">
        <v>286</v>
      </c>
      <c r="C161" s="54"/>
      <c r="D161" s="54"/>
      <c r="E161" s="54"/>
      <c r="F161" s="10">
        <f>+F115+F84+F75+F65+F48+F32+F9</f>
        <v>55520427</v>
      </c>
      <c r="G161" s="10">
        <f>+G158+G159</f>
        <v>5270361</v>
      </c>
      <c r="H161" s="10">
        <f>+F161+G161</f>
        <v>60790788</v>
      </c>
      <c r="I161" s="60" t="e">
        <f>+I115</f>
        <v>#REF!</v>
      </c>
      <c r="J161" s="10" t="e">
        <f>+H161+I161</f>
        <v>#REF!</v>
      </c>
      <c r="L161" s="2"/>
    </row>
    <row r="162" spans="2:12" hidden="1" outlineLevel="1" x14ac:dyDescent="0.25">
      <c r="B162" s="30" t="s">
        <v>285</v>
      </c>
      <c r="C162" s="54"/>
      <c r="D162" s="54"/>
      <c r="E162" s="54"/>
      <c r="F162" s="10">
        <f>+F117</f>
        <v>-5585599</v>
      </c>
      <c r="G162" s="10">
        <f>+G117</f>
        <v>0</v>
      </c>
      <c r="H162" s="10">
        <f>+H117</f>
        <v>-5585599</v>
      </c>
      <c r="I162" s="10">
        <f>+I117</f>
        <v>0</v>
      </c>
      <c r="J162" s="10">
        <f>+J117</f>
        <v>-5585599</v>
      </c>
      <c r="L162" s="2"/>
    </row>
    <row r="163" spans="2:12" hidden="1" outlineLevel="1" x14ac:dyDescent="0.25">
      <c r="B163" s="30" t="s">
        <v>286</v>
      </c>
      <c r="C163" s="54"/>
      <c r="D163" s="54"/>
      <c r="E163" s="54"/>
      <c r="F163" s="10">
        <f>SUM(F161:F162)</f>
        <v>49934828</v>
      </c>
      <c r="G163" s="10">
        <f>SUM(G161:G162)</f>
        <v>5270361</v>
      </c>
      <c r="H163" s="10">
        <f>SUM(H161:H162)</f>
        <v>55205189</v>
      </c>
      <c r="I163" s="10" t="e">
        <f>SUM(I161:I162)</f>
        <v>#REF!</v>
      </c>
      <c r="J163" s="10" t="e">
        <f>SUM(J161:J162)</f>
        <v>#REF!</v>
      </c>
      <c r="L163" s="2"/>
    </row>
    <row r="164" spans="2:12" hidden="1" outlineLevel="1" x14ac:dyDescent="0.25">
      <c r="B164" s="30" t="str">
        <f>+B33</f>
        <v>Devolución de aporte de accionistas 13 enero 2015</v>
      </c>
      <c r="C164" s="54"/>
      <c r="D164" s="54"/>
      <c r="E164" s="54"/>
      <c r="F164" s="60">
        <f>+F33</f>
        <v>-3094403</v>
      </c>
      <c r="G164" s="10"/>
      <c r="H164" s="10">
        <f t="shared" ref="H164:H169" si="19">+F164+G164</f>
        <v>-3094403</v>
      </c>
      <c r="I164" s="18"/>
      <c r="J164" s="10">
        <f t="shared" ref="J164:J169" si="20">+H164+I164</f>
        <v>-3094403</v>
      </c>
      <c r="L164" s="2"/>
    </row>
    <row r="165" spans="2:12" hidden="1" outlineLevel="1" x14ac:dyDescent="0.25">
      <c r="B165" s="30" t="s">
        <v>239</v>
      </c>
      <c r="C165" s="54"/>
      <c r="D165" s="54"/>
      <c r="E165" s="54"/>
      <c r="F165" s="10"/>
      <c r="G165" s="10"/>
      <c r="H165" s="10">
        <f t="shared" si="19"/>
        <v>0</v>
      </c>
      <c r="I165" s="18"/>
      <c r="J165" s="10">
        <f t="shared" si="20"/>
        <v>0</v>
      </c>
      <c r="L165" s="2"/>
    </row>
    <row r="166" spans="2:12" hidden="1" outlineLevel="1" x14ac:dyDescent="0.25">
      <c r="B166" s="30" t="s">
        <v>240</v>
      </c>
      <c r="C166" s="54"/>
      <c r="D166" s="54"/>
      <c r="E166" s="54"/>
      <c r="F166" s="10"/>
      <c r="G166" s="10"/>
      <c r="H166" s="10">
        <f t="shared" si="19"/>
        <v>0</v>
      </c>
      <c r="I166" s="18"/>
      <c r="J166" s="10">
        <f t="shared" si="20"/>
        <v>0</v>
      </c>
      <c r="L166" s="2"/>
    </row>
    <row r="167" spans="2:12" hidden="1" outlineLevel="1" x14ac:dyDescent="0.25">
      <c r="B167" s="30" t="s">
        <v>241</v>
      </c>
      <c r="C167" s="54"/>
      <c r="D167" s="54"/>
      <c r="E167" s="54"/>
      <c r="F167" s="10"/>
      <c r="G167" s="10"/>
      <c r="H167" s="10">
        <f t="shared" si="19"/>
        <v>0</v>
      </c>
      <c r="I167" s="18"/>
      <c r="J167" s="10">
        <f t="shared" si="20"/>
        <v>0</v>
      </c>
      <c r="L167" s="2"/>
    </row>
    <row r="168" spans="2:12" hidden="1" outlineLevel="1" x14ac:dyDescent="0.25">
      <c r="B168" s="30" t="s">
        <v>260</v>
      </c>
      <c r="C168" s="54"/>
      <c r="D168" s="54"/>
      <c r="E168" s="54"/>
      <c r="F168" s="10"/>
      <c r="G168" s="10"/>
      <c r="H168" s="10">
        <f t="shared" si="19"/>
        <v>0</v>
      </c>
      <c r="I168" s="18"/>
      <c r="J168" s="10">
        <f t="shared" si="20"/>
        <v>0</v>
      </c>
      <c r="L168" s="2"/>
    </row>
    <row r="169" spans="2:12" hidden="1" outlineLevel="1" x14ac:dyDescent="0.25">
      <c r="B169" s="30" t="s">
        <v>301</v>
      </c>
      <c r="C169" s="54"/>
      <c r="D169" s="54"/>
      <c r="E169" s="54"/>
      <c r="F169" s="10">
        <v>14390</v>
      </c>
      <c r="G169" s="10">
        <v>0</v>
      </c>
      <c r="H169" s="10">
        <f t="shared" si="19"/>
        <v>14390</v>
      </c>
      <c r="I169" s="18"/>
      <c r="J169" s="10">
        <f t="shared" si="20"/>
        <v>14390</v>
      </c>
      <c r="K169" s="8"/>
      <c r="L169" s="2"/>
    </row>
    <row r="170" spans="2:12" hidden="1" outlineLevel="1" x14ac:dyDescent="0.25">
      <c r="B170" s="30" t="s">
        <v>107</v>
      </c>
      <c r="C170" s="54"/>
      <c r="D170" s="54"/>
      <c r="E170" s="54"/>
      <c r="F170" s="10">
        <f>+F123+F96</f>
        <v>13423797</v>
      </c>
      <c r="G170" s="10">
        <f>+G123+G96</f>
        <v>2603318</v>
      </c>
      <c r="H170" s="10">
        <f>+H123+H96</f>
        <v>16027115</v>
      </c>
      <c r="I170" s="10" t="e">
        <f>+I123+I96</f>
        <v>#REF!</v>
      </c>
      <c r="J170" s="10" t="e">
        <f>+J123+J96</f>
        <v>#REF!</v>
      </c>
      <c r="L170" s="2"/>
    </row>
    <row r="171" spans="2:12" hidden="1" outlineLevel="1" x14ac:dyDescent="0.25">
      <c r="B171" s="30" t="s">
        <v>302</v>
      </c>
      <c r="C171" s="54"/>
      <c r="D171" s="54"/>
      <c r="E171" s="54"/>
      <c r="F171" s="10">
        <f>SUM(F163:F170)</f>
        <v>60278612</v>
      </c>
      <c r="G171" s="10">
        <f>SUM(G163:G170)</f>
        <v>7873679</v>
      </c>
      <c r="H171" s="10">
        <f>+F171+G171</f>
        <v>68152291</v>
      </c>
      <c r="I171" s="10">
        <f>+I124</f>
        <v>-16446314.003400002</v>
      </c>
      <c r="J171" s="10">
        <f t="shared" ref="J171:J184" si="21">+H171+I171</f>
        <v>51705976.996600002</v>
      </c>
      <c r="L171" s="2"/>
    </row>
    <row r="172" spans="2:12" hidden="1" outlineLevel="1" x14ac:dyDescent="0.25">
      <c r="B172" s="65" t="s">
        <v>289</v>
      </c>
      <c r="C172" s="36"/>
      <c r="D172" s="36"/>
      <c r="E172" s="36"/>
      <c r="F172" s="24">
        <v>-2936828</v>
      </c>
      <c r="G172" s="24">
        <v>0</v>
      </c>
      <c r="H172" s="24">
        <f>+F172+G172</f>
        <v>-2936828</v>
      </c>
      <c r="I172" s="24"/>
      <c r="J172" s="24">
        <f t="shared" si="21"/>
        <v>-2936828</v>
      </c>
      <c r="K172" s="32"/>
      <c r="L172" s="2"/>
    </row>
    <row r="173" spans="2:12" hidden="1" outlineLevel="1" x14ac:dyDescent="0.25">
      <c r="B173" s="30" t="s">
        <v>290</v>
      </c>
      <c r="C173" s="54"/>
      <c r="D173" s="54"/>
      <c r="E173" s="54"/>
      <c r="F173" s="10">
        <f>+F171+F172</f>
        <v>57341784</v>
      </c>
      <c r="G173" s="10">
        <f>+G171+G172</f>
        <v>7873679</v>
      </c>
      <c r="H173" s="10">
        <f>+H171+H172</f>
        <v>65215463</v>
      </c>
      <c r="I173" s="10">
        <f>+I171+I172</f>
        <v>-16446314.003400002</v>
      </c>
      <c r="J173" s="10">
        <f t="shared" si="21"/>
        <v>48769148.996600002</v>
      </c>
      <c r="K173" s="32"/>
      <c r="L173" s="2"/>
    </row>
    <row r="174" spans="2:12" hidden="1" outlineLevel="1" x14ac:dyDescent="0.25">
      <c r="B174" s="30" t="s">
        <v>281</v>
      </c>
      <c r="C174" s="54"/>
      <c r="D174" s="54"/>
      <c r="E174" s="54"/>
      <c r="F174" s="10">
        <v>0</v>
      </c>
      <c r="G174" s="10">
        <v>0</v>
      </c>
      <c r="H174" s="10">
        <f>+F174+G174</f>
        <v>0</v>
      </c>
      <c r="I174" s="10"/>
      <c r="J174" s="10">
        <f t="shared" si="21"/>
        <v>0</v>
      </c>
      <c r="K174" s="32"/>
      <c r="L174" s="2"/>
    </row>
    <row r="175" spans="2:12" hidden="1" outlineLevel="1" x14ac:dyDescent="0.25">
      <c r="B175" s="30" t="s">
        <v>107</v>
      </c>
      <c r="C175" s="54"/>
      <c r="D175" s="54"/>
      <c r="E175" s="54"/>
      <c r="F175" s="10">
        <v>6312362</v>
      </c>
      <c r="G175" s="10">
        <f>+G129+G98</f>
        <v>3810401</v>
      </c>
      <c r="H175" s="10">
        <f>+F175+G175</f>
        <v>10122763</v>
      </c>
      <c r="I175" s="10">
        <f>+I129+I98</f>
        <v>0</v>
      </c>
      <c r="J175" s="10">
        <f t="shared" si="21"/>
        <v>10122763</v>
      </c>
      <c r="L175" s="2"/>
    </row>
    <row r="176" spans="2:12" hidden="1" x14ac:dyDescent="0.25">
      <c r="B176" s="30" t="s">
        <v>264</v>
      </c>
      <c r="C176" s="54"/>
      <c r="D176" s="54"/>
      <c r="E176" s="52"/>
      <c r="F176" s="19">
        <f>SUM(F173:F175)</f>
        <v>63654146</v>
      </c>
      <c r="G176" s="19">
        <f>SUM(G173:G175)</f>
        <v>11684080</v>
      </c>
      <c r="H176" s="19">
        <f>SUM(H173:H175)</f>
        <v>75338226</v>
      </c>
      <c r="I176" s="19">
        <f>SUM(I173:I175)</f>
        <v>-16446314.003400002</v>
      </c>
      <c r="J176" s="19">
        <f t="shared" si="21"/>
        <v>58891911.996600002</v>
      </c>
      <c r="L176" s="2"/>
    </row>
    <row r="177" spans="2:12" hidden="1" x14ac:dyDescent="0.25">
      <c r="B177" s="30" t="s">
        <v>293</v>
      </c>
      <c r="C177" s="54"/>
      <c r="D177" s="54"/>
      <c r="E177" s="54"/>
      <c r="F177" s="10">
        <f>128916+446968</f>
        <v>575884</v>
      </c>
      <c r="G177" s="10">
        <v>0</v>
      </c>
      <c r="H177" s="10">
        <f>+F177+G177</f>
        <v>575884</v>
      </c>
      <c r="I177" s="10"/>
      <c r="J177" s="10">
        <f t="shared" si="21"/>
        <v>575884</v>
      </c>
      <c r="L177" s="2"/>
    </row>
    <row r="178" spans="2:12" ht="24.75" hidden="1" customHeight="1" x14ac:dyDescent="0.25">
      <c r="B178" s="269" t="s">
        <v>257</v>
      </c>
      <c r="C178" s="269"/>
      <c r="D178" s="269"/>
      <c r="E178" s="269"/>
      <c r="F178" s="10">
        <v>-705016</v>
      </c>
      <c r="G178" s="10">
        <v>0</v>
      </c>
      <c r="H178" s="10">
        <f>+F178+G178</f>
        <v>-705016</v>
      </c>
      <c r="I178" s="10"/>
      <c r="J178" s="10">
        <f t="shared" si="21"/>
        <v>-705016</v>
      </c>
      <c r="L178" s="2"/>
    </row>
    <row r="179" spans="2:12" hidden="1" x14ac:dyDescent="0.25">
      <c r="B179" s="30" t="s">
        <v>107</v>
      </c>
      <c r="C179" s="54"/>
      <c r="D179" s="54"/>
      <c r="E179" s="54"/>
      <c r="F179" s="10">
        <v>7316288</v>
      </c>
      <c r="G179" s="24">
        <v>2567422</v>
      </c>
      <c r="H179" s="24">
        <f>+F179+G179</f>
        <v>9883710</v>
      </c>
      <c r="I179" s="24">
        <f>+I134</f>
        <v>1836936.4151480002</v>
      </c>
      <c r="J179" s="24">
        <f t="shared" si="21"/>
        <v>11720646.415148001</v>
      </c>
      <c r="L179" s="2"/>
    </row>
    <row r="180" spans="2:12" hidden="1" x14ac:dyDescent="0.25">
      <c r="B180" s="30" t="s">
        <v>265</v>
      </c>
      <c r="C180" s="54"/>
      <c r="D180" s="54"/>
      <c r="E180" s="52"/>
      <c r="F180" s="6">
        <f>SUM(F176:F179)</f>
        <v>70841302</v>
      </c>
      <c r="G180" s="6">
        <f>SUM(G176:G179)+1</f>
        <v>14251503</v>
      </c>
      <c r="H180" s="6">
        <f>+G180+F180</f>
        <v>85092805</v>
      </c>
      <c r="I180" s="6">
        <f>SUM(I176:I179)</f>
        <v>-14609377.588252001</v>
      </c>
      <c r="J180" s="6">
        <f t="shared" si="21"/>
        <v>70483427.411747992</v>
      </c>
      <c r="K180" s="32">
        <f>+F180-70841302</f>
        <v>0</v>
      </c>
      <c r="L180" s="2"/>
    </row>
    <row r="181" spans="2:12" hidden="1" x14ac:dyDescent="0.25">
      <c r="B181" s="30" t="s">
        <v>303</v>
      </c>
      <c r="C181" s="54"/>
      <c r="D181" s="54"/>
      <c r="E181" s="54"/>
      <c r="F181" s="10">
        <v>70086</v>
      </c>
      <c r="G181" s="10">
        <v>-16606</v>
      </c>
      <c r="H181" s="10">
        <f>+F181+G181</f>
        <v>53480</v>
      </c>
      <c r="I181" s="18"/>
      <c r="J181" s="10">
        <f t="shared" si="21"/>
        <v>53480</v>
      </c>
    </row>
    <row r="182" spans="2:12" hidden="1" x14ac:dyDescent="0.25">
      <c r="B182" s="30" t="s">
        <v>293</v>
      </c>
      <c r="C182" s="54"/>
      <c r="D182" s="54"/>
      <c r="E182" s="54"/>
      <c r="F182" s="10">
        <v>251108</v>
      </c>
      <c r="G182" s="180">
        <v>-48910</v>
      </c>
      <c r="H182" s="180">
        <f>+F182+G182</f>
        <v>202198</v>
      </c>
      <c r="I182" s="10"/>
      <c r="J182" s="10">
        <f t="shared" si="21"/>
        <v>202198</v>
      </c>
      <c r="L182" s="2"/>
    </row>
    <row r="183" spans="2:12" hidden="1" x14ac:dyDescent="0.25">
      <c r="B183" s="30" t="s">
        <v>294</v>
      </c>
      <c r="C183" s="54"/>
      <c r="D183" s="54"/>
      <c r="E183" s="54"/>
      <c r="F183" s="10">
        <v>854455</v>
      </c>
      <c r="G183" s="180">
        <v>-334309</v>
      </c>
      <c r="H183" s="180">
        <f>+F183+G183</f>
        <v>520146</v>
      </c>
      <c r="I183" s="10"/>
      <c r="J183" s="10">
        <f t="shared" si="21"/>
        <v>520146</v>
      </c>
      <c r="L183" s="2"/>
    </row>
    <row r="184" spans="2:12" hidden="1" x14ac:dyDescent="0.25">
      <c r="B184" s="30" t="s">
        <v>295</v>
      </c>
      <c r="C184" s="54"/>
      <c r="D184" s="54"/>
      <c r="E184" s="54"/>
      <c r="F184" s="10"/>
      <c r="G184" s="180">
        <v>-190570</v>
      </c>
      <c r="H184" s="180">
        <f>+F184+G184</f>
        <v>-190570</v>
      </c>
      <c r="I184" s="10"/>
      <c r="J184" s="10">
        <f t="shared" si="21"/>
        <v>-190570</v>
      </c>
      <c r="L184" s="2"/>
    </row>
    <row r="185" spans="2:12" hidden="1" x14ac:dyDescent="0.25">
      <c r="B185" s="30" t="s">
        <v>296</v>
      </c>
      <c r="C185" s="54"/>
      <c r="D185" s="54"/>
      <c r="E185" s="54"/>
      <c r="F185" s="10">
        <f>+F142</f>
        <v>9390028</v>
      </c>
      <c r="G185" s="180">
        <f>+G142</f>
        <v>3747805</v>
      </c>
      <c r="H185" s="180">
        <f>+H142</f>
        <v>13137833</v>
      </c>
      <c r="I185" s="180">
        <f>+I142</f>
        <v>1762103.75</v>
      </c>
      <c r="J185" s="180">
        <f>+J142</f>
        <v>14899936.75</v>
      </c>
      <c r="L185" s="2"/>
    </row>
    <row r="186" spans="2:12" x14ac:dyDescent="0.25">
      <c r="B186" s="30" t="s">
        <v>272</v>
      </c>
      <c r="C186" s="54"/>
      <c r="D186" s="54"/>
      <c r="E186" s="54"/>
      <c r="F186" s="6">
        <f>SUM(F180:F185)</f>
        <v>81406979</v>
      </c>
      <c r="G186" s="6">
        <f>SUM(G180:G185)</f>
        <v>17408913</v>
      </c>
      <c r="H186" s="6">
        <f>SUM(H180:H185)</f>
        <v>98815892</v>
      </c>
      <c r="I186" s="6">
        <f>+I143</f>
        <v>-11525237</v>
      </c>
      <c r="J186" s="6">
        <f>+H186+I186</f>
        <v>87290655</v>
      </c>
    </row>
    <row r="187" spans="2:12" x14ac:dyDescent="0.25">
      <c r="B187" s="30" t="s">
        <v>297</v>
      </c>
      <c r="C187" s="54"/>
      <c r="D187" s="54"/>
      <c r="E187" s="54"/>
      <c r="F187" s="10">
        <f>+F144</f>
        <v>-1770198</v>
      </c>
      <c r="G187" s="10">
        <f>+G144</f>
        <v>-111739</v>
      </c>
      <c r="H187" s="10">
        <f>+F187+G187</f>
        <v>-1881937</v>
      </c>
      <c r="I187" s="10"/>
      <c r="J187" s="10">
        <f>+H187+I187</f>
        <v>-1881937</v>
      </c>
    </row>
    <row r="188" spans="2:12" x14ac:dyDescent="0.25">
      <c r="B188" s="177" t="s">
        <v>295</v>
      </c>
      <c r="C188" s="54"/>
      <c r="D188" s="54"/>
      <c r="E188" s="54"/>
      <c r="F188" s="10">
        <f>+F147</f>
        <v>-5488035</v>
      </c>
      <c r="G188" s="10">
        <f>+G147</f>
        <v>-3373023</v>
      </c>
      <c r="H188" s="10">
        <f>+F188+G188</f>
        <v>-8861058</v>
      </c>
      <c r="I188" s="10"/>
      <c r="J188" s="10">
        <f>+H188+I188</f>
        <v>-8861058</v>
      </c>
    </row>
    <row r="189" spans="2:12" x14ac:dyDescent="0.25">
      <c r="B189" s="177" t="s">
        <v>304</v>
      </c>
      <c r="C189" s="54"/>
      <c r="D189" s="54"/>
      <c r="E189" s="54"/>
      <c r="F189" s="10">
        <f>+F148+F104</f>
        <v>14116935</v>
      </c>
      <c r="G189" s="10">
        <f>+G148+G104</f>
        <v>7076908</v>
      </c>
      <c r="H189" s="10">
        <f>+F189+G189</f>
        <v>21193843</v>
      </c>
      <c r="I189" s="10">
        <f>+I148</f>
        <v>1762103.75</v>
      </c>
      <c r="J189" s="10">
        <f>+H189+I189</f>
        <v>22955946.75</v>
      </c>
    </row>
    <row r="190" spans="2:12" x14ac:dyDescent="0.25">
      <c r="B190" s="177" t="s">
        <v>273</v>
      </c>
      <c r="C190" s="44"/>
      <c r="D190" s="44"/>
      <c r="E190" s="44"/>
      <c r="F190" s="19">
        <f>SUM(F186:F189)</f>
        <v>88265681</v>
      </c>
      <c r="G190" s="19">
        <f>SUM(G186:G189)</f>
        <v>21001059</v>
      </c>
      <c r="H190" s="19">
        <f>SUM(H186:H189)</f>
        <v>109266740</v>
      </c>
      <c r="I190" s="19">
        <f>SUM(I186:I189)</f>
        <v>-9763133.25</v>
      </c>
      <c r="J190" s="19">
        <f>SUM(J186:J189)</f>
        <v>99503606.75</v>
      </c>
    </row>
    <row r="191" spans="2:12" x14ac:dyDescent="0.25">
      <c r="B191" s="30" t="s">
        <v>436</v>
      </c>
      <c r="C191" s="44"/>
      <c r="D191" s="44"/>
      <c r="E191" s="44"/>
      <c r="F191" s="237">
        <f>+F151</f>
        <v>2520273</v>
      </c>
      <c r="G191" s="237">
        <f>+G151</f>
        <v>63402</v>
      </c>
      <c r="H191" s="10">
        <f>+F191+G191</f>
        <v>2583675</v>
      </c>
      <c r="I191" s="237"/>
      <c r="J191" s="237">
        <f t="shared" ref="J191:J194" si="22">+H191+I191</f>
        <v>2583675</v>
      </c>
    </row>
    <row r="192" spans="2:12" ht="12" hidden="1" customHeight="1" x14ac:dyDescent="0.25">
      <c r="B192" s="30" t="s">
        <v>434</v>
      </c>
      <c r="C192" s="44"/>
      <c r="D192" s="44"/>
      <c r="E192" s="44"/>
      <c r="F192" s="10"/>
      <c r="G192" s="10">
        <v>0</v>
      </c>
      <c r="H192" s="10">
        <f t="shared" ref="H192:H193" si="23">+F192+G192</f>
        <v>0</v>
      </c>
      <c r="I192" s="10"/>
      <c r="J192" s="10">
        <f t="shared" si="22"/>
        <v>0</v>
      </c>
    </row>
    <row r="193" spans="2:10" x14ac:dyDescent="0.25">
      <c r="B193" s="30" t="s">
        <v>433</v>
      </c>
      <c r="C193" s="44"/>
      <c r="D193" s="44"/>
      <c r="E193" s="44"/>
      <c r="F193" s="2">
        <f>+F25</f>
        <v>-21629181</v>
      </c>
      <c r="G193" s="10"/>
      <c r="H193" s="10">
        <f t="shared" si="23"/>
        <v>-21629181</v>
      </c>
      <c r="I193" s="10"/>
      <c r="J193" s="10">
        <f t="shared" si="22"/>
        <v>-21629181</v>
      </c>
    </row>
    <row r="194" spans="2:10" x14ac:dyDescent="0.25">
      <c r="B194" s="30" t="s">
        <v>279</v>
      </c>
      <c r="C194" s="44"/>
      <c r="D194" s="44"/>
      <c r="E194" s="44"/>
      <c r="F194" s="10">
        <f>F106+F153</f>
        <v>19151165</v>
      </c>
      <c r="G194" s="10">
        <f>G106+G153</f>
        <v>14440479</v>
      </c>
      <c r="H194" s="10">
        <f>+F194+G194</f>
        <v>33591644</v>
      </c>
      <c r="I194" s="10">
        <f>+I153</f>
        <v>4653361</v>
      </c>
      <c r="J194" s="10">
        <f t="shared" si="22"/>
        <v>38245005</v>
      </c>
    </row>
    <row r="195" spans="2:10" x14ac:dyDescent="0.25">
      <c r="B195" s="240" t="s">
        <v>305</v>
      </c>
      <c r="C195" s="184"/>
      <c r="D195" s="184"/>
      <c r="E195" s="184"/>
      <c r="F195" s="19">
        <f>SUM(F190:F194)</f>
        <v>88307938</v>
      </c>
      <c r="G195" s="19">
        <f>SUM(G190:G194)</f>
        <v>35504940</v>
      </c>
      <c r="H195" s="19">
        <f>SUM(H190:H194)</f>
        <v>123812878</v>
      </c>
      <c r="I195" s="19">
        <f>SUM(I190:I194)</f>
        <v>-5109772.25</v>
      </c>
      <c r="J195" s="19">
        <f>SUM(J190:J194)</f>
        <v>118703105.75</v>
      </c>
    </row>
    <row r="196" spans="2:10" x14ac:dyDescent="0.25">
      <c r="B196" s="30"/>
      <c r="F196" s="259">
        <f>+F154+F107+F90+F81+F71+F62+F43+F27-F195</f>
        <v>0</v>
      </c>
      <c r="G196" s="259">
        <f>+G154+G107+G90+G81+G71+G62+G43+G27-G195</f>
        <v>0</v>
      </c>
      <c r="H196" s="259">
        <f>+H154+H107+H90+H81+H71+H62+H43+H27-H195</f>
        <v>0</v>
      </c>
      <c r="I196" s="259">
        <f>+I149+I105+I89+I80+I70+I60+I41+I24-I190</f>
        <v>-0.50340000167489052</v>
      </c>
      <c r="J196" s="259">
        <f>+J154+J107+J90+J81+J71+J62+J43+J27-J195</f>
        <v>0</v>
      </c>
    </row>
    <row r="197" spans="2:10" x14ac:dyDescent="0.25">
      <c r="B197" s="30"/>
    </row>
    <row r="198" spans="2:10" x14ac:dyDescent="0.25">
      <c r="B198" s="30"/>
    </row>
    <row r="199" spans="2:10" x14ac:dyDescent="0.25">
      <c r="B199" s="30"/>
      <c r="J199" s="32"/>
    </row>
    <row r="200" spans="2:10" x14ac:dyDescent="0.25">
      <c r="B200" s="30"/>
      <c r="F200" s="7" t="s">
        <v>78</v>
      </c>
      <c r="G200" s="50"/>
      <c r="H200" s="50"/>
    </row>
    <row r="201" spans="2:10" x14ac:dyDescent="0.25">
      <c r="F201" s="2" t="s">
        <v>79</v>
      </c>
    </row>
  </sheetData>
  <mergeCells count="5">
    <mergeCell ref="B37:E37"/>
    <mergeCell ref="B38:E38"/>
    <mergeCell ref="B39:E39"/>
    <mergeCell ref="B40:E40"/>
    <mergeCell ref="B178:E178"/>
  </mergeCells>
  <pageMargins left="0.7" right="0.7" top="0.75" bottom="0.75" header="0.51180555555555496" footer="0.51180555555555496"/>
  <pageSetup scale="81" firstPageNumber="0" orientation="portrait" horizontalDpi="300" verticalDpi="300"/>
  <rowBreaks count="1" manualBreakCount="1">
    <brk id="108"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E7E6E6"/>
  </sheetPr>
  <dimension ref="A1:AMJ73"/>
  <sheetViews>
    <sheetView topLeftCell="A21" zoomScale="93" zoomScaleNormal="93" workbookViewId="0">
      <selection activeCell="G38" sqref="G38"/>
    </sheetView>
  </sheetViews>
  <sheetFormatPr defaultColWidth="11.42578125" defaultRowHeight="15" outlineLevelRow="1" x14ac:dyDescent="0.25"/>
  <cols>
    <col min="1" max="1" width="2.7109375" style="8" customWidth="1"/>
    <col min="2" max="5" width="11.42578125" style="8"/>
    <col min="6" max="6" width="12.140625" style="8" customWidth="1"/>
    <col min="7" max="10" width="13.140625" style="8" customWidth="1"/>
    <col min="11" max="12" width="13.140625" style="8" hidden="1" customWidth="1"/>
    <col min="13" max="14" width="0" style="8" hidden="1" customWidth="1"/>
    <col min="15" max="15" width="12" style="8" hidden="1" customWidth="1"/>
    <col min="16" max="18" width="0" style="8" hidden="1" customWidth="1"/>
    <col min="19" max="19" width="3.5703125" style="8" hidden="1" customWidth="1"/>
    <col min="20" max="21" width="0" style="8" hidden="1" customWidth="1"/>
    <col min="22" max="22" width="14.28515625" style="8" customWidth="1"/>
    <col min="23" max="23" width="13.28515625" style="8" customWidth="1"/>
    <col min="24" max="1024" width="11.42578125" style="8"/>
  </cols>
  <sheetData>
    <row r="1" spans="1:22" x14ac:dyDescent="0.25">
      <c r="A1" s="3" t="s">
        <v>12</v>
      </c>
    </row>
    <row r="2" spans="1:22" x14ac:dyDescent="0.25">
      <c r="A2" s="4" t="s">
        <v>306</v>
      </c>
      <c r="V2" s="32"/>
    </row>
    <row r="3" spans="1:22" x14ac:dyDescent="0.25">
      <c r="A3" s="4" t="s">
        <v>13</v>
      </c>
    </row>
    <row r="4" spans="1:22" x14ac:dyDescent="0.25">
      <c r="A4" s="8" t="s">
        <v>14</v>
      </c>
      <c r="G4" s="274">
        <v>2020</v>
      </c>
      <c r="H4" s="274"/>
      <c r="I4" s="275">
        <v>2019</v>
      </c>
      <c r="J4" s="270"/>
      <c r="K4" s="270">
        <v>2018</v>
      </c>
      <c r="L4" s="270"/>
      <c r="M4" s="270">
        <v>2017</v>
      </c>
      <c r="N4" s="270"/>
      <c r="O4" s="270">
        <v>2016</v>
      </c>
      <c r="P4" s="270"/>
      <c r="Q4" s="270">
        <v>2015</v>
      </c>
      <c r="R4" s="270"/>
      <c r="T4" s="270">
        <v>2014</v>
      </c>
      <c r="U4" s="270"/>
    </row>
    <row r="5" spans="1:22" x14ac:dyDescent="0.25">
      <c r="G5" s="185" t="s">
        <v>308</v>
      </c>
      <c r="H5" s="185" t="s">
        <v>309</v>
      </c>
      <c r="I5" s="224" t="s">
        <v>308</v>
      </c>
      <c r="J5" s="185" t="s">
        <v>309</v>
      </c>
      <c r="K5" s="185" t="s">
        <v>308</v>
      </c>
      <c r="L5" s="185" t="s">
        <v>309</v>
      </c>
      <c r="M5" s="185" t="s">
        <v>308</v>
      </c>
      <c r="N5" s="185" t="s">
        <v>309</v>
      </c>
      <c r="O5" s="185" t="s">
        <v>308</v>
      </c>
      <c r="P5" s="185" t="s">
        <v>309</v>
      </c>
      <c r="Q5" s="185" t="s">
        <v>308</v>
      </c>
      <c r="R5" s="185" t="s">
        <v>309</v>
      </c>
      <c r="S5" s="186"/>
      <c r="T5" s="185" t="s">
        <v>308</v>
      </c>
      <c r="U5" s="185" t="s">
        <v>309</v>
      </c>
    </row>
    <row r="6" spans="1:22" x14ac:dyDescent="0.25">
      <c r="B6" s="59"/>
      <c r="C6" s="187" t="s">
        <v>310</v>
      </c>
      <c r="D6" s="50"/>
      <c r="E6" s="50"/>
      <c r="F6" s="50"/>
      <c r="G6" s="17"/>
      <c r="H6" s="17"/>
      <c r="I6" s="51"/>
      <c r="J6" s="17"/>
      <c r="K6" s="17"/>
      <c r="L6" s="17"/>
      <c r="M6" s="17"/>
      <c r="N6" s="17"/>
      <c r="O6" s="18"/>
      <c r="P6" s="18"/>
      <c r="Q6" s="18"/>
      <c r="R6" s="18"/>
      <c r="T6" s="18"/>
      <c r="U6" s="18"/>
    </row>
    <row r="7" spans="1:22" x14ac:dyDescent="0.25">
      <c r="B7" s="171" t="s">
        <v>311</v>
      </c>
      <c r="C7" s="54"/>
      <c r="D7" s="54"/>
      <c r="E7" s="54"/>
      <c r="F7" s="54"/>
      <c r="G7" s="228">
        <v>30135</v>
      </c>
      <c r="H7" s="228"/>
      <c r="I7" s="26">
        <v>548165</v>
      </c>
      <c r="J7" s="10"/>
      <c r="K7" s="10">
        <v>443374</v>
      </c>
      <c r="L7" s="10"/>
      <c r="M7" s="10">
        <v>386373</v>
      </c>
      <c r="N7" s="10"/>
      <c r="O7" s="10">
        <v>323638</v>
      </c>
      <c r="P7" s="10"/>
      <c r="Q7" s="10">
        <v>942254</v>
      </c>
      <c r="R7" s="10"/>
      <c r="S7" s="2"/>
      <c r="T7" s="10">
        <v>679872</v>
      </c>
      <c r="U7" s="10"/>
    </row>
    <row r="8" spans="1:22" hidden="1" x14ac:dyDescent="0.25">
      <c r="B8" s="171" t="s">
        <v>312</v>
      </c>
      <c r="C8" s="54"/>
      <c r="D8" s="54"/>
      <c r="E8" s="54"/>
      <c r="F8" s="54"/>
      <c r="G8" s="228"/>
      <c r="H8" s="228"/>
      <c r="I8" s="26"/>
      <c r="J8" s="10"/>
      <c r="K8" s="10"/>
      <c r="L8" s="10"/>
      <c r="M8" s="10"/>
      <c r="N8" s="10"/>
      <c r="O8" s="10"/>
      <c r="P8" s="10"/>
      <c r="Q8" s="10">
        <f>+R9-Q7</f>
        <v>113005</v>
      </c>
      <c r="R8" s="10"/>
      <c r="S8" s="2"/>
      <c r="T8" s="10"/>
      <c r="U8" s="10">
        <f>+T7-U9</f>
        <v>16101</v>
      </c>
    </row>
    <row r="9" spans="1:22" x14ac:dyDescent="0.25">
      <c r="B9" s="171" t="s">
        <v>313</v>
      </c>
      <c r="C9" s="54"/>
      <c r="D9" s="54"/>
      <c r="E9" s="54"/>
      <c r="F9" s="54"/>
      <c r="G9" s="228"/>
      <c r="H9" s="228">
        <f>+G7</f>
        <v>30135</v>
      </c>
      <c r="I9" s="26"/>
      <c r="J9" s="10">
        <f>+I7</f>
        <v>548165</v>
      </c>
      <c r="K9" s="10"/>
      <c r="L9" s="10">
        <f>+K7</f>
        <v>443374</v>
      </c>
      <c r="M9" s="10"/>
      <c r="N9" s="10">
        <f>+M7</f>
        <v>386373</v>
      </c>
      <c r="O9" s="10"/>
      <c r="P9" s="10">
        <f>+O7</f>
        <v>323638</v>
      </c>
      <c r="Q9" s="10"/>
      <c r="R9" s="10">
        <v>1055259</v>
      </c>
      <c r="S9" s="2"/>
      <c r="T9" s="10"/>
      <c r="U9" s="10">
        <v>663771</v>
      </c>
    </row>
    <row r="10" spans="1:22" x14ac:dyDescent="0.25">
      <c r="B10" s="30" t="s">
        <v>314</v>
      </c>
      <c r="C10" s="54"/>
      <c r="D10" s="54"/>
      <c r="E10" s="54"/>
      <c r="F10" s="54"/>
      <c r="G10" s="228"/>
      <c r="H10" s="228"/>
      <c r="I10" s="26"/>
      <c r="J10" s="10"/>
      <c r="K10" s="10"/>
      <c r="L10" s="10"/>
      <c r="M10" s="10"/>
      <c r="N10" s="10"/>
      <c r="O10" s="10"/>
      <c r="P10" s="10"/>
      <c r="Q10" s="10"/>
      <c r="R10" s="10"/>
      <c r="S10" s="2"/>
      <c r="T10" s="10"/>
      <c r="U10" s="10"/>
    </row>
    <row r="11" spans="1:22" x14ac:dyDescent="0.25">
      <c r="B11" s="65"/>
      <c r="C11" s="36"/>
      <c r="D11" s="36"/>
      <c r="E11" s="36"/>
      <c r="F11" s="36" t="s">
        <v>315</v>
      </c>
      <c r="G11" s="19">
        <f t="shared" ref="G11" si="0">SUM(G7:G10)</f>
        <v>30135</v>
      </c>
      <c r="H11" s="19">
        <f t="shared" ref="H11" si="1">SUM(H7:H10)</f>
        <v>30135</v>
      </c>
      <c r="I11" s="225">
        <f t="shared" ref="I11:R11" si="2">SUM(I7:I10)</f>
        <v>548165</v>
      </c>
      <c r="J11" s="19">
        <f t="shared" si="2"/>
        <v>548165</v>
      </c>
      <c r="K11" s="19">
        <f t="shared" si="2"/>
        <v>443374</v>
      </c>
      <c r="L11" s="19">
        <f t="shared" si="2"/>
        <v>443374</v>
      </c>
      <c r="M11" s="19">
        <f t="shared" si="2"/>
        <v>386373</v>
      </c>
      <c r="N11" s="19">
        <f t="shared" si="2"/>
        <v>386373</v>
      </c>
      <c r="O11" s="19">
        <f t="shared" si="2"/>
        <v>323638</v>
      </c>
      <c r="P11" s="19">
        <f t="shared" si="2"/>
        <v>323638</v>
      </c>
      <c r="Q11" s="19">
        <f t="shared" si="2"/>
        <v>1055259</v>
      </c>
      <c r="R11" s="19">
        <f t="shared" si="2"/>
        <v>1055259</v>
      </c>
      <c r="S11" s="2"/>
      <c r="T11" s="19">
        <f>SUM(T7:T10)</f>
        <v>679872</v>
      </c>
      <c r="U11" s="19">
        <f>SUM(U7:U10)</f>
        <v>679872</v>
      </c>
    </row>
    <row r="12" spans="1:22" x14ac:dyDescent="0.25">
      <c r="B12" s="59"/>
      <c r="C12" s="187" t="s">
        <v>316</v>
      </c>
      <c r="D12" s="50"/>
      <c r="E12" s="50"/>
      <c r="F12" s="50"/>
      <c r="G12" s="229"/>
      <c r="H12" s="229"/>
      <c r="I12" s="51"/>
      <c r="J12" s="17"/>
      <c r="K12" s="17"/>
      <c r="L12" s="17"/>
      <c r="M12" s="17"/>
      <c r="N12" s="17"/>
      <c r="O12" s="6"/>
      <c r="P12" s="6"/>
      <c r="Q12" s="6"/>
      <c r="R12" s="6"/>
      <c r="S12" s="2"/>
      <c r="T12" s="6"/>
      <c r="U12" s="6"/>
    </row>
    <row r="13" spans="1:22" x14ac:dyDescent="0.25">
      <c r="B13" s="252" t="s">
        <v>443</v>
      </c>
      <c r="C13" s="248"/>
      <c r="D13" s="248"/>
      <c r="E13" s="248"/>
      <c r="F13" s="248"/>
      <c r="G13" s="245">
        <v>26543205</v>
      </c>
      <c r="H13" s="228"/>
      <c r="I13" s="26">
        <v>12478474</v>
      </c>
      <c r="J13" s="10"/>
      <c r="K13" s="10">
        <v>10682418</v>
      </c>
      <c r="L13" s="10"/>
      <c r="M13" s="10">
        <v>5099200</v>
      </c>
      <c r="N13" s="10"/>
      <c r="O13" s="10">
        <v>7790426</v>
      </c>
      <c r="P13" s="10"/>
      <c r="Q13" s="10">
        <v>2148793</v>
      </c>
      <c r="R13" s="10"/>
      <c r="S13" s="2"/>
      <c r="T13" s="10">
        <v>1912184</v>
      </c>
      <c r="U13" s="10"/>
    </row>
    <row r="14" spans="1:22" hidden="1" x14ac:dyDescent="0.25">
      <c r="B14" s="171" t="s">
        <v>317</v>
      </c>
      <c r="C14" s="54"/>
      <c r="D14" s="54"/>
      <c r="E14" s="54"/>
      <c r="F14" s="54"/>
      <c r="G14" s="228"/>
      <c r="H14" s="228"/>
      <c r="I14" s="26">
        <v>150402</v>
      </c>
      <c r="J14" s="10"/>
      <c r="K14" s="10"/>
      <c r="L14" s="10"/>
      <c r="M14" s="10"/>
      <c r="N14" s="10"/>
      <c r="O14" s="10"/>
      <c r="P14" s="10"/>
      <c r="Q14" s="10"/>
      <c r="R14" s="10"/>
      <c r="S14" s="2"/>
      <c r="T14" s="10"/>
      <c r="U14" s="10"/>
    </row>
    <row r="15" spans="1:22" hidden="1" x14ac:dyDescent="0.25">
      <c r="B15" s="171" t="s">
        <v>133</v>
      </c>
      <c r="C15" s="54"/>
      <c r="D15" s="54"/>
      <c r="E15" s="54"/>
      <c r="F15" s="54"/>
      <c r="G15" s="231"/>
      <c r="H15" s="228"/>
      <c r="I15" s="26">
        <v>2053333</v>
      </c>
      <c r="J15" s="10"/>
      <c r="K15" s="10"/>
      <c r="L15" s="10"/>
      <c r="M15" s="10"/>
      <c r="N15" s="10"/>
      <c r="O15" s="10"/>
      <c r="P15" s="10"/>
      <c r="Q15" s="10"/>
      <c r="R15" s="10"/>
      <c r="S15" s="2"/>
      <c r="T15" s="10"/>
      <c r="U15" s="10"/>
    </row>
    <row r="16" spans="1:22" x14ac:dyDescent="0.25">
      <c r="B16" s="232" t="s">
        <v>318</v>
      </c>
      <c r="C16" s="233"/>
      <c r="D16" s="233"/>
      <c r="E16" s="233"/>
      <c r="F16" s="233"/>
      <c r="G16" s="234">
        <f>+H18+H17-G13</f>
        <v>2483589</v>
      </c>
      <c r="H16" s="234"/>
      <c r="I16" s="26"/>
      <c r="J16" s="10">
        <v>289600</v>
      </c>
      <c r="K16" s="10"/>
      <c r="L16" s="10">
        <f>10820478-10764779</f>
        <v>55699</v>
      </c>
      <c r="M16" s="10">
        <f>-M13-M17+N18</f>
        <v>12940</v>
      </c>
      <c r="N16" s="10"/>
      <c r="O16" s="10"/>
      <c r="P16" s="10"/>
      <c r="Q16" s="10"/>
      <c r="R16" s="10"/>
      <c r="S16" s="2"/>
      <c r="T16" s="10"/>
      <c r="U16" s="10"/>
    </row>
    <row r="17" spans="2:23" x14ac:dyDescent="0.25">
      <c r="B17" s="171" t="s">
        <v>319</v>
      </c>
      <c r="C17" s="54"/>
      <c r="D17" s="54"/>
      <c r="E17" s="54"/>
      <c r="F17" s="253"/>
      <c r="G17" s="228"/>
      <c r="H17" s="228">
        <v>289600</v>
      </c>
      <c r="I17" s="26"/>
      <c r="J17" s="10"/>
      <c r="K17" s="10">
        <v>138060</v>
      </c>
      <c r="L17" s="10"/>
      <c r="M17" s="10">
        <v>138060</v>
      </c>
      <c r="N17" s="10"/>
      <c r="O17" s="10" t="e">
        <f>+#REF!</f>
        <v>#REF!</v>
      </c>
      <c r="P17" s="10"/>
      <c r="Q17" s="10"/>
      <c r="R17" s="10"/>
      <c r="S17" s="2"/>
      <c r="T17" s="10"/>
      <c r="U17" s="10"/>
    </row>
    <row r="18" spans="2:23" x14ac:dyDescent="0.25">
      <c r="B18" s="252" t="s">
        <v>320</v>
      </c>
      <c r="C18" s="248"/>
      <c r="D18" s="248"/>
      <c r="E18" s="248"/>
      <c r="F18" s="248"/>
      <c r="G18" s="245"/>
      <c r="H18" s="245">
        <v>28737194</v>
      </c>
      <c r="I18" s="26"/>
      <c r="J18" s="10">
        <v>14392609</v>
      </c>
      <c r="K18" s="10"/>
      <c r="L18" s="10">
        <v>10764779</v>
      </c>
      <c r="M18" s="10"/>
      <c r="N18" s="10">
        <v>5250200</v>
      </c>
      <c r="O18" s="10"/>
      <c r="P18" s="10">
        <v>8398689</v>
      </c>
      <c r="Q18" s="10"/>
      <c r="R18" s="10">
        <v>2286853</v>
      </c>
      <c r="S18" s="2"/>
      <c r="T18" s="10"/>
      <c r="U18" s="10">
        <v>2802380</v>
      </c>
    </row>
    <row r="19" spans="2:23" x14ac:dyDescent="0.25">
      <c r="B19" s="30" t="s">
        <v>432</v>
      </c>
      <c r="C19" s="54"/>
      <c r="D19" s="54"/>
      <c r="E19" s="54"/>
      <c r="F19" s="54"/>
      <c r="G19" s="228"/>
      <c r="H19" s="228"/>
      <c r="I19" s="26"/>
      <c r="J19" s="10"/>
      <c r="K19" s="10"/>
      <c r="L19" s="10"/>
      <c r="M19" s="10"/>
      <c r="N19" s="10"/>
      <c r="O19" s="10"/>
      <c r="P19" s="10"/>
      <c r="Q19" s="10"/>
      <c r="R19" s="10"/>
      <c r="S19" s="2"/>
      <c r="T19" s="10"/>
      <c r="U19" s="10"/>
    </row>
    <row r="20" spans="2:23" x14ac:dyDescent="0.25">
      <c r="B20" s="65"/>
      <c r="C20" s="36"/>
      <c r="D20" s="36"/>
      <c r="E20" s="36"/>
      <c r="F20" s="36" t="s">
        <v>315</v>
      </c>
      <c r="G20" s="19">
        <f>SUM(G13:G19)</f>
        <v>29026794</v>
      </c>
      <c r="H20" s="225">
        <f t="shared" ref="H20" si="3">SUM(H13:H19)</f>
        <v>29026794</v>
      </c>
      <c r="I20" s="225">
        <f>SUM(I13:I19)</f>
        <v>14682209</v>
      </c>
      <c r="J20" s="19">
        <f>SUM(J13:J19)</f>
        <v>14682209</v>
      </c>
      <c r="K20" s="19">
        <f t="shared" ref="K20:R20" si="4">SUM(K12:K18)</f>
        <v>10820478</v>
      </c>
      <c r="L20" s="19">
        <f t="shared" si="4"/>
        <v>10820478</v>
      </c>
      <c r="M20" s="19">
        <f t="shared" si="4"/>
        <v>5250200</v>
      </c>
      <c r="N20" s="19">
        <f t="shared" si="4"/>
        <v>5250200</v>
      </c>
      <c r="O20" s="19" t="e">
        <f t="shared" si="4"/>
        <v>#REF!</v>
      </c>
      <c r="P20" s="19">
        <f t="shared" si="4"/>
        <v>8398689</v>
      </c>
      <c r="Q20" s="19">
        <f t="shared" si="4"/>
        <v>2148793</v>
      </c>
      <c r="R20" s="19">
        <f t="shared" si="4"/>
        <v>2286853</v>
      </c>
      <c r="S20" s="2"/>
      <c r="T20" s="19">
        <f>SUM(T12:T18)</f>
        <v>1912184</v>
      </c>
      <c r="U20" s="19">
        <f>SUM(U12:U18)</f>
        <v>2802380</v>
      </c>
    </row>
    <row r="21" spans="2:23" x14ac:dyDescent="0.25">
      <c r="B21" s="59"/>
      <c r="C21" s="187" t="s">
        <v>321</v>
      </c>
      <c r="D21" s="50"/>
      <c r="E21" s="50"/>
      <c r="F21" s="50"/>
      <c r="G21" s="229"/>
      <c r="H21" s="229"/>
      <c r="I21" s="226">
        <f>+J20-I20</f>
        <v>0</v>
      </c>
      <c r="J21" s="17"/>
      <c r="K21" s="17"/>
      <c r="L21" s="17"/>
      <c r="M21" s="17"/>
      <c r="N21" s="17"/>
      <c r="O21" s="6"/>
      <c r="P21" s="6"/>
      <c r="Q21" s="6"/>
      <c r="R21" s="6"/>
      <c r="S21" s="2"/>
      <c r="T21" s="6"/>
      <c r="U21" s="6"/>
      <c r="V21" s="32"/>
    </row>
    <row r="22" spans="2:23" x14ac:dyDescent="0.25">
      <c r="B22" s="171" t="s">
        <v>322</v>
      </c>
      <c r="C22" s="54"/>
      <c r="D22" s="54"/>
      <c r="E22" s="54"/>
      <c r="F22" s="54"/>
      <c r="G22" s="228">
        <v>111106162</v>
      </c>
      <c r="H22" s="228"/>
      <c r="I22" s="26">
        <v>92592770</v>
      </c>
      <c r="J22" s="10"/>
      <c r="K22" s="10">
        <v>74521538</v>
      </c>
      <c r="L22" s="10"/>
      <c r="M22" s="10">
        <v>51723340</v>
      </c>
      <c r="N22" s="10"/>
      <c r="O22" s="10">
        <f>+P23+P24+P25</f>
        <v>42471624</v>
      </c>
      <c r="P22" s="10"/>
      <c r="Q22" s="10">
        <v>20619081</v>
      </c>
      <c r="R22" s="10"/>
      <c r="S22" s="2"/>
      <c r="T22" s="10">
        <v>13229677</v>
      </c>
      <c r="U22" s="10"/>
      <c r="V22" s="2"/>
      <c r="W22" s="32"/>
    </row>
    <row r="23" spans="2:23" x14ac:dyDescent="0.25">
      <c r="B23" s="188" t="s">
        <v>323</v>
      </c>
      <c r="C23" s="54"/>
      <c r="D23" s="54"/>
      <c r="E23" s="54"/>
      <c r="F23" s="54"/>
      <c r="G23" s="228"/>
      <c r="H23" s="228">
        <v>4118950</v>
      </c>
      <c r="I23" s="26"/>
      <c r="J23" s="10">
        <v>8203260</v>
      </c>
      <c r="K23" s="10"/>
      <c r="L23" s="10">
        <v>5827272</v>
      </c>
      <c r="M23" s="10"/>
      <c r="N23" s="10">
        <v>7144181</v>
      </c>
      <c r="O23" s="10"/>
      <c r="P23" s="10">
        <v>15846166</v>
      </c>
      <c r="Q23" s="10"/>
      <c r="R23" s="10">
        <v>5738082</v>
      </c>
      <c r="S23" s="2"/>
      <c r="T23" s="10"/>
      <c r="U23" s="10">
        <v>1475332</v>
      </c>
      <c r="V23" s="261">
        <f>+G37-H23</f>
        <v>5709560</v>
      </c>
      <c r="W23" s="32"/>
    </row>
    <row r="24" spans="2:23" x14ac:dyDescent="0.25">
      <c r="B24" s="171" t="s">
        <v>324</v>
      </c>
      <c r="C24" s="54"/>
      <c r="D24" s="54"/>
      <c r="E24" s="54"/>
      <c r="F24" s="54"/>
      <c r="G24" s="228"/>
      <c r="H24" s="228">
        <f>+G22-H23</f>
        <v>106987212</v>
      </c>
      <c r="I24" s="26"/>
      <c r="J24" s="10">
        <f>+I22-J23</f>
        <v>84389510</v>
      </c>
      <c r="K24" s="10"/>
      <c r="L24" s="10">
        <f>+K22-L23</f>
        <v>68694266</v>
      </c>
      <c r="M24" s="10"/>
      <c r="N24" s="10">
        <f>+M22-N23</f>
        <v>44579159</v>
      </c>
      <c r="O24" s="10"/>
      <c r="P24" s="10">
        <f>7436996+18578188+610274</f>
        <v>26625458</v>
      </c>
      <c r="Q24" s="10"/>
      <c r="R24" s="10">
        <f>+Q22-R23-R25</f>
        <v>11460999</v>
      </c>
      <c r="S24" s="2"/>
      <c r="T24" s="10"/>
      <c r="U24" s="10">
        <f>+T22-U23-U25</f>
        <v>11337419</v>
      </c>
      <c r="W24" s="32"/>
    </row>
    <row r="25" spans="2:23" hidden="1" x14ac:dyDescent="0.25">
      <c r="B25" s="171" t="s">
        <v>325</v>
      </c>
      <c r="C25" s="54"/>
      <c r="D25" s="54"/>
      <c r="E25" s="54"/>
      <c r="F25" s="54"/>
      <c r="G25" s="228"/>
      <c r="H25" s="228"/>
      <c r="I25" s="26"/>
      <c r="J25" s="10"/>
      <c r="K25" s="10"/>
      <c r="L25" s="10"/>
      <c r="M25" s="10"/>
      <c r="N25" s="10"/>
      <c r="O25" s="10"/>
      <c r="P25" s="10">
        <v>0</v>
      </c>
      <c r="Q25" s="10"/>
      <c r="R25" s="10">
        <v>3420000</v>
      </c>
      <c r="S25" s="2"/>
      <c r="T25" s="10"/>
      <c r="U25" s="10">
        <v>416926</v>
      </c>
      <c r="V25" s="32"/>
    </row>
    <row r="26" spans="2:23" x14ac:dyDescent="0.25">
      <c r="B26" s="30" t="s">
        <v>326</v>
      </c>
      <c r="C26" s="54"/>
      <c r="D26" s="54"/>
      <c r="E26" s="54"/>
      <c r="F26" s="54"/>
      <c r="G26" s="228"/>
      <c r="H26" s="228"/>
      <c r="I26" s="26"/>
      <c r="J26" s="10"/>
      <c r="K26" s="10"/>
      <c r="L26" s="10"/>
      <c r="M26" s="10"/>
      <c r="N26" s="10"/>
      <c r="O26" s="10"/>
      <c r="P26" s="10"/>
      <c r="Q26" s="10"/>
      <c r="R26" s="10"/>
      <c r="S26" s="2"/>
      <c r="T26" s="10"/>
      <c r="U26" s="10"/>
      <c r="W26" s="2"/>
    </row>
    <row r="27" spans="2:23" x14ac:dyDescent="0.25">
      <c r="B27" s="65"/>
      <c r="C27" s="36"/>
      <c r="D27" s="36"/>
      <c r="E27" s="36"/>
      <c r="F27" s="36" t="s">
        <v>315</v>
      </c>
      <c r="G27" s="19">
        <f t="shared" ref="G27:H27" si="5">SUM(G21:G24)</f>
        <v>111106162</v>
      </c>
      <c r="H27" s="225">
        <f t="shared" si="5"/>
        <v>111106162</v>
      </c>
      <c r="I27" s="225">
        <f>SUM(I21:I24)</f>
        <v>92592770</v>
      </c>
      <c r="J27" s="19">
        <f>SUM(J21:J24)</f>
        <v>92592770</v>
      </c>
      <c r="K27" s="19">
        <f>SUM(K21:K24)</f>
        <v>74521538</v>
      </c>
      <c r="L27" s="19">
        <f>SUM(L21:L25)</f>
        <v>74521538</v>
      </c>
      <c r="M27" s="19">
        <f>SUM(M21:M24)</f>
        <v>51723340</v>
      </c>
      <c r="N27" s="19">
        <f>SUM(N21:N25)</f>
        <v>51723340</v>
      </c>
      <c r="O27" s="19">
        <f>SUM(O21:O24)</f>
        <v>42471624</v>
      </c>
      <c r="P27" s="19">
        <f>SUM(P21:P25)</f>
        <v>42471624</v>
      </c>
      <c r="Q27" s="19">
        <f>SUM(Q21:Q24)</f>
        <v>20619081</v>
      </c>
      <c r="R27" s="19">
        <f>SUM(R21:R25)</f>
        <v>20619081</v>
      </c>
      <c r="S27" s="2"/>
      <c r="T27" s="19">
        <f>SUM(T21:T24)</f>
        <v>13229677</v>
      </c>
      <c r="U27" s="19">
        <f>SUM(U21:U25)</f>
        <v>13229677</v>
      </c>
    </row>
    <row r="28" spans="2:23" x14ac:dyDescent="0.25">
      <c r="B28" s="59"/>
      <c r="C28" s="187" t="s">
        <v>327</v>
      </c>
      <c r="D28" s="50"/>
      <c r="E28" s="50"/>
      <c r="F28" s="50"/>
      <c r="G28" s="229"/>
      <c r="H28" s="229"/>
      <c r="I28" s="51"/>
      <c r="J28" s="17"/>
      <c r="K28" s="17"/>
      <c r="L28" s="17"/>
      <c r="M28" s="17"/>
      <c r="N28" s="17"/>
      <c r="O28" s="6"/>
      <c r="P28" s="6"/>
      <c r="Q28" s="6"/>
      <c r="R28" s="6"/>
      <c r="S28" s="2"/>
      <c r="T28" s="6"/>
      <c r="U28" s="6"/>
    </row>
    <row r="29" spans="2:23" x14ac:dyDescent="0.25">
      <c r="B29" s="171" t="s">
        <v>328</v>
      </c>
      <c r="C29" s="54"/>
      <c r="D29" s="54"/>
      <c r="E29" s="54"/>
      <c r="F29" s="54"/>
      <c r="G29" s="228"/>
      <c r="H29" s="228"/>
      <c r="I29" s="26">
        <f>2053333+2566667</f>
        <v>4620000</v>
      </c>
      <c r="J29" s="10"/>
      <c r="K29" s="10">
        <f>5360186+727881</f>
        <v>6088067</v>
      </c>
      <c r="L29" s="10"/>
      <c r="M29" s="10">
        <v>656393</v>
      </c>
      <c r="N29" s="10"/>
      <c r="O29" s="10">
        <v>352755</v>
      </c>
      <c r="P29" s="10"/>
      <c r="Q29" s="10">
        <v>5642042</v>
      </c>
      <c r="R29" s="10"/>
      <c r="S29" s="2"/>
      <c r="T29" s="10">
        <v>1187953</v>
      </c>
      <c r="U29" s="10"/>
    </row>
    <row r="30" spans="2:23" x14ac:dyDescent="0.25">
      <c r="B30" s="171" t="s">
        <v>329</v>
      </c>
      <c r="C30" s="54"/>
      <c r="D30" s="54"/>
      <c r="E30" s="54"/>
      <c r="F30" s="54"/>
      <c r="G30" s="228"/>
      <c r="H30" s="228"/>
      <c r="I30" s="26">
        <v>15292925</v>
      </c>
      <c r="J30" s="10"/>
      <c r="K30" s="10"/>
      <c r="L30" s="10"/>
      <c r="M30" s="10"/>
      <c r="N30" s="10"/>
      <c r="O30" s="10"/>
      <c r="P30" s="10"/>
      <c r="Q30" s="10">
        <v>202251</v>
      </c>
      <c r="R30" s="10"/>
      <c r="S30" s="2"/>
      <c r="T30" s="10">
        <v>682574</v>
      </c>
      <c r="U30" s="10"/>
    </row>
    <row r="31" spans="2:23" x14ac:dyDescent="0.25">
      <c r="B31" s="171" t="s">
        <v>430</v>
      </c>
      <c r="C31" s="54"/>
      <c r="D31" s="54"/>
      <c r="E31" s="54"/>
      <c r="F31" s="54"/>
      <c r="G31" s="228">
        <f>+H33</f>
        <v>29886240</v>
      </c>
      <c r="H31" s="228"/>
      <c r="I31" s="26"/>
      <c r="J31" s="10"/>
      <c r="K31" s="10">
        <v>4546528</v>
      </c>
      <c r="L31" s="10"/>
      <c r="M31" s="10">
        <v>2251425</v>
      </c>
      <c r="N31" s="10"/>
      <c r="O31" s="10">
        <v>4279500</v>
      </c>
      <c r="P31" s="10"/>
      <c r="Q31" s="10">
        <v>1260000</v>
      </c>
      <c r="R31" s="10"/>
      <c r="S31" s="2"/>
      <c r="T31" s="10">
        <v>0</v>
      </c>
      <c r="U31" s="10"/>
    </row>
    <row r="32" spans="2:23" hidden="1" x14ac:dyDescent="0.25">
      <c r="B32" s="171" t="s">
        <v>330</v>
      </c>
      <c r="C32" s="54"/>
      <c r="D32" s="54"/>
      <c r="E32" s="54"/>
      <c r="F32" s="54"/>
      <c r="G32" s="228"/>
      <c r="H32" s="228"/>
      <c r="I32" s="26"/>
      <c r="J32" s="10"/>
      <c r="K32" s="10">
        <f>+L33-K29-K31</f>
        <v>315332</v>
      </c>
      <c r="L32" s="10"/>
      <c r="M32" s="10"/>
      <c r="N32" s="10"/>
      <c r="O32" s="10">
        <f>7447200-7427584</f>
        <v>19616</v>
      </c>
      <c r="P32" s="10"/>
      <c r="Q32" s="10"/>
      <c r="R32" s="10"/>
      <c r="S32" s="2"/>
      <c r="T32" s="10"/>
      <c r="U32" s="10"/>
      <c r="V32" s="32"/>
    </row>
    <row r="33" spans="2:22" x14ac:dyDescent="0.25">
      <c r="B33" s="171" t="s">
        <v>331</v>
      </c>
      <c r="C33" s="54"/>
      <c r="D33" s="54"/>
      <c r="E33" s="54"/>
      <c r="F33" s="54"/>
      <c r="G33" s="228"/>
      <c r="H33" s="228">
        <v>29886240</v>
      </c>
      <c r="I33" s="26"/>
      <c r="J33" s="10">
        <v>19912925</v>
      </c>
      <c r="K33" s="10"/>
      <c r="L33" s="10">
        <v>10949927</v>
      </c>
      <c r="M33" s="10"/>
      <c r="N33" s="10">
        <v>5055818</v>
      </c>
      <c r="O33" s="10"/>
      <c r="P33" s="10">
        <f>7177200+270000</f>
        <v>7447200</v>
      </c>
      <c r="Q33" s="10"/>
      <c r="R33" s="10">
        <v>7271922</v>
      </c>
      <c r="S33" s="2"/>
      <c r="T33" s="10"/>
      <c r="U33" s="10">
        <v>1092645</v>
      </c>
      <c r="V33" s="32"/>
    </row>
    <row r="34" spans="2:22" x14ac:dyDescent="0.25">
      <c r="B34" s="30" t="s">
        <v>431</v>
      </c>
      <c r="C34" s="54"/>
      <c r="D34" s="54"/>
      <c r="E34" s="54"/>
      <c r="F34" s="54"/>
      <c r="G34" s="228"/>
      <c r="H34" s="228"/>
      <c r="I34" s="26"/>
      <c r="J34" s="10"/>
      <c r="K34" s="10"/>
      <c r="L34" s="10"/>
      <c r="M34" s="10"/>
      <c r="N34" s="10"/>
      <c r="O34" s="10"/>
      <c r="P34" s="10"/>
      <c r="Q34" s="10"/>
      <c r="R34" s="10"/>
      <c r="S34" s="2"/>
      <c r="T34" s="10"/>
      <c r="U34" s="10"/>
    </row>
    <row r="35" spans="2:22" x14ac:dyDescent="0.25">
      <c r="B35" s="65"/>
      <c r="C35" s="36"/>
      <c r="D35" s="36"/>
      <c r="E35" s="36"/>
      <c r="F35" s="223" t="s">
        <v>315</v>
      </c>
      <c r="G35" s="19">
        <f>SUM(G29:G33)</f>
        <v>29886240</v>
      </c>
      <c r="H35" s="225">
        <f>SUM(H29:H33)</f>
        <v>29886240</v>
      </c>
      <c r="I35" s="225">
        <f>SUM(I29:I33)</f>
        <v>19912925</v>
      </c>
      <c r="J35" s="19">
        <f>SUM(J29:J33)</f>
        <v>19912925</v>
      </c>
      <c r="K35" s="19">
        <f t="shared" ref="K35:R35" si="6">SUM(K28:K33)</f>
        <v>10949927</v>
      </c>
      <c r="L35" s="19">
        <f t="shared" si="6"/>
        <v>10949927</v>
      </c>
      <c r="M35" s="19">
        <f t="shared" si="6"/>
        <v>2907818</v>
      </c>
      <c r="N35" s="19">
        <f t="shared" si="6"/>
        <v>5055818</v>
      </c>
      <c r="O35" s="19">
        <f t="shared" si="6"/>
        <v>4651871</v>
      </c>
      <c r="P35" s="19">
        <f t="shared" si="6"/>
        <v>7447200</v>
      </c>
      <c r="Q35" s="19">
        <f t="shared" si="6"/>
        <v>7104293</v>
      </c>
      <c r="R35" s="19">
        <f t="shared" si="6"/>
        <v>7271922</v>
      </c>
      <c r="S35" s="2"/>
      <c r="T35" s="19">
        <f>SUM(T28:T33)</f>
        <v>1870527</v>
      </c>
      <c r="U35" s="19">
        <f>SUM(U28:U33)</f>
        <v>1092645</v>
      </c>
    </row>
    <row r="36" spans="2:22" x14ac:dyDescent="0.25">
      <c r="B36" s="30"/>
      <c r="C36" s="189" t="s">
        <v>332</v>
      </c>
      <c r="D36" s="54"/>
      <c r="E36" s="54"/>
      <c r="F36" s="54"/>
      <c r="G36" s="228"/>
      <c r="H36" s="228"/>
      <c r="I36" s="227"/>
      <c r="J36" s="18"/>
      <c r="K36" s="18"/>
      <c r="L36" s="18"/>
      <c r="M36" s="18"/>
      <c r="N36" s="18"/>
      <c r="O36" s="6"/>
      <c r="P36" s="6"/>
      <c r="Q36" s="6"/>
      <c r="R36" s="6"/>
      <c r="S36" s="2"/>
      <c r="T36" s="5"/>
      <c r="U36" s="6"/>
    </row>
    <row r="37" spans="2:22" x14ac:dyDescent="0.25">
      <c r="B37" s="171" t="s">
        <v>333</v>
      </c>
      <c r="C37" s="54"/>
      <c r="D37" s="54"/>
      <c r="E37" s="54"/>
      <c r="F37" s="54"/>
      <c r="G37" s="228">
        <v>9828510</v>
      </c>
      <c r="H37" s="228"/>
      <c r="I37" s="26">
        <v>9636341</v>
      </c>
      <c r="J37" s="10"/>
      <c r="K37" s="10">
        <v>9726442</v>
      </c>
      <c r="L37" s="10"/>
      <c r="M37" s="10">
        <f>+N38</f>
        <v>8402210</v>
      </c>
      <c r="N37" s="10"/>
      <c r="O37" s="10">
        <f>+'PP&amp;E'!J18</f>
        <v>3922517.4766000002</v>
      </c>
      <c r="P37" s="10"/>
      <c r="Q37" s="10"/>
      <c r="R37" s="10"/>
      <c r="S37" s="2"/>
      <c r="T37" s="9"/>
      <c r="U37" s="10"/>
    </row>
    <row r="38" spans="2:22" x14ac:dyDescent="0.25">
      <c r="B38" s="171" t="s">
        <v>334</v>
      </c>
      <c r="C38" s="54"/>
      <c r="D38" s="54"/>
      <c r="E38" s="54"/>
      <c r="F38" s="54"/>
      <c r="G38" s="228"/>
      <c r="H38" s="228">
        <v>9828510</v>
      </c>
      <c r="I38" s="26"/>
      <c r="J38" s="10">
        <v>9636341</v>
      </c>
      <c r="K38" s="10"/>
      <c r="L38" s="10">
        <f>+K37</f>
        <v>9726442</v>
      </c>
      <c r="M38" s="10"/>
      <c r="N38" s="10">
        <v>8402210</v>
      </c>
      <c r="O38" s="10"/>
      <c r="P38" s="10">
        <f>+O37</f>
        <v>3922517.4766000002</v>
      </c>
      <c r="Q38" s="10"/>
      <c r="R38" s="10"/>
      <c r="S38" s="2"/>
      <c r="T38" s="9"/>
      <c r="U38" s="10"/>
    </row>
    <row r="39" spans="2:22" ht="29.45" customHeight="1" x14ac:dyDescent="0.25">
      <c r="B39" s="271" t="s">
        <v>335</v>
      </c>
      <c r="C39" s="271"/>
      <c r="D39" s="271"/>
      <c r="E39" s="271"/>
      <c r="F39" s="271"/>
      <c r="G39" s="228"/>
      <c r="H39" s="228"/>
      <c r="I39" s="26"/>
      <c r="J39" s="10"/>
      <c r="K39" s="10"/>
      <c r="L39" s="10"/>
      <c r="M39" s="10"/>
      <c r="N39" s="10"/>
      <c r="O39" s="10"/>
      <c r="P39" s="10"/>
      <c r="Q39" s="10"/>
      <c r="R39" s="10"/>
      <c r="S39" s="2"/>
      <c r="T39" s="9"/>
      <c r="U39" s="10"/>
    </row>
    <row r="40" spans="2:22" x14ac:dyDescent="0.25">
      <c r="B40" s="30"/>
      <c r="C40" s="54"/>
      <c r="D40" s="54"/>
      <c r="E40" s="54"/>
      <c r="F40" s="54" t="s">
        <v>315</v>
      </c>
      <c r="G40" s="19">
        <f t="shared" ref="G40:H40" si="7">+G37+G38</f>
        <v>9828510</v>
      </c>
      <c r="H40" s="225">
        <f t="shared" si="7"/>
        <v>9828510</v>
      </c>
      <c r="I40" s="225">
        <f>+I37+I38</f>
        <v>9636341</v>
      </c>
      <c r="J40" s="19">
        <f>+J37+J38</f>
        <v>9636341</v>
      </c>
      <c r="K40" s="19">
        <f>+K37</f>
        <v>9726442</v>
      </c>
      <c r="L40" s="19">
        <f>+L38</f>
        <v>9726442</v>
      </c>
      <c r="M40" s="19">
        <f>+M37</f>
        <v>8402210</v>
      </c>
      <c r="N40" s="19">
        <f>+N38</f>
        <v>8402210</v>
      </c>
      <c r="O40" s="19">
        <f>+O37</f>
        <v>3922517.4766000002</v>
      </c>
      <c r="P40" s="19">
        <f>+P38</f>
        <v>3922517.4766000002</v>
      </c>
      <c r="Q40" s="6"/>
      <c r="R40" s="6"/>
      <c r="S40" s="2"/>
      <c r="T40" s="5"/>
      <c r="U40" s="6"/>
    </row>
    <row r="41" spans="2:22" x14ac:dyDescent="0.25">
      <c r="B41" s="59"/>
      <c r="C41" s="187" t="s">
        <v>336</v>
      </c>
      <c r="D41" s="50"/>
      <c r="E41" s="50"/>
      <c r="F41" s="50"/>
      <c r="G41" s="229"/>
      <c r="H41" s="229"/>
      <c r="I41" s="51"/>
      <c r="J41" s="17"/>
      <c r="K41" s="17"/>
      <c r="L41" s="17"/>
      <c r="M41" s="17"/>
      <c r="N41" s="17"/>
      <c r="O41" s="6"/>
      <c r="P41" s="6"/>
      <c r="Q41" s="6"/>
      <c r="R41" s="6"/>
      <c r="S41" s="2"/>
      <c r="T41" s="5"/>
      <c r="U41" s="6"/>
    </row>
    <row r="42" spans="2:22" x14ac:dyDescent="0.25">
      <c r="B42" s="171" t="s">
        <v>337</v>
      </c>
      <c r="C42" s="54"/>
      <c r="D42" s="54"/>
      <c r="E42" s="54"/>
      <c r="F42" s="54"/>
      <c r="G42" s="228">
        <f>+H50-G44-G43</f>
        <v>10052733.753400002</v>
      </c>
      <c r="H42" s="228"/>
      <c r="I42" s="26">
        <v>11525237</v>
      </c>
      <c r="J42" s="10"/>
      <c r="K42" s="10">
        <f>+M42-1836936</f>
        <v>14471318.003400002</v>
      </c>
      <c r="L42" s="10"/>
      <c r="M42" s="10">
        <f>+N50-M45-M43</f>
        <v>16308254.003400002</v>
      </c>
      <c r="N42" s="10"/>
      <c r="O42" s="10">
        <f>+P50-O46</f>
        <v>7213414</v>
      </c>
      <c r="P42" s="10"/>
      <c r="Q42" s="10" t="e">
        <f>+R48+R50+R47</f>
        <v>#REF!</v>
      </c>
      <c r="R42" s="10"/>
      <c r="S42" s="2"/>
      <c r="T42" s="9">
        <v>0</v>
      </c>
      <c r="U42" s="10"/>
      <c r="V42" s="2"/>
    </row>
    <row r="43" spans="2:22" x14ac:dyDescent="0.25">
      <c r="B43" s="171" t="s">
        <v>338</v>
      </c>
      <c r="C43" s="54"/>
      <c r="D43" s="54"/>
      <c r="E43" s="54"/>
      <c r="F43" s="54"/>
      <c r="G43" s="245">
        <f>+I43-J59</f>
        <v>3164337.1851480007</v>
      </c>
      <c r="H43" s="245"/>
      <c r="I43" s="26">
        <f>+K43+K54+K59</f>
        <v>3522607.4351480007</v>
      </c>
      <c r="J43" s="10"/>
      <c r="K43" s="10">
        <f>+M43+M59</f>
        <v>4078003.9351480003</v>
      </c>
      <c r="L43" s="10"/>
      <c r="M43" s="10">
        <f>+O59</f>
        <v>3486156.52</v>
      </c>
      <c r="N43" s="10"/>
      <c r="O43" s="10"/>
      <c r="P43" s="10"/>
      <c r="Q43" s="10"/>
      <c r="R43" s="10"/>
      <c r="S43" s="2"/>
      <c r="T43" s="9"/>
      <c r="U43" s="10"/>
      <c r="V43" s="32"/>
    </row>
    <row r="44" spans="2:22" x14ac:dyDescent="0.25">
      <c r="B44" s="171" t="s">
        <v>339</v>
      </c>
      <c r="C44" s="54"/>
      <c r="D44" s="54"/>
      <c r="E44" s="54"/>
      <c r="F44" s="54"/>
      <c r="G44" s="245">
        <f>+I44+I37</f>
        <v>19362783</v>
      </c>
      <c r="H44" s="245"/>
      <c r="I44" s="26">
        <f>+K37</f>
        <v>9726442</v>
      </c>
      <c r="J44" s="10"/>
      <c r="K44" s="10"/>
      <c r="L44" s="10"/>
      <c r="M44" s="10"/>
      <c r="N44" s="10"/>
      <c r="O44" s="10"/>
      <c r="P44" s="10"/>
      <c r="Q44" s="10"/>
      <c r="R44" s="10"/>
      <c r="S44" s="2"/>
      <c r="T44" s="9"/>
      <c r="U44" s="10"/>
      <c r="V44" s="32">
        <f>+H50-G44</f>
        <v>13217070.938548002</v>
      </c>
    </row>
    <row r="45" spans="2:22" x14ac:dyDescent="0.25">
      <c r="B45" s="171" t="s">
        <v>340</v>
      </c>
      <c r="C45" s="54"/>
      <c r="D45" s="54"/>
      <c r="E45" s="54"/>
      <c r="F45" s="54"/>
      <c r="G45" s="245"/>
      <c r="H45" s="245"/>
      <c r="I45" s="26"/>
      <c r="J45" s="10">
        <f>+K17-L16+K32</f>
        <v>397693</v>
      </c>
      <c r="K45" s="10"/>
      <c r="L45" s="10"/>
      <c r="M45" s="10">
        <f>+O37</f>
        <v>3922517.4766000002</v>
      </c>
      <c r="N45" s="10"/>
      <c r="O45" s="10"/>
      <c r="P45" s="10"/>
      <c r="Q45" s="10"/>
      <c r="R45" s="10"/>
      <c r="S45" s="2"/>
      <c r="T45" s="9"/>
      <c r="U45" s="10"/>
      <c r="V45" s="32"/>
    </row>
    <row r="46" spans="2:22" hidden="1" outlineLevel="1" x14ac:dyDescent="0.25">
      <c r="B46" s="171" t="s">
        <v>341</v>
      </c>
      <c r="C46" s="54"/>
      <c r="D46" s="54"/>
      <c r="E46" s="54"/>
      <c r="F46" s="54"/>
      <c r="G46" s="245"/>
      <c r="H46" s="245"/>
      <c r="I46" s="26"/>
      <c r="J46" s="231"/>
      <c r="K46" s="10"/>
      <c r="M46" s="10"/>
      <c r="O46" s="10"/>
      <c r="P46" s="18"/>
      <c r="Q46" s="10"/>
      <c r="R46" s="10"/>
      <c r="S46" s="2"/>
      <c r="T46" s="10"/>
      <c r="U46" s="10"/>
    </row>
    <row r="47" spans="2:22" hidden="1" outlineLevel="1" x14ac:dyDescent="0.25">
      <c r="B47" s="171" t="s">
        <v>342</v>
      </c>
      <c r="C47" s="54"/>
      <c r="D47" s="54"/>
      <c r="E47" s="54"/>
      <c r="F47" s="54"/>
      <c r="G47" s="245"/>
      <c r="H47" s="245"/>
      <c r="I47" s="26"/>
      <c r="J47" s="10"/>
      <c r="K47" s="10"/>
      <c r="L47" s="10"/>
      <c r="M47" s="10"/>
      <c r="N47" s="10"/>
      <c r="O47" s="10"/>
      <c r="P47" s="10"/>
      <c r="Q47" s="10"/>
      <c r="R47" s="10" t="e">
        <f>+T66+16101</f>
        <v>#REF!</v>
      </c>
      <c r="S47" s="2"/>
      <c r="T47" s="9"/>
      <c r="U47" s="10">
        <v>0</v>
      </c>
    </row>
    <row r="48" spans="2:22" hidden="1" outlineLevel="1" x14ac:dyDescent="0.25">
      <c r="B48" s="171" t="s">
        <v>343</v>
      </c>
      <c r="C48" s="54"/>
      <c r="D48" s="54"/>
      <c r="E48" s="54"/>
      <c r="F48" s="54"/>
      <c r="G48" s="245"/>
      <c r="H48" s="245"/>
      <c r="I48" s="26"/>
      <c r="J48" s="10"/>
      <c r="K48" s="10"/>
      <c r="L48" s="10">
        <v>0</v>
      </c>
      <c r="M48" s="10"/>
      <c r="N48" s="10">
        <v>0</v>
      </c>
      <c r="O48" s="10"/>
      <c r="P48" s="18"/>
      <c r="Q48" s="10"/>
      <c r="R48" s="10">
        <f>+U25</f>
        <v>416926</v>
      </c>
      <c r="S48" s="2"/>
      <c r="T48" s="9"/>
      <c r="U48" s="10">
        <v>0</v>
      </c>
    </row>
    <row r="49" spans="2:22" hidden="1" outlineLevel="1" x14ac:dyDescent="0.25">
      <c r="B49" s="171" t="s">
        <v>344</v>
      </c>
      <c r="C49" s="54"/>
      <c r="D49" s="54"/>
      <c r="E49" s="54"/>
      <c r="F49" s="54"/>
      <c r="G49" s="245"/>
      <c r="H49" s="245"/>
      <c r="I49" s="26"/>
      <c r="J49" s="10"/>
      <c r="K49" s="10"/>
      <c r="L49" s="10"/>
      <c r="M49" s="10"/>
      <c r="N49" s="10"/>
      <c r="O49" s="10"/>
      <c r="P49" s="10">
        <v>0</v>
      </c>
      <c r="Q49" s="10"/>
      <c r="R49" s="10"/>
      <c r="S49" s="2"/>
      <c r="T49" s="9"/>
      <c r="U49" s="10"/>
    </row>
    <row r="50" spans="2:22" collapsed="1" x14ac:dyDescent="0.25">
      <c r="B50" s="171" t="s">
        <v>345</v>
      </c>
      <c r="C50" s="54"/>
      <c r="D50" s="54"/>
      <c r="E50" s="54"/>
      <c r="F50" s="54"/>
      <c r="G50" s="245"/>
      <c r="H50" s="245">
        <f>+J50+J23</f>
        <v>32579853.938548002</v>
      </c>
      <c r="I50" s="26"/>
      <c r="J50" s="10">
        <f>+L50+L23</f>
        <v>24376593.938548002</v>
      </c>
      <c r="K50" s="10"/>
      <c r="L50" s="10">
        <f>+K42+K43</f>
        <v>18549321.938548002</v>
      </c>
      <c r="M50" s="10"/>
      <c r="N50" s="10">
        <f>+P50+P23+795508-138160</f>
        <v>23716928</v>
      </c>
      <c r="O50" s="10"/>
      <c r="P50" s="10">
        <f>+R50+R23</f>
        <v>7213414</v>
      </c>
      <c r="Q50" s="10"/>
      <c r="R50" s="10">
        <f>+U23</f>
        <v>1475332</v>
      </c>
      <c r="S50" s="2"/>
      <c r="T50" s="9"/>
      <c r="U50" s="10">
        <v>0</v>
      </c>
    </row>
    <row r="51" spans="2:22" x14ac:dyDescent="0.25">
      <c r="B51" s="30" t="s">
        <v>346</v>
      </c>
      <c r="C51" s="54"/>
      <c r="D51" s="54"/>
      <c r="E51" s="54"/>
      <c r="F51" s="54"/>
      <c r="G51" s="245"/>
      <c r="H51" s="245"/>
      <c r="I51" s="52"/>
      <c r="J51" s="18"/>
      <c r="K51" s="18"/>
      <c r="L51" s="18"/>
      <c r="M51" s="18"/>
      <c r="N51" s="18"/>
      <c r="O51" s="10"/>
      <c r="P51" s="24"/>
      <c r="Q51" s="10"/>
      <c r="R51" s="10"/>
      <c r="T51" s="30"/>
      <c r="U51" s="18"/>
    </row>
    <row r="52" spans="2:22" x14ac:dyDescent="0.25">
      <c r="B52" s="65"/>
      <c r="C52" s="36"/>
      <c r="D52" s="36"/>
      <c r="E52" s="36"/>
      <c r="F52" s="36" t="s">
        <v>315</v>
      </c>
      <c r="G52" s="19">
        <f t="shared" ref="G52:H52" si="8">SUM(G42:G51)</f>
        <v>32579853.938548002</v>
      </c>
      <c r="H52" s="225">
        <f t="shared" si="8"/>
        <v>32579853.938548002</v>
      </c>
      <c r="I52" s="225">
        <f>SUM(I42:I51)</f>
        <v>24774286.435148001</v>
      </c>
      <c r="J52" s="19">
        <f>SUM(J43:J51)</f>
        <v>24774286.938548002</v>
      </c>
      <c r="K52" s="19">
        <f t="shared" ref="K52:R52" si="9">SUM(K41:K50)</f>
        <v>18549321.938548002</v>
      </c>
      <c r="L52" s="19">
        <f t="shared" si="9"/>
        <v>18549321.938548002</v>
      </c>
      <c r="M52" s="19">
        <f t="shared" si="9"/>
        <v>23716928</v>
      </c>
      <c r="N52" s="19">
        <f t="shared" si="9"/>
        <v>23716928</v>
      </c>
      <c r="O52" s="19">
        <f t="shared" si="9"/>
        <v>7213414</v>
      </c>
      <c r="P52" s="19">
        <f t="shared" si="9"/>
        <v>7213414</v>
      </c>
      <c r="Q52" s="19" t="e">
        <f t="shared" si="9"/>
        <v>#REF!</v>
      </c>
      <c r="R52" s="19" t="e">
        <f t="shared" si="9"/>
        <v>#REF!</v>
      </c>
      <c r="T52" s="19">
        <f>SUM(T41:T50)</f>
        <v>0</v>
      </c>
      <c r="U52" s="19">
        <f>SUM(U41:U50)</f>
        <v>0</v>
      </c>
      <c r="V52" s="242"/>
    </row>
    <row r="53" spans="2:22" hidden="1" x14ac:dyDescent="0.25">
      <c r="B53" s="30"/>
      <c r="C53" s="189" t="s">
        <v>347</v>
      </c>
      <c r="D53" s="54"/>
      <c r="E53" s="54"/>
      <c r="F53" s="54"/>
      <c r="G53" s="228"/>
      <c r="H53" s="228"/>
      <c r="I53" s="52"/>
      <c r="J53" s="18"/>
      <c r="K53" s="18"/>
      <c r="L53" s="18"/>
      <c r="M53" s="18"/>
      <c r="N53" s="18"/>
      <c r="O53" s="6"/>
      <c r="P53" s="6"/>
      <c r="Q53" s="6"/>
      <c r="R53" s="6"/>
      <c r="S53" s="54"/>
      <c r="T53" s="5"/>
      <c r="U53" s="10"/>
      <c r="V53" s="243"/>
    </row>
    <row r="54" spans="2:22" hidden="1" x14ac:dyDescent="0.25">
      <c r="B54" s="171" t="s">
        <v>338</v>
      </c>
      <c r="C54" s="54"/>
      <c r="D54" s="54"/>
      <c r="E54" s="54"/>
      <c r="F54" s="54"/>
      <c r="G54" s="228"/>
      <c r="H54" s="228"/>
      <c r="I54" s="227">
        <v>0</v>
      </c>
      <c r="J54" s="18"/>
      <c r="K54" s="60">
        <v>419396</v>
      </c>
      <c r="L54" s="18"/>
      <c r="M54" s="60"/>
      <c r="N54" s="18"/>
      <c r="O54" s="10">
        <f>P18*0.22</f>
        <v>1847711.58</v>
      </c>
      <c r="P54" s="10"/>
      <c r="Q54" s="10"/>
      <c r="R54" s="10"/>
      <c r="S54" s="54"/>
      <c r="T54" s="9"/>
      <c r="U54" s="10"/>
      <c r="V54" s="243"/>
    </row>
    <row r="55" spans="2:22" hidden="1" x14ac:dyDescent="0.25">
      <c r="B55" s="171" t="s">
        <v>348</v>
      </c>
      <c r="C55" s="54"/>
      <c r="D55" s="54"/>
      <c r="E55" s="54"/>
      <c r="F55" s="54"/>
      <c r="G55" s="228"/>
      <c r="H55" s="228"/>
      <c r="I55" s="52"/>
      <c r="J55" s="60">
        <v>0</v>
      </c>
      <c r="K55" s="18"/>
      <c r="L55" s="60">
        <f>+K54</f>
        <v>419396</v>
      </c>
      <c r="M55" s="18"/>
      <c r="N55" s="60"/>
      <c r="O55" s="10"/>
      <c r="P55" s="10">
        <f>+O54</f>
        <v>1847711.58</v>
      </c>
      <c r="Q55" s="10"/>
      <c r="R55" s="10"/>
      <c r="S55" s="54"/>
      <c r="T55" s="9"/>
      <c r="U55" s="10"/>
      <c r="V55" s="243"/>
    </row>
    <row r="56" spans="2:22" hidden="1" x14ac:dyDescent="0.25">
      <c r="B56" s="30" t="s">
        <v>349</v>
      </c>
      <c r="C56" s="54"/>
      <c r="D56" s="54"/>
      <c r="E56" s="54"/>
      <c r="F56" s="54"/>
      <c r="G56" s="228"/>
      <c r="H56" s="228"/>
      <c r="I56" s="52"/>
      <c r="J56" s="18"/>
      <c r="K56" s="18"/>
      <c r="L56" s="18"/>
      <c r="M56" s="18"/>
      <c r="N56" s="18"/>
      <c r="O56" s="10"/>
      <c r="P56" s="10"/>
      <c r="Q56" s="10"/>
      <c r="R56" s="10"/>
      <c r="S56" s="54"/>
      <c r="T56" s="9"/>
      <c r="U56" s="10"/>
      <c r="V56" s="243"/>
    </row>
    <row r="57" spans="2:22" hidden="1" x14ac:dyDescent="0.25">
      <c r="B57" s="65" t="s">
        <v>350</v>
      </c>
      <c r="C57" s="36"/>
      <c r="D57" s="36"/>
      <c r="E57" s="36"/>
      <c r="F57" s="36"/>
      <c r="G57" s="230"/>
      <c r="H57" s="230"/>
      <c r="I57" s="58"/>
      <c r="J57" s="27"/>
      <c r="K57" s="27"/>
      <c r="L57" s="27"/>
      <c r="M57" s="27"/>
      <c r="N57" s="27"/>
      <c r="O57" s="24"/>
      <c r="P57" s="24"/>
      <c r="Q57" s="24"/>
      <c r="R57" s="24"/>
      <c r="S57" s="54"/>
      <c r="T57" s="23"/>
      <c r="U57" s="24"/>
      <c r="V57" s="243"/>
    </row>
    <row r="58" spans="2:22" x14ac:dyDescent="0.25">
      <c r="B58" s="30"/>
      <c r="C58" s="235" t="s">
        <v>347</v>
      </c>
      <c r="D58" s="54"/>
      <c r="E58" s="54"/>
      <c r="F58" s="54"/>
      <c r="G58" s="228"/>
      <c r="H58" s="228"/>
      <c r="I58" s="52"/>
      <c r="J58" s="18"/>
      <c r="K58" s="18"/>
      <c r="L58" s="18"/>
      <c r="M58" s="18"/>
      <c r="N58" s="18"/>
      <c r="O58" s="6"/>
      <c r="P58" s="6"/>
      <c r="Q58" s="6"/>
      <c r="R58" s="6"/>
      <c r="S58" s="54"/>
      <c r="T58" s="5"/>
      <c r="U58" s="10"/>
      <c r="V58" s="244"/>
    </row>
    <row r="59" spans="2:22" x14ac:dyDescent="0.25">
      <c r="B59" s="171" t="s">
        <v>125</v>
      </c>
      <c r="C59" s="54"/>
      <c r="D59" s="54"/>
      <c r="E59" s="54"/>
      <c r="F59" s="54"/>
      <c r="G59" s="228">
        <f>5709560*0.25</f>
        <v>1427390</v>
      </c>
      <c r="H59" s="228"/>
      <c r="I59" s="231"/>
      <c r="J59" s="227">
        <f>-(+J23-J38)*0.25</f>
        <v>358270.25</v>
      </c>
      <c r="K59" s="60">
        <f>(+L23-L38)*0.25</f>
        <v>-974792.5</v>
      </c>
      <c r="L59" s="18"/>
      <c r="M59" s="60">
        <f>(-'BG '!T26-P23)*0.22</f>
        <v>591847.41514800023</v>
      </c>
      <c r="N59" s="18"/>
      <c r="O59" s="10">
        <f>P23*0.22</f>
        <v>3486156.52</v>
      </c>
      <c r="P59" s="10"/>
      <c r="Q59" s="10"/>
      <c r="R59" s="10"/>
      <c r="S59" s="54"/>
      <c r="T59" s="9"/>
      <c r="U59" s="10"/>
    </row>
    <row r="60" spans="2:22" x14ac:dyDescent="0.25">
      <c r="B60" s="171" t="s">
        <v>438</v>
      </c>
      <c r="C60" s="54"/>
      <c r="D60" s="54"/>
      <c r="E60" s="54"/>
      <c r="F60" s="54"/>
      <c r="G60" s="228"/>
      <c r="H60" s="228">
        <f>+G59</f>
        <v>1427390</v>
      </c>
      <c r="I60" s="246">
        <f>+J59</f>
        <v>358270.25</v>
      </c>
      <c r="J60" s="231"/>
      <c r="K60" s="18"/>
      <c r="L60" s="60">
        <f>+K59</f>
        <v>-974792.5</v>
      </c>
      <c r="M60" s="18"/>
      <c r="N60" s="60">
        <f>+M59</f>
        <v>591847.41514800023</v>
      </c>
      <c r="O60" s="10"/>
      <c r="P60" s="10">
        <f>+O59</f>
        <v>3486156.52</v>
      </c>
      <c r="Q60" s="10"/>
      <c r="R60" s="10"/>
      <c r="S60" s="54"/>
      <c r="T60" s="9"/>
      <c r="U60" s="10"/>
    </row>
    <row r="61" spans="2:22" x14ac:dyDescent="0.25">
      <c r="B61" s="30" t="s">
        <v>351</v>
      </c>
      <c r="C61" s="54"/>
      <c r="D61" s="54"/>
      <c r="E61" s="54"/>
      <c r="F61" s="54"/>
      <c r="G61" s="228"/>
      <c r="H61" s="228"/>
      <c r="I61" s="52"/>
      <c r="J61" s="18"/>
      <c r="K61" s="18"/>
      <c r="L61" s="18"/>
      <c r="M61" s="18"/>
      <c r="N61" s="18"/>
      <c r="O61" s="10"/>
      <c r="P61" s="10"/>
      <c r="Q61" s="10"/>
      <c r="R61" s="10"/>
      <c r="S61" s="54"/>
      <c r="T61" s="9"/>
      <c r="U61" s="10"/>
    </row>
    <row r="62" spans="2:22" x14ac:dyDescent="0.25">
      <c r="B62" s="30" t="s">
        <v>352</v>
      </c>
      <c r="C62" s="54"/>
      <c r="D62" s="54"/>
      <c r="E62" s="54"/>
      <c r="F62" s="54"/>
      <c r="G62" s="228"/>
      <c r="H62" s="228"/>
      <c r="I62" s="52"/>
      <c r="J62" s="27"/>
      <c r="K62" s="27"/>
      <c r="L62" s="27"/>
      <c r="M62" s="27"/>
      <c r="N62" s="27"/>
      <c r="O62" s="24"/>
      <c r="P62" s="24"/>
      <c r="Q62" s="24"/>
      <c r="R62" s="24"/>
      <c r="S62" s="54"/>
      <c r="T62" s="23"/>
      <c r="U62" s="24"/>
    </row>
    <row r="63" spans="2:22" x14ac:dyDescent="0.25">
      <c r="B63" s="65"/>
      <c r="C63" s="36"/>
      <c r="D63" s="36"/>
      <c r="E63" s="36"/>
      <c r="F63" s="36" t="s">
        <v>315</v>
      </c>
      <c r="G63" s="45">
        <f t="shared" ref="G63" si="10">SUM(G59:G62)</f>
        <v>1427390</v>
      </c>
      <c r="H63" s="45">
        <f t="shared" ref="H63" si="11">SUM(H59:H62)</f>
        <v>1427390</v>
      </c>
      <c r="I63" s="45">
        <f t="shared" ref="I63" si="12">SUM(I59:I62)</f>
        <v>358270.25</v>
      </c>
      <c r="J63" s="190">
        <f>SUM(J59:J62)</f>
        <v>358270.25</v>
      </c>
      <c r="K63" s="190">
        <f>SUM(K59:K62)</f>
        <v>-974792.5</v>
      </c>
      <c r="L63" s="190">
        <f>SUM(L59:L62)</f>
        <v>-974792.5</v>
      </c>
      <c r="M63" s="27"/>
      <c r="N63" s="27"/>
      <c r="O63" s="24"/>
      <c r="P63" s="24"/>
      <c r="Q63" s="24"/>
      <c r="R63" s="24"/>
      <c r="S63" s="54"/>
      <c r="T63" s="23"/>
      <c r="U63" s="24"/>
    </row>
    <row r="64" spans="2:22" ht="15.75" thickBot="1" x14ac:dyDescent="0.3">
      <c r="B64" s="50"/>
      <c r="C64" s="50"/>
      <c r="D64" s="50"/>
      <c r="E64" s="50"/>
      <c r="F64" s="51" t="s">
        <v>353</v>
      </c>
      <c r="G64" s="170">
        <f>+G11+G20+G27+G35+G52+G40+G63</f>
        <v>213885084.938548</v>
      </c>
      <c r="H64" s="170">
        <f>+H11+H20+H27+H35+H52+H40+H63</f>
        <v>213885084.938548</v>
      </c>
      <c r="I64" s="170">
        <f>+I11+I20+I27+I35+I52+I40+J59</f>
        <v>162504966.685148</v>
      </c>
      <c r="J64" s="170">
        <f>+J11+J20+J27+J35+J52+J40+I60</f>
        <v>162504967.188548</v>
      </c>
      <c r="K64" s="170">
        <f>+K11+K20+K27+K35+K52+K40+K59</f>
        <v>124036288.438548</v>
      </c>
      <c r="L64" s="170">
        <f>+L11+L20+L27+L35+L52+L40+L60</f>
        <v>124036288.438548</v>
      </c>
      <c r="M64" s="19">
        <f>+M11+M20+M27+M35+M52+M40+M59</f>
        <v>92978716.415148005</v>
      </c>
      <c r="N64" s="19">
        <f>+N11+N20+N27+N35+N52+N40+N60</f>
        <v>95126716.415148005</v>
      </c>
      <c r="O64" s="19" t="e">
        <f>+O11+O20+O27+O35+O52+O40+O59</f>
        <v>#REF!</v>
      </c>
      <c r="P64" s="19">
        <f>+P11+P20+P27+P35+P52+P40+P60</f>
        <v>73263238.996600002</v>
      </c>
      <c r="Q64" s="19" t="e">
        <f>+Q11+Q20+Q27+Q35+Q52+Q40</f>
        <v>#REF!</v>
      </c>
      <c r="R64" s="19" t="e">
        <f>+R11+R20+R27+R35+R52+R40</f>
        <v>#REF!</v>
      </c>
      <c r="S64" s="2"/>
      <c r="T64" s="191">
        <f>+T11+T20+T27+T35</f>
        <v>17692260</v>
      </c>
      <c r="U64" s="24">
        <f>+U11+U20+U27+U35</f>
        <v>17804574</v>
      </c>
    </row>
    <row r="65" spans="2:21" ht="15.75" thickTop="1" x14ac:dyDescent="0.25">
      <c r="H65" s="261">
        <f>+G64-H64</f>
        <v>0</v>
      </c>
      <c r="O65" s="32"/>
    </row>
    <row r="66" spans="2:21" hidden="1" x14ac:dyDescent="0.25">
      <c r="B66" s="59" t="s">
        <v>354</v>
      </c>
      <c r="C66" s="50"/>
      <c r="D66" s="50"/>
      <c r="E66" s="50"/>
      <c r="F66" s="50"/>
      <c r="G66" s="50"/>
      <c r="H66" s="50"/>
      <c r="I66" s="50"/>
      <c r="J66" s="50"/>
      <c r="K66" s="50"/>
      <c r="L66" s="50"/>
      <c r="M66" s="50"/>
      <c r="N66" s="50"/>
      <c r="O66" s="46" t="e">
        <f>+O17+#REF!+O42</f>
        <v>#REF!</v>
      </c>
      <c r="P66" s="50"/>
      <c r="Q66" s="46" t="e">
        <f>+PAT!I114+Q42</f>
        <v>#REF!</v>
      </c>
      <c r="R66" s="51"/>
      <c r="T66" s="192" t="e">
        <f>+#REF!-U8-#REF!</f>
        <v>#REF!</v>
      </c>
      <c r="U66" s="51"/>
    </row>
    <row r="67" spans="2:21" hidden="1" x14ac:dyDescent="0.25">
      <c r="B67" s="30" t="s">
        <v>355</v>
      </c>
      <c r="C67" s="54"/>
      <c r="D67" s="54"/>
      <c r="E67" s="54"/>
      <c r="F67" s="54"/>
      <c r="G67" s="54"/>
      <c r="H67" s="54"/>
      <c r="I67" s="54"/>
      <c r="J67" s="54"/>
      <c r="K67" s="54"/>
      <c r="L67" s="54"/>
      <c r="M67" s="54"/>
      <c r="N67" s="54"/>
      <c r="O67" s="48" t="e">
        <f>+#REF!-#REF!</f>
        <v>#REF!</v>
      </c>
      <c r="P67" s="54"/>
      <c r="Q67" s="48" t="e">
        <f>+Q8+#REF!+#REF!</f>
        <v>#REF!</v>
      </c>
      <c r="R67" s="52"/>
      <c r="T67" s="30"/>
      <c r="U67" s="52"/>
    </row>
    <row r="68" spans="2:21" hidden="1" x14ac:dyDescent="0.25">
      <c r="B68" s="193" t="s">
        <v>356</v>
      </c>
      <c r="C68" s="56"/>
      <c r="D68" s="56"/>
      <c r="E68" s="56"/>
      <c r="F68" s="56"/>
      <c r="G68" s="56"/>
      <c r="H68" s="56"/>
      <c r="I68" s="56"/>
      <c r="J68" s="56"/>
      <c r="K68" s="56"/>
      <c r="L68" s="56"/>
      <c r="M68" s="56"/>
      <c r="N68" s="56"/>
      <c r="O68" s="194" t="e">
        <f>+O66+O67</f>
        <v>#REF!</v>
      </c>
      <c r="P68" s="56"/>
      <c r="Q68" s="194" t="e">
        <f>+Q66+Q67</f>
        <v>#REF!</v>
      </c>
      <c r="R68" s="57"/>
      <c r="T68" s="195" t="e">
        <f>+T66+T67</f>
        <v>#REF!</v>
      </c>
      <c r="U68" s="57"/>
    </row>
    <row r="69" spans="2:21" x14ac:dyDescent="0.25">
      <c r="B69" s="54"/>
      <c r="C69" s="54"/>
      <c r="D69" s="54"/>
      <c r="E69" s="54"/>
      <c r="F69" s="54"/>
      <c r="G69" s="54"/>
      <c r="H69" s="54"/>
      <c r="I69" s="54"/>
      <c r="J69" s="54"/>
      <c r="K69" s="54"/>
      <c r="L69" s="54"/>
      <c r="M69" s="54"/>
      <c r="N69" s="54"/>
      <c r="O69" s="48"/>
      <c r="P69" s="54"/>
      <c r="Q69" s="48"/>
      <c r="R69" s="54"/>
      <c r="T69" s="48"/>
      <c r="U69" s="54"/>
    </row>
    <row r="70" spans="2:21" x14ac:dyDescent="0.25">
      <c r="K70" s="32"/>
    </row>
    <row r="71" spans="2:21" x14ac:dyDescent="0.25">
      <c r="O71" s="54"/>
      <c r="P71" s="54"/>
    </row>
    <row r="72" spans="2:21" x14ac:dyDescent="0.25">
      <c r="F72" s="272" t="s">
        <v>78</v>
      </c>
      <c r="G72" s="272"/>
      <c r="H72" s="272"/>
      <c r="I72" s="272"/>
      <c r="J72" s="272"/>
      <c r="K72" s="272"/>
      <c r="L72" s="272"/>
      <c r="M72" s="272"/>
      <c r="N72" s="272"/>
      <c r="O72" s="54"/>
      <c r="P72" s="54"/>
    </row>
    <row r="73" spans="2:21" x14ac:dyDescent="0.25">
      <c r="F73" s="273" t="s">
        <v>79</v>
      </c>
      <c r="G73" s="273"/>
      <c r="H73" s="273"/>
      <c r="I73" s="273"/>
      <c r="J73" s="273"/>
      <c r="K73" s="273"/>
      <c r="L73" s="273"/>
      <c r="M73" s="273"/>
      <c r="N73" s="273"/>
    </row>
  </sheetData>
  <mergeCells count="10">
    <mergeCell ref="Q4:R4"/>
    <mergeCell ref="T4:U4"/>
    <mergeCell ref="B39:F39"/>
    <mergeCell ref="F72:N72"/>
    <mergeCell ref="F73:N73"/>
    <mergeCell ref="G4:H4"/>
    <mergeCell ref="I4:J4"/>
    <mergeCell ref="K4:L4"/>
    <mergeCell ref="M4:N4"/>
    <mergeCell ref="O4:P4"/>
  </mergeCells>
  <pageMargins left="0.7" right="0.7" top="0.75" bottom="0.75" header="0.51180555555555496" footer="0.51180555555555496"/>
  <pageSetup scale="76" firstPageNumber="0"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E7E6E6"/>
  </sheetPr>
  <dimension ref="A1:N33"/>
  <sheetViews>
    <sheetView topLeftCell="A11" zoomScaleNormal="100" workbookViewId="0">
      <selection activeCell="N34" sqref="N34"/>
    </sheetView>
  </sheetViews>
  <sheetFormatPr defaultColWidth="9.28515625" defaultRowHeight="15" x14ac:dyDescent="0.25"/>
  <cols>
    <col min="1" max="1" width="3.85546875" customWidth="1"/>
    <col min="4" max="4" width="10.5703125" bestFit="1" customWidth="1"/>
    <col min="5" max="5" width="12.28515625" customWidth="1"/>
    <col min="6" max="6" width="12.7109375" customWidth="1"/>
    <col min="7" max="8" width="12.28515625" customWidth="1"/>
    <col min="9" max="10" width="12.28515625" hidden="1" customWidth="1"/>
    <col min="11" max="11" width="13.28515625" hidden="1" customWidth="1"/>
    <col min="12" max="12" width="12.28515625" hidden="1" customWidth="1"/>
    <col min="13" max="13" width="3.28515625" customWidth="1"/>
    <col min="14" max="14" width="78.7109375" customWidth="1"/>
  </cols>
  <sheetData>
    <row r="1" spans="1:14" x14ac:dyDescent="0.25">
      <c r="A1" s="3" t="s">
        <v>357</v>
      </c>
    </row>
    <row r="2" spans="1:14" x14ac:dyDescent="0.25">
      <c r="A2" s="4" t="s">
        <v>358</v>
      </c>
    </row>
    <row r="3" spans="1:14" x14ac:dyDescent="0.25">
      <c r="A3" s="4" t="s">
        <v>359</v>
      </c>
    </row>
    <row r="5" spans="1:14" x14ac:dyDescent="0.25">
      <c r="B5" s="59"/>
      <c r="C5" s="50"/>
      <c r="D5" s="50"/>
      <c r="E5" s="50"/>
      <c r="F5" s="50"/>
      <c r="G5" s="50"/>
      <c r="H5" s="196">
        <v>2020</v>
      </c>
      <c r="I5" s="196">
        <v>2019</v>
      </c>
      <c r="J5" s="196">
        <v>2018</v>
      </c>
      <c r="K5" s="196">
        <v>2017</v>
      </c>
      <c r="L5" s="196">
        <v>2016</v>
      </c>
      <c r="N5" s="185" t="s">
        <v>360</v>
      </c>
    </row>
    <row r="6" spans="1:14" x14ac:dyDescent="0.25">
      <c r="B6" s="30" t="s">
        <v>361</v>
      </c>
      <c r="C6" s="44"/>
      <c r="D6" s="44"/>
      <c r="E6" s="44"/>
      <c r="F6" s="44"/>
      <c r="G6" s="44"/>
      <c r="H6" s="18"/>
      <c r="I6" s="18"/>
      <c r="J6" s="18"/>
      <c r="K6" s="18"/>
      <c r="L6" s="18"/>
      <c r="N6" s="17"/>
    </row>
    <row r="7" spans="1:14" x14ac:dyDescent="0.25">
      <c r="B7" s="30" t="s">
        <v>362</v>
      </c>
      <c r="C7" s="44"/>
      <c r="D7" s="44"/>
      <c r="E7" s="44"/>
      <c r="F7" s="44"/>
      <c r="G7" s="44"/>
      <c r="H7" s="10">
        <f>-AD!H23</f>
        <v>-4118950</v>
      </c>
      <c r="I7" s="10">
        <f>-AD!J23</f>
        <v>-8203260</v>
      </c>
      <c r="J7" s="10">
        <f>-AD!L23</f>
        <v>-5827272</v>
      </c>
      <c r="K7" s="10">
        <f>-AD!N23</f>
        <v>-7144181</v>
      </c>
      <c r="L7" s="10">
        <f>-AD!P23</f>
        <v>-15846166</v>
      </c>
      <c r="N7" s="18" t="s">
        <v>363</v>
      </c>
    </row>
    <row r="8" spans="1:14" x14ac:dyDescent="0.25">
      <c r="B8" s="30" t="s">
        <v>364</v>
      </c>
      <c r="C8" s="44"/>
      <c r="D8" s="44"/>
      <c r="E8" s="44"/>
      <c r="F8" s="44"/>
      <c r="G8" s="44"/>
      <c r="H8" s="10">
        <f>+AD!G37</f>
        <v>9828510</v>
      </c>
      <c r="I8" s="10">
        <f>+AD!J38</f>
        <v>9636341</v>
      </c>
      <c r="J8" s="10">
        <f>+AD!L38</f>
        <v>9726442</v>
      </c>
      <c r="K8" s="10">
        <f>+AD!N38</f>
        <v>8402210</v>
      </c>
      <c r="L8" s="10">
        <f>+AD!P38</f>
        <v>3922517.4766000002</v>
      </c>
      <c r="N8" s="18" t="s">
        <v>365</v>
      </c>
    </row>
    <row r="9" spans="1:14" x14ac:dyDescent="0.25">
      <c r="B9" s="30" t="s">
        <v>366</v>
      </c>
      <c r="C9" s="44"/>
      <c r="D9" s="44"/>
      <c r="E9" s="44"/>
      <c r="F9" s="44"/>
      <c r="G9" s="44"/>
      <c r="H9" s="10">
        <f>AD!G59</f>
        <v>1427390</v>
      </c>
      <c r="I9" s="10">
        <f>-AD!I60</f>
        <v>-358270.25</v>
      </c>
      <c r="J9" s="10">
        <v>-555397</v>
      </c>
      <c r="K9" s="10">
        <f>+AD!N60</f>
        <v>591847.41514800023</v>
      </c>
      <c r="L9" s="10">
        <f>+AD!P60</f>
        <v>3486156.52</v>
      </c>
      <c r="N9" s="18" t="s">
        <v>439</v>
      </c>
    </row>
    <row r="10" spans="1:14" x14ac:dyDescent="0.25">
      <c r="B10" s="30" t="s">
        <v>367</v>
      </c>
      <c r="C10" s="44"/>
      <c r="D10" s="44"/>
      <c r="E10" s="44"/>
      <c r="F10" s="44"/>
      <c r="G10" s="44"/>
      <c r="H10" s="10">
        <f>-7136950+4653351</f>
        <v>-2483599</v>
      </c>
      <c r="I10" s="10">
        <v>687293</v>
      </c>
      <c r="J10" s="10"/>
      <c r="K10" s="10"/>
      <c r="L10" s="10"/>
      <c r="N10" s="18" t="s">
        <v>440</v>
      </c>
    </row>
    <row r="11" spans="1:14" x14ac:dyDescent="0.25">
      <c r="B11" s="62" t="s">
        <v>315</v>
      </c>
      <c r="C11" s="197"/>
      <c r="D11" s="197"/>
      <c r="E11" s="197"/>
      <c r="F11" s="197"/>
      <c r="G11" s="197"/>
      <c r="H11" s="63">
        <f>SUM(H7:H10)</f>
        <v>4653351</v>
      </c>
      <c r="I11" s="63">
        <f>SUM(I7:I10)</f>
        <v>1762103.75</v>
      </c>
      <c r="J11" s="63">
        <f>SUM(J7:J10)</f>
        <v>3343773</v>
      </c>
      <c r="K11" s="63">
        <f>SUM(K7:K10)</f>
        <v>1849876.4151480002</v>
      </c>
      <c r="L11" s="63">
        <f>SUM(L7:L10)</f>
        <v>-8437492.0033999998</v>
      </c>
      <c r="N11" s="27"/>
    </row>
    <row r="12" spans="1:14" hidden="1" x14ac:dyDescent="0.25">
      <c r="J12" s="2"/>
      <c r="K12" s="2"/>
      <c r="L12" s="2"/>
    </row>
    <row r="13" spans="1:14" hidden="1" x14ac:dyDescent="0.25">
      <c r="B13" s="59" t="s">
        <v>368</v>
      </c>
      <c r="C13" s="50"/>
      <c r="D13" s="50"/>
      <c r="E13" s="50"/>
      <c r="F13" s="50"/>
      <c r="G13" s="50"/>
      <c r="H13" s="50"/>
      <c r="I13" s="50"/>
      <c r="J13" s="6"/>
      <c r="K13" s="6"/>
      <c r="L13" s="6"/>
      <c r="N13" s="173"/>
    </row>
    <row r="14" spans="1:14" hidden="1" x14ac:dyDescent="0.25">
      <c r="B14" s="30" t="s">
        <v>369</v>
      </c>
      <c r="C14" s="44"/>
      <c r="D14" s="44"/>
      <c r="E14" s="44"/>
      <c r="F14" s="44"/>
      <c r="G14" s="44"/>
      <c r="H14" s="44"/>
      <c r="I14" s="44"/>
      <c r="J14" s="10"/>
      <c r="K14" s="10"/>
      <c r="L14" s="10"/>
      <c r="N14" s="173"/>
    </row>
    <row r="15" spans="1:14" s="198" customFormat="1" hidden="1" x14ac:dyDescent="0.25">
      <c r="B15" s="199"/>
      <c r="C15" s="200" t="s">
        <v>370</v>
      </c>
      <c r="D15" s="200"/>
      <c r="E15" s="200"/>
      <c r="F15" s="200"/>
      <c r="G15" s="200"/>
      <c r="H15" s="200"/>
      <c r="I15" s="200"/>
      <c r="J15" s="61"/>
      <c r="K15" s="61">
        <f>+AD!M22</f>
        <v>51723340</v>
      </c>
      <c r="L15" s="61">
        <v>48803746</v>
      </c>
      <c r="N15" s="201" t="s">
        <v>371</v>
      </c>
    </row>
    <row r="16" spans="1:14" hidden="1" x14ac:dyDescent="0.25">
      <c r="B16" s="30" t="s">
        <v>372</v>
      </c>
      <c r="C16" s="44"/>
      <c r="D16" s="44"/>
      <c r="E16" s="44"/>
      <c r="F16" s="44"/>
      <c r="G16" s="44"/>
      <c r="H16" s="44"/>
      <c r="I16" s="44"/>
      <c r="J16" s="10"/>
      <c r="K16" s="10"/>
      <c r="L16" s="10"/>
      <c r="N16" s="173"/>
    </row>
    <row r="17" spans="2:14" hidden="1" x14ac:dyDescent="0.25">
      <c r="B17" s="30"/>
      <c r="C17" s="44" t="s">
        <v>373</v>
      </c>
      <c r="D17" s="44"/>
      <c r="E17" s="44"/>
      <c r="F17" s="44"/>
      <c r="G17" s="44"/>
      <c r="H17" s="44"/>
      <c r="I17" s="44"/>
      <c r="J17" s="10"/>
      <c r="K17" s="10">
        <f>+AD!N23</f>
        <v>7144181</v>
      </c>
      <c r="L17" s="10">
        <f>+AD!P23</f>
        <v>15846166</v>
      </c>
      <c r="N17" s="173" t="s">
        <v>374</v>
      </c>
    </row>
    <row r="18" spans="2:14" hidden="1" x14ac:dyDescent="0.25">
      <c r="B18" s="30"/>
      <c r="C18" s="44" t="s">
        <v>375</v>
      </c>
      <c r="D18" s="44"/>
      <c r="E18" s="44"/>
      <c r="F18" s="44"/>
      <c r="G18" s="44"/>
      <c r="H18" s="44"/>
      <c r="I18" s="44"/>
      <c r="J18" s="10"/>
      <c r="K18" s="10">
        <f>+AD!N24</f>
        <v>44579159</v>
      </c>
      <c r="L18" s="10">
        <f>+AD!P24</f>
        <v>26625458</v>
      </c>
      <c r="N18" s="173"/>
    </row>
    <row r="19" spans="2:14" s="198" customFormat="1" ht="75" hidden="1" customHeight="1" x14ac:dyDescent="0.25">
      <c r="B19" s="202"/>
      <c r="C19" s="276" t="s">
        <v>376</v>
      </c>
      <c r="D19" s="276"/>
      <c r="E19" s="276"/>
      <c r="F19" s="276"/>
      <c r="G19" s="276"/>
      <c r="H19" s="276"/>
      <c r="I19" s="276"/>
      <c r="J19" s="203"/>
      <c r="K19" s="203">
        <v>0</v>
      </c>
      <c r="L19" s="203">
        <f>+L15-L17-L18</f>
        <v>6332122</v>
      </c>
      <c r="N19" s="204" t="s">
        <v>377</v>
      </c>
    </row>
    <row r="20" spans="2:14" x14ac:dyDescent="0.25">
      <c r="H20" s="2"/>
      <c r="I20" s="2">
        <f t="shared" ref="I20:K20" si="0">+I8+I7</f>
        <v>1433081</v>
      </c>
      <c r="J20" s="2">
        <f t="shared" si="0"/>
        <v>3899170</v>
      </c>
      <c r="K20" s="2">
        <f t="shared" si="0"/>
        <v>1258029</v>
      </c>
      <c r="L20" s="2">
        <f>+L8+L7</f>
        <v>-11923648.523399999</v>
      </c>
    </row>
    <row r="21" spans="2:14" x14ac:dyDescent="0.25">
      <c r="B21" s="4" t="s">
        <v>378</v>
      </c>
      <c r="K21" s="2"/>
      <c r="L21" s="2"/>
    </row>
    <row r="22" spans="2:14" ht="45" x14ac:dyDescent="0.25">
      <c r="B22" s="277" t="s">
        <v>379</v>
      </c>
      <c r="C22" s="277"/>
      <c r="D22" s="277"/>
      <c r="E22" s="205" t="s">
        <v>380</v>
      </c>
      <c r="F22" s="206" t="s">
        <v>381</v>
      </c>
      <c r="G22" s="205" t="s">
        <v>382</v>
      </c>
      <c r="H22" s="205" t="s">
        <v>383</v>
      </c>
      <c r="J22" s="207" t="s">
        <v>384</v>
      </c>
      <c r="L22" s="2"/>
      <c r="N22" s="17"/>
    </row>
    <row r="23" spans="2:14" x14ac:dyDescent="0.25">
      <c r="B23" s="208">
        <v>2015</v>
      </c>
      <c r="C23" s="209"/>
      <c r="D23" s="210"/>
      <c r="E23" s="211">
        <f>-AD!P50-670288</f>
        <v>-7883702</v>
      </c>
      <c r="F23" s="212"/>
      <c r="G23" s="213">
        <f>+F23+E23</f>
        <v>-7883702</v>
      </c>
      <c r="H23" s="214">
        <v>0</v>
      </c>
      <c r="J23" s="211">
        <f t="shared" ref="J23:J28" si="1">+G23+H23</f>
        <v>-7883702</v>
      </c>
      <c r="L23" s="2"/>
      <c r="N23" s="18"/>
    </row>
    <row r="24" spans="2:14" x14ac:dyDescent="0.25">
      <c r="B24" s="30">
        <v>2016</v>
      </c>
      <c r="C24" s="44"/>
      <c r="D24" s="52"/>
      <c r="E24" s="60">
        <f>+L7</f>
        <v>-15846166</v>
      </c>
      <c r="F24" s="60">
        <f>+L8</f>
        <v>3922517.4766000002</v>
      </c>
      <c r="G24" s="213">
        <f t="shared" ref="G24:G28" si="2">+F24+E24</f>
        <v>-11923648.523399999</v>
      </c>
      <c r="H24" s="60">
        <f>+L9</f>
        <v>3486156.52</v>
      </c>
      <c r="J24" s="10">
        <f t="shared" si="1"/>
        <v>-8437492.0033999998</v>
      </c>
      <c r="K24" s="215"/>
      <c r="L24" s="2"/>
      <c r="N24" s="18" t="s">
        <v>385</v>
      </c>
    </row>
    <row r="25" spans="2:14" x14ac:dyDescent="0.25">
      <c r="B25" s="30">
        <v>2017</v>
      </c>
      <c r="C25" s="44"/>
      <c r="D25" s="52"/>
      <c r="E25" s="60">
        <f>+K7</f>
        <v>-7144181</v>
      </c>
      <c r="F25" s="60">
        <f>+K8</f>
        <v>8402210</v>
      </c>
      <c r="G25" s="213">
        <f t="shared" si="2"/>
        <v>1258029</v>
      </c>
      <c r="H25" s="60">
        <f>+K9</f>
        <v>591847.41514800023</v>
      </c>
      <c r="J25" s="10">
        <f t="shared" si="1"/>
        <v>1849876.4151480002</v>
      </c>
      <c r="K25" s="215"/>
      <c r="L25" s="2"/>
      <c r="N25" s="18" t="s">
        <v>386</v>
      </c>
    </row>
    <row r="26" spans="2:14" x14ac:dyDescent="0.25">
      <c r="B26" s="30">
        <v>2018</v>
      </c>
      <c r="E26" s="60">
        <f>+J7</f>
        <v>-5827272</v>
      </c>
      <c r="F26" s="60">
        <f>+J8</f>
        <v>9726442</v>
      </c>
      <c r="G26" s="213">
        <f t="shared" si="2"/>
        <v>3899170</v>
      </c>
      <c r="H26" s="60">
        <f>+J9</f>
        <v>-555397</v>
      </c>
      <c r="J26" s="10">
        <f t="shared" si="1"/>
        <v>3343773</v>
      </c>
      <c r="K26" s="215"/>
      <c r="L26" s="2"/>
      <c r="N26" s="18" t="s">
        <v>387</v>
      </c>
    </row>
    <row r="27" spans="2:14" x14ac:dyDescent="0.25">
      <c r="B27" s="30">
        <v>2019</v>
      </c>
      <c r="E27" s="60">
        <f>+I7</f>
        <v>-8203260</v>
      </c>
      <c r="F27" s="60">
        <f>+I8</f>
        <v>9636341</v>
      </c>
      <c r="G27" s="213">
        <f t="shared" si="2"/>
        <v>1433081</v>
      </c>
      <c r="H27" s="60">
        <f>+I9</f>
        <v>-358270.25</v>
      </c>
      <c r="J27" s="10">
        <f t="shared" si="1"/>
        <v>1074810.75</v>
      </c>
      <c r="K27" s="215"/>
      <c r="L27" s="2"/>
      <c r="N27" s="18" t="s">
        <v>388</v>
      </c>
    </row>
    <row r="28" spans="2:14" x14ac:dyDescent="0.25">
      <c r="B28" s="30">
        <v>2020</v>
      </c>
      <c r="D28" s="263"/>
      <c r="E28" s="190">
        <f>+H7</f>
        <v>-4118950</v>
      </c>
      <c r="F28" s="190">
        <f>+H8</f>
        <v>9828510</v>
      </c>
      <c r="G28" s="213">
        <f t="shared" si="2"/>
        <v>5709560</v>
      </c>
      <c r="H28" s="190">
        <f>+H9</f>
        <v>1427390</v>
      </c>
      <c r="J28" s="10">
        <f t="shared" si="1"/>
        <v>7136950</v>
      </c>
      <c r="K28" s="215"/>
      <c r="L28" s="2"/>
      <c r="N28" s="18"/>
    </row>
    <row r="29" spans="2:14" x14ac:dyDescent="0.25">
      <c r="B29" s="30" t="s">
        <v>389</v>
      </c>
      <c r="C29" s="44"/>
      <c r="D29" s="52"/>
      <c r="E29" s="45">
        <f>SUM(E23:E28)</f>
        <v>-49023531</v>
      </c>
      <c r="F29" s="45">
        <f t="shared" ref="F29:G29" si="3">SUM(F23:F28)</f>
        <v>41516020.476599999</v>
      </c>
      <c r="G29" s="264">
        <f t="shared" si="3"/>
        <v>-7507510.5234000012</v>
      </c>
      <c r="H29" s="262">
        <f>SUM(H23:H28)</f>
        <v>4591726.6851480007</v>
      </c>
      <c r="J29" s="45">
        <f>SUM(J23:J28)</f>
        <v>-2915783.8382520005</v>
      </c>
      <c r="K29" s="216"/>
      <c r="L29" s="2"/>
      <c r="N29" s="18"/>
    </row>
    <row r="30" spans="2:14" x14ac:dyDescent="0.25">
      <c r="B30" s="30">
        <v>2020</v>
      </c>
      <c r="C30" s="44"/>
      <c r="D30" s="52"/>
      <c r="E30" s="18">
        <v>0</v>
      </c>
      <c r="F30" s="10">
        <f>-E26/3-E27/3-E28/3</f>
        <v>6049827.333333333</v>
      </c>
      <c r="G30" s="60">
        <f>+E30+F30</f>
        <v>6049827.333333333</v>
      </c>
      <c r="H30" s="10">
        <f>-G30*0.25</f>
        <v>-1512456.8333333333</v>
      </c>
      <c r="J30" s="10">
        <f>+G30+H30</f>
        <v>4537370.5</v>
      </c>
      <c r="N30" s="18"/>
    </row>
    <row r="31" spans="2:14" x14ac:dyDescent="0.25">
      <c r="B31" s="30">
        <v>2021</v>
      </c>
      <c r="C31" s="44"/>
      <c r="D31" s="52"/>
      <c r="E31" s="18">
        <v>0</v>
      </c>
      <c r="F31" s="60">
        <f>-E27/3-E28/3</f>
        <v>4107403.333333333</v>
      </c>
      <c r="G31" s="60">
        <f>+E31+F31</f>
        <v>4107403.333333333</v>
      </c>
      <c r="H31" s="10">
        <f>-G31*0.25</f>
        <v>-1026850.8333333333</v>
      </c>
      <c r="J31" s="10">
        <f>+G31+H31</f>
        <v>3080552.5</v>
      </c>
      <c r="N31" s="18"/>
    </row>
    <row r="32" spans="2:14" x14ac:dyDescent="0.25">
      <c r="B32" s="30">
        <v>2022</v>
      </c>
      <c r="C32" s="44"/>
      <c r="D32" s="52"/>
      <c r="E32" s="18">
        <v>0</v>
      </c>
      <c r="F32" s="60">
        <f>-E28/3</f>
        <v>1372983.3333333333</v>
      </c>
      <c r="G32" s="60">
        <f>+E32+F32</f>
        <v>1372983.3333333333</v>
      </c>
      <c r="H32" s="10">
        <f>-G32*0.25</f>
        <v>-343245.83333333331</v>
      </c>
      <c r="J32" s="10">
        <f>+G32+H32</f>
        <v>1029737.5</v>
      </c>
      <c r="L32" s="2"/>
      <c r="N32" s="18" t="s">
        <v>441</v>
      </c>
    </row>
    <row r="33" spans="2:14" x14ac:dyDescent="0.25">
      <c r="B33" s="65" t="s">
        <v>18</v>
      </c>
      <c r="C33" s="36"/>
      <c r="D33" s="58"/>
      <c r="E33" s="45">
        <f>SUM(E29:E32)</f>
        <v>-49023531</v>
      </c>
      <c r="F33" s="45">
        <f>SUM(F30:F32)</f>
        <v>11530214</v>
      </c>
      <c r="G33" s="45">
        <f>SUM(G29:G32)</f>
        <v>4022703.4765999978</v>
      </c>
      <c r="H33" s="45">
        <f>SUM(H29:H32)</f>
        <v>1709173.1851480012</v>
      </c>
      <c r="J33" s="45">
        <f>SUM(J29:J32)</f>
        <v>5731876.6617479995</v>
      </c>
      <c r="N33" s="27" t="s">
        <v>442</v>
      </c>
    </row>
  </sheetData>
  <mergeCells count="2">
    <mergeCell ref="C19:I19"/>
    <mergeCell ref="B22:D22"/>
  </mergeCells>
  <pageMargins left="0.7" right="0.7" top="0.75" bottom="0.75" header="0.51180555555555496" footer="0.51180555555555496"/>
  <pageSetup firstPageNumber="0"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9"/>
  <sheetViews>
    <sheetView zoomScaleNormal="100" workbookViewId="0">
      <selection activeCell="F21" sqref="F21"/>
    </sheetView>
  </sheetViews>
  <sheetFormatPr defaultColWidth="11.5703125" defaultRowHeight="15" x14ac:dyDescent="0.25"/>
  <cols>
    <col min="1" max="1" width="2.7109375" customWidth="1"/>
    <col min="7" max="7" width="11.5703125" customWidth="1"/>
    <col min="8" max="9" width="12.28515625" hidden="1" customWidth="1"/>
    <col min="10" max="10" width="11.28515625" hidden="1" customWidth="1"/>
    <col min="11" max="11" width="12.7109375" hidden="1" customWidth="1"/>
    <col min="12" max="12" width="13.7109375" hidden="1" customWidth="1"/>
  </cols>
  <sheetData>
    <row r="1" spans="1:12" x14ac:dyDescent="0.25">
      <c r="A1" s="3" t="s">
        <v>357</v>
      </c>
    </row>
    <row r="2" spans="1:12" x14ac:dyDescent="0.25">
      <c r="A2" s="4" t="s">
        <v>390</v>
      </c>
    </row>
    <row r="3" spans="1:12" x14ac:dyDescent="0.25">
      <c r="A3" s="4" t="s">
        <v>307</v>
      </c>
    </row>
    <row r="5" spans="1:12" x14ac:dyDescent="0.25">
      <c r="A5" s="4" t="s">
        <v>391</v>
      </c>
      <c r="F5" s="217">
        <v>2020</v>
      </c>
      <c r="G5" s="217">
        <v>2019</v>
      </c>
      <c r="H5" s="217">
        <v>2018</v>
      </c>
      <c r="I5" s="217">
        <v>2017</v>
      </c>
      <c r="J5" s="217">
        <v>2016</v>
      </c>
      <c r="K5" s="217">
        <v>2015</v>
      </c>
      <c r="L5" s="217">
        <v>2014</v>
      </c>
    </row>
    <row r="7" spans="1:12" x14ac:dyDescent="0.25">
      <c r="B7" t="s">
        <v>392</v>
      </c>
    </row>
    <row r="9" spans="1:12" x14ac:dyDescent="0.25">
      <c r="B9" t="s">
        <v>393</v>
      </c>
      <c r="F9" s="2">
        <f>+ER!H32</f>
        <v>58247732</v>
      </c>
      <c r="G9" s="2">
        <v>39916747</v>
      </c>
      <c r="H9" s="2">
        <f>+ER!N32</f>
        <v>39916747</v>
      </c>
      <c r="I9" s="2">
        <f>+ER!T32</f>
        <v>13532502</v>
      </c>
      <c r="J9" s="2">
        <v>2715230.4765999899</v>
      </c>
      <c r="K9" s="2">
        <v>9506438</v>
      </c>
      <c r="L9" s="2">
        <v>26251046</v>
      </c>
    </row>
    <row r="10" spans="1:12" x14ac:dyDescent="0.25">
      <c r="B10" s="8" t="s">
        <v>394</v>
      </c>
      <c r="C10" s="8"/>
      <c r="D10" s="8"/>
      <c r="E10" s="8"/>
      <c r="F10" s="2">
        <f>-ER!H31</f>
        <v>2563374</v>
      </c>
      <c r="G10" s="2">
        <v>2981098</v>
      </c>
      <c r="H10" s="2">
        <v>3489748</v>
      </c>
      <c r="I10" s="2">
        <v>5632050</v>
      </c>
      <c r="J10" s="2">
        <v>5000570</v>
      </c>
      <c r="K10" s="2">
        <v>4403000</v>
      </c>
      <c r="L10" s="2">
        <v>4144396</v>
      </c>
    </row>
    <row r="11" spans="1:12" x14ac:dyDescent="0.25">
      <c r="B11" s="8" t="s">
        <v>395</v>
      </c>
      <c r="F11" s="218">
        <f>9966219+2380934+39210+17432605</f>
        <v>29818968</v>
      </c>
      <c r="G11" s="218">
        <v>33282575</v>
      </c>
      <c r="H11" s="218">
        <f>19410412+1818050</f>
        <v>21228462</v>
      </c>
      <c r="I11" s="218">
        <f>+EFE!AG12+EFE!AG16</f>
        <v>0</v>
      </c>
      <c r="J11" s="218">
        <v>20363773.523400001</v>
      </c>
      <c r="K11" s="218">
        <v>19601882</v>
      </c>
      <c r="L11" s="218">
        <v>15975450</v>
      </c>
    </row>
    <row r="12" spans="1:12" x14ac:dyDescent="0.25">
      <c r="B12" t="s">
        <v>396</v>
      </c>
      <c r="F12" s="2">
        <f>SUM(F9:F11)</f>
        <v>90630074</v>
      </c>
      <c r="G12" s="2">
        <f>SUM(G9:G11)</f>
        <v>76180420</v>
      </c>
      <c r="H12" s="2">
        <f>SUM(H9:H11)</f>
        <v>64634957</v>
      </c>
      <c r="I12" s="2">
        <f>SUM(I9:I11)</f>
        <v>19164552</v>
      </c>
      <c r="J12" s="2">
        <f>SUM(J9:J11)</f>
        <v>28079573.999999993</v>
      </c>
      <c r="K12" s="2">
        <v>33511320</v>
      </c>
      <c r="L12" s="2">
        <f>SUM(L9:L11)</f>
        <v>46370892</v>
      </c>
    </row>
    <row r="13" spans="1:12" x14ac:dyDescent="0.25">
      <c r="I13" s="2"/>
      <c r="J13" s="2"/>
      <c r="K13" s="2"/>
      <c r="L13" s="2"/>
    </row>
    <row r="14" spans="1:12" x14ac:dyDescent="0.25">
      <c r="B14" t="s">
        <v>397</v>
      </c>
      <c r="F14" s="2">
        <f>-ER!H31</f>
        <v>2563374</v>
      </c>
      <c r="G14" s="2">
        <v>2981098</v>
      </c>
      <c r="H14" s="2">
        <f>-ER!N31</f>
        <v>2981098</v>
      </c>
      <c r="I14" s="2">
        <f>-ER!T31</f>
        <v>5632050</v>
      </c>
      <c r="J14" s="2">
        <v>4974980</v>
      </c>
      <c r="K14" s="2">
        <v>4323391</v>
      </c>
      <c r="L14" s="2">
        <v>4407118</v>
      </c>
    </row>
    <row r="15" spans="1:12" x14ac:dyDescent="0.25">
      <c r="K15" s="2"/>
      <c r="L15" s="2"/>
    </row>
    <row r="16" spans="1:12" x14ac:dyDescent="0.25">
      <c r="B16" t="s">
        <v>391</v>
      </c>
      <c r="F16" s="219">
        <f>+F12/F14</f>
        <v>35.355774849865838</v>
      </c>
      <c r="G16" s="219">
        <f>+G12/G14</f>
        <v>25.554483616439313</v>
      </c>
      <c r="H16" s="219">
        <f>+H12/H14</f>
        <v>21.681594164297852</v>
      </c>
      <c r="I16" s="220">
        <f>+I12/I14</f>
        <v>3.4027666657788904</v>
      </c>
      <c r="J16" s="220">
        <f>+J12/J14</f>
        <v>5.6441581674700183</v>
      </c>
      <c r="K16" s="220">
        <v>7.7511656937806501</v>
      </c>
      <c r="L16" s="220">
        <f>+L12/L14</f>
        <v>10.521817659522618</v>
      </c>
    </row>
    <row r="17" spans="1:12" x14ac:dyDescent="0.25">
      <c r="K17" s="2"/>
      <c r="L17" s="2"/>
    </row>
    <row r="18" spans="1:12" x14ac:dyDescent="0.25">
      <c r="A18" s="4" t="s">
        <v>398</v>
      </c>
      <c r="K18" s="2"/>
      <c r="L18" s="2"/>
    </row>
    <row r="19" spans="1:12" x14ac:dyDescent="0.25">
      <c r="K19" s="2"/>
      <c r="L19" s="2"/>
    </row>
    <row r="20" spans="1:12" x14ac:dyDescent="0.25">
      <c r="B20" t="s">
        <v>399</v>
      </c>
      <c r="F20" s="2">
        <f>+ER!H29</f>
        <v>60811106</v>
      </c>
      <c r="G20" s="2">
        <v>42897845</v>
      </c>
      <c r="H20" s="2">
        <f>+ER!N29</f>
        <v>42897845</v>
      </c>
      <c r="I20" s="2">
        <f>+ER!T29</f>
        <v>19164552</v>
      </c>
      <c r="J20" s="2">
        <v>7690210.4765999904</v>
      </c>
      <c r="K20" s="2">
        <v>13829829</v>
      </c>
      <c r="L20" s="2">
        <f>+ER!T29</f>
        <v>19164552</v>
      </c>
    </row>
    <row r="21" spans="1:12" x14ac:dyDescent="0.25">
      <c r="K21" s="2"/>
      <c r="L21" s="2"/>
    </row>
    <row r="22" spans="1:12" x14ac:dyDescent="0.25">
      <c r="B22" t="s">
        <v>400</v>
      </c>
      <c r="K22" s="2"/>
      <c r="L22" s="2"/>
    </row>
    <row r="23" spans="1:12" x14ac:dyDescent="0.25">
      <c r="B23" t="s">
        <v>401</v>
      </c>
      <c r="F23" s="2">
        <f>+'BG '!I40+'BG '!I41+'BG '!I39-54804</f>
        <v>11301347</v>
      </c>
      <c r="G23" s="2">
        <v>7538300</v>
      </c>
      <c r="H23" s="2">
        <f>+'BG '!O40+'BG '!O41</f>
        <v>7593103</v>
      </c>
      <c r="I23" s="2">
        <f>+'BG '!U40</f>
        <v>27144668</v>
      </c>
      <c r="J23" s="2">
        <v>35009000</v>
      </c>
      <c r="K23" s="2">
        <v>27571049</v>
      </c>
      <c r="L23" s="2">
        <v>24027809</v>
      </c>
    </row>
    <row r="24" spans="1:12" x14ac:dyDescent="0.25">
      <c r="B24" s="8" t="s">
        <v>402</v>
      </c>
      <c r="C24" s="8"/>
      <c r="F24" s="218">
        <f>17173+37631</f>
        <v>54804</v>
      </c>
      <c r="G24" s="218">
        <v>54803</v>
      </c>
      <c r="H24" s="218">
        <v>241620</v>
      </c>
      <c r="I24" s="218">
        <v>474206</v>
      </c>
      <c r="J24" s="218">
        <v>468655.790862364</v>
      </c>
      <c r="K24" s="218">
        <v>369086</v>
      </c>
      <c r="L24" s="218">
        <v>259746</v>
      </c>
    </row>
    <row r="25" spans="1:12" x14ac:dyDescent="0.25">
      <c r="B25" t="s">
        <v>403</v>
      </c>
      <c r="F25" s="2">
        <f>+F23+F24</f>
        <v>11356151</v>
      </c>
      <c r="G25" s="2">
        <f>+G23+G24</f>
        <v>7593103</v>
      </c>
      <c r="H25" s="2">
        <f>+H23+H24</f>
        <v>7834723</v>
      </c>
      <c r="I25" s="2">
        <f>+I23+I24</f>
        <v>27618874</v>
      </c>
      <c r="J25" s="2">
        <f>+J23+J24</f>
        <v>35477655.790862367</v>
      </c>
      <c r="K25" s="2">
        <v>27940135</v>
      </c>
      <c r="L25" s="2">
        <f>+L23+L24</f>
        <v>24287555</v>
      </c>
    </row>
    <row r="26" spans="1:12" x14ac:dyDescent="0.25">
      <c r="K26" s="2"/>
      <c r="L26" s="2"/>
    </row>
    <row r="27" spans="1:12" x14ac:dyDescent="0.25">
      <c r="B27" t="s">
        <v>404</v>
      </c>
      <c r="F27" s="220">
        <f>+F20/F25</f>
        <v>5.3549046679636438</v>
      </c>
      <c r="G27" s="220">
        <f>+G20/G25</f>
        <v>5.6495802835810336</v>
      </c>
      <c r="H27" s="220">
        <f>+H20/H25</f>
        <v>5.475349288034816</v>
      </c>
      <c r="I27" s="220">
        <f>+I20/I25</f>
        <v>0.69389331368107188</v>
      </c>
      <c r="J27" s="220">
        <f>+J20/J25</f>
        <v>0.21676208039034764</v>
      </c>
      <c r="K27" s="220">
        <v>0.49498075080882797</v>
      </c>
      <c r="L27" s="220">
        <f>+L20/L25</f>
        <v>0.78906880499086873</v>
      </c>
    </row>
    <row r="28" spans="1:12" x14ac:dyDescent="0.25">
      <c r="K28" s="2"/>
      <c r="L28" s="2"/>
    </row>
    <row r="29" spans="1:12" x14ac:dyDescent="0.25">
      <c r="A29" s="4" t="s">
        <v>405</v>
      </c>
      <c r="K29" s="2"/>
      <c r="L29" s="2"/>
    </row>
    <row r="30" spans="1:12" x14ac:dyDescent="0.25">
      <c r="K30" s="2"/>
      <c r="L30" s="2"/>
    </row>
    <row r="31" spans="1:12" x14ac:dyDescent="0.25">
      <c r="B31" t="s">
        <v>406</v>
      </c>
      <c r="F31" s="32">
        <f>+F23</f>
        <v>11301347</v>
      </c>
      <c r="G31" s="32">
        <f>+G23</f>
        <v>7538300</v>
      </c>
      <c r="H31" s="32">
        <f>+H23</f>
        <v>7593103</v>
      </c>
      <c r="I31" s="32">
        <f>+I23</f>
        <v>27144668</v>
      </c>
      <c r="J31" s="32">
        <v>35009000</v>
      </c>
      <c r="K31" s="2">
        <v>27571049</v>
      </c>
      <c r="L31" s="2">
        <v>24027809</v>
      </c>
    </row>
    <row r="32" spans="1:12" x14ac:dyDescent="0.25">
      <c r="B32" t="s">
        <v>396</v>
      </c>
      <c r="F32" s="32">
        <f>+F12</f>
        <v>90630074</v>
      </c>
      <c r="G32" s="32">
        <f>+G12</f>
        <v>76180420</v>
      </c>
      <c r="H32" s="32">
        <f>+H12</f>
        <v>64634957</v>
      </c>
      <c r="I32" s="32">
        <f>+I12</f>
        <v>19164552</v>
      </c>
      <c r="J32" s="32">
        <v>28079574</v>
      </c>
      <c r="K32" s="2">
        <v>33511320</v>
      </c>
      <c r="L32" s="2">
        <v>46370892</v>
      </c>
    </row>
    <row r="33" spans="2:12" x14ac:dyDescent="0.25">
      <c r="B33" t="s">
        <v>407</v>
      </c>
      <c r="F33" s="220">
        <f>+F31/F32</f>
        <v>0.12469753693459414</v>
      </c>
      <c r="G33" s="220">
        <f>+G31/G32</f>
        <v>9.8953248091832521E-2</v>
      </c>
      <c r="H33" s="220">
        <f>+H31/H32</f>
        <v>0.11747672393438739</v>
      </c>
      <c r="I33" s="220">
        <f>+I31/I32</f>
        <v>1.4163998198340353</v>
      </c>
      <c r="J33" s="220">
        <f>+J31/J32</f>
        <v>1.2467781740563444</v>
      </c>
      <c r="K33" s="220">
        <v>0.82273837616662104</v>
      </c>
      <c r="L33" s="220">
        <f>+L31/L32</f>
        <v>0.51816577088920346</v>
      </c>
    </row>
    <row r="34" spans="2:12" x14ac:dyDescent="0.25">
      <c r="K34" s="2"/>
      <c r="L34" s="2"/>
    </row>
    <row r="35" spans="2:12" x14ac:dyDescent="0.25">
      <c r="K35" s="2"/>
      <c r="L35" s="2"/>
    </row>
    <row r="37" spans="2:12" x14ac:dyDescent="0.25">
      <c r="G37" s="44"/>
    </row>
    <row r="38" spans="2:12" x14ac:dyDescent="0.25">
      <c r="C38" s="7" t="s">
        <v>78</v>
      </c>
      <c r="D38" s="50"/>
      <c r="E38" s="50"/>
      <c r="G38" s="44"/>
      <c r="H38" s="50"/>
      <c r="I38" s="50"/>
      <c r="J38" s="44"/>
    </row>
    <row r="39" spans="2:12" x14ac:dyDescent="0.25">
      <c r="C39" s="2" t="s">
        <v>79</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114</TotalTime>
  <Application>Microsoft Excel</Application>
  <DocSecurity>0</DocSecurity>
  <ScaleCrop>false</ScaleCrop>
  <HeadingPairs>
    <vt:vector size="4" baseType="variant">
      <vt:variant>
        <vt:lpstr>Worksheets</vt:lpstr>
      </vt:variant>
      <vt:variant>
        <vt:i4>11</vt:i4>
      </vt:variant>
      <vt:variant>
        <vt:lpstr>Named Ranges</vt:lpstr>
      </vt:variant>
      <vt:variant>
        <vt:i4>5</vt:i4>
      </vt:variant>
    </vt:vector>
  </HeadingPairs>
  <TitlesOfParts>
    <vt:vector size="16" baseType="lpstr">
      <vt:lpstr>Indice</vt:lpstr>
      <vt:lpstr>BG </vt:lpstr>
      <vt:lpstr>ER</vt:lpstr>
      <vt:lpstr>EFE</vt:lpstr>
      <vt:lpstr>Hoja de trabajo</vt:lpstr>
      <vt:lpstr>PAT</vt:lpstr>
      <vt:lpstr>AD</vt:lpstr>
      <vt:lpstr>Impuesto diferido</vt:lpstr>
      <vt:lpstr>Ratios</vt:lpstr>
      <vt:lpstr>PP&amp;E</vt:lpstr>
      <vt:lpstr>Impto diferido</vt:lpstr>
      <vt:lpstr>AD!Print_Area</vt:lpstr>
      <vt:lpstr>'BG '!Print_Area</vt:lpstr>
      <vt:lpstr>EFE!Print_Area</vt:lpstr>
      <vt:lpstr>ER!Print_Area</vt:lpstr>
      <vt:lpstr>PAT!Print_Area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CALMEIDA</dc:creator>
  <dc:description/>
  <cp:lastModifiedBy>Carlos Almeida</cp:lastModifiedBy>
  <cp:revision>10</cp:revision>
  <cp:lastPrinted>2018-05-30T22:27:06Z</cp:lastPrinted>
  <dcterms:created xsi:type="dcterms:W3CDTF">2016-11-10T22:26:48Z</dcterms:created>
  <dcterms:modified xsi:type="dcterms:W3CDTF">2021-05-20T18:55:35Z</dcterms:modified>
  <dc:language>es-EC</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