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8_{BE296DA2-593B-4AA3-9317-E3EEE28249A6}" xr6:coauthVersionLast="46" xr6:coauthVersionMax="46" xr10:uidLastSave="{00000000-0000-0000-0000-000000000000}"/>
  <bookViews>
    <workbookView xWindow="-120" yWindow="-120" windowWidth="20730" windowHeight="11160" xr2:uid="{E02F227E-481A-44F5-B990-66B855946283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2" i="1" l="1"/>
  <c r="E291" i="1"/>
  <c r="E292" i="1" s="1"/>
  <c r="E286" i="1"/>
  <c r="D286" i="1"/>
  <c r="E285" i="1"/>
  <c r="E284" i="1"/>
  <c r="E277" i="1"/>
  <c r="F277" i="1" s="1"/>
  <c r="D277" i="1"/>
  <c r="E276" i="1"/>
  <c r="E271" i="1"/>
  <c r="D271" i="1"/>
  <c r="E270" i="1"/>
  <c r="D263" i="1"/>
  <c r="E262" i="1"/>
  <c r="D262" i="1"/>
  <c r="E261" i="1"/>
  <c r="D261" i="1"/>
  <c r="E255" i="1"/>
  <c r="D252" i="1"/>
  <c r="D247" i="1"/>
  <c r="D239" i="1"/>
  <c r="E238" i="1"/>
  <c r="E239" i="1" s="1"/>
  <c r="F239" i="1" s="1"/>
  <c r="D233" i="1"/>
  <c r="E232" i="1"/>
  <c r="F232" i="1" s="1"/>
  <c r="E227" i="1"/>
  <c r="D227" i="1"/>
  <c r="E226" i="1"/>
  <c r="G226" i="1" s="1"/>
  <c r="D215" i="1"/>
  <c r="D217" i="1" s="1"/>
  <c r="D211" i="1"/>
  <c r="D209" i="1"/>
  <c r="E210" i="1" s="1"/>
  <c r="E205" i="1"/>
  <c r="E203" i="1"/>
  <c r="D198" i="1"/>
  <c r="D197" i="1"/>
  <c r="D205" i="1" s="1"/>
  <c r="D190" i="1"/>
  <c r="E189" i="1"/>
  <c r="E190" i="1" s="1"/>
  <c r="D188" i="1"/>
  <c r="D184" i="1"/>
  <c r="E183" i="1"/>
  <c r="E184" i="1" s="1"/>
  <c r="E178" i="1"/>
  <c r="F177" i="1"/>
  <c r="D175" i="1"/>
  <c r="D178" i="1" s="1"/>
  <c r="D171" i="1"/>
  <c r="E170" i="1"/>
  <c r="E171" i="1" s="1"/>
  <c r="D165" i="1"/>
  <c r="E164" i="1"/>
  <c r="E165" i="1" s="1"/>
  <c r="E157" i="1"/>
  <c r="D153" i="1"/>
  <c r="D157" i="1" s="1"/>
  <c r="F152" i="1"/>
  <c r="D147" i="1"/>
  <c r="E144" i="1"/>
  <c r="D143" i="1"/>
  <c r="D141" i="1"/>
  <c r="D250" i="1" s="1"/>
  <c r="D140" i="1"/>
  <c r="D139" i="1"/>
  <c r="D248" i="1" s="1"/>
  <c r="D138" i="1"/>
  <c r="D137" i="1"/>
  <c r="E130" i="1"/>
  <c r="D130" i="1"/>
  <c r="E129" i="1"/>
  <c r="D125" i="1"/>
  <c r="E124" i="1"/>
  <c r="E125" i="1" s="1"/>
  <c r="E120" i="1"/>
  <c r="D120" i="1"/>
  <c r="E114" i="1"/>
  <c r="D114" i="1"/>
  <c r="F113" i="1"/>
  <c r="E105" i="1"/>
  <c r="D105" i="1"/>
  <c r="F102" i="1"/>
  <c r="E91" i="1"/>
  <c r="D86" i="1"/>
  <c r="D91" i="1" s="1"/>
  <c r="D79" i="1"/>
  <c r="E78" i="1"/>
  <c r="E72" i="1"/>
  <c r="E74" i="1" s="1"/>
  <c r="D70" i="1"/>
  <c r="D74" i="1" s="1"/>
  <c r="E62" i="1"/>
  <c r="E65" i="1" s="1"/>
  <c r="D59" i="1"/>
  <c r="D65" i="1" s="1"/>
  <c r="E53" i="1"/>
  <c r="D53" i="1"/>
  <c r="E43" i="1"/>
  <c r="D43" i="1"/>
  <c r="E37" i="1"/>
  <c r="D35" i="1"/>
  <c r="D37" i="1" s="1"/>
  <c r="F37" i="1" s="1"/>
  <c r="D26" i="1"/>
  <c r="E27" i="1" s="1"/>
  <c r="D25" i="1"/>
  <c r="E20" i="1"/>
  <c r="D18" i="1"/>
  <c r="D142" i="1" s="1"/>
  <c r="D251" i="1" s="1"/>
  <c r="E13" i="1"/>
  <c r="D13" i="1"/>
  <c r="J8" i="1"/>
  <c r="E146" i="1" l="1"/>
  <c r="F74" i="1"/>
  <c r="F271" i="1"/>
  <c r="E79" i="1"/>
  <c r="F79" i="1" s="1"/>
  <c r="F114" i="1"/>
  <c r="E264" i="1"/>
  <c r="D265" i="1"/>
  <c r="F292" i="1"/>
  <c r="F13" i="1"/>
  <c r="D29" i="1"/>
  <c r="F29" i="1" s="1"/>
  <c r="F91" i="1"/>
  <c r="F105" i="1"/>
  <c r="F205" i="1"/>
  <c r="E233" i="1"/>
  <c r="F233" i="1" s="1"/>
  <c r="F286" i="1"/>
  <c r="F27" i="1"/>
  <c r="E29" i="1"/>
  <c r="E145" i="1"/>
  <c r="D148" i="1"/>
  <c r="D241" i="1" s="1"/>
  <c r="F65" i="1"/>
  <c r="F210" i="1"/>
  <c r="E211" i="1"/>
  <c r="F211" i="1" s="1"/>
  <c r="F19" i="1"/>
  <c r="E216" i="1"/>
  <c r="E217" i="1" s="1"/>
  <c r="F217" i="1" s="1"/>
  <c r="D246" i="1"/>
  <c r="D257" i="1" s="1"/>
  <c r="E263" i="1"/>
  <c r="D20" i="1"/>
  <c r="F20" i="1" s="1"/>
  <c r="F196" i="1"/>
  <c r="E133" i="1" l="1"/>
  <c r="E265" i="1"/>
  <c r="F265" i="1" s="1"/>
  <c r="D294" i="1"/>
  <c r="E254" i="1"/>
  <c r="E257" i="1" s="1"/>
  <c r="F141" i="1"/>
  <c r="F241" i="1" s="1"/>
  <c r="D133" i="1"/>
  <c r="E148" i="1"/>
  <c r="E241" i="1" s="1"/>
  <c r="E294" i="1" l="1"/>
  <c r="F257" i="1"/>
  <c r="F294" i="1"/>
</calcChain>
</file>

<file path=xl/sharedStrings.xml><?xml version="1.0" encoding="utf-8"?>
<sst xmlns="http://schemas.openxmlformats.org/spreadsheetml/2006/main" count="379" uniqueCount="153">
  <si>
    <t>Compañía</t>
  </si>
  <si>
    <t>Detalle</t>
  </si>
  <si>
    <t>Debe</t>
  </si>
  <si>
    <t>Haber</t>
  </si>
  <si>
    <t>---1---</t>
  </si>
  <si>
    <t>Telsoterra</t>
  </si>
  <si>
    <t>Cable Andino S.A. Corpandino</t>
  </si>
  <si>
    <t>Capital Social</t>
  </si>
  <si>
    <t>Transtelco</t>
  </si>
  <si>
    <t>Aportes para futuras capitalizaciones</t>
  </si>
  <si>
    <t>Netspeed</t>
  </si>
  <si>
    <t>Cuentas por pagar relacionadas CP</t>
  </si>
  <si>
    <t>Econocompu</t>
  </si>
  <si>
    <t>Cuentas por pagar relacionadas LP</t>
  </si>
  <si>
    <t>Geektech</t>
  </si>
  <si>
    <t>Otras cuentas por pagar CP</t>
  </si>
  <si>
    <t>Telconet</t>
  </si>
  <si>
    <t xml:space="preserve">     Cuentas por cobrar comerciales</t>
  </si>
  <si>
    <t xml:space="preserve">     Inversiones en subsidiarias</t>
  </si>
  <si>
    <t xml:space="preserve">     Cuentas por cobrar relacionadas CP</t>
  </si>
  <si>
    <t>R/ Para eliminar inversión y saldos entre Telconet y Corpandino</t>
  </si>
  <si>
    <t>---2---</t>
  </si>
  <si>
    <t>Inmobiliaria Leonortres S.A.</t>
  </si>
  <si>
    <t>Reserva de Capital</t>
  </si>
  <si>
    <t>Propiedad y equipos</t>
  </si>
  <si>
    <t>R/ Para eliminar inversión entre Telconet y Leonortres</t>
  </si>
  <si>
    <t>---3---</t>
  </si>
  <si>
    <t>Reserva Legal</t>
  </si>
  <si>
    <t>Resultados acumulados</t>
  </si>
  <si>
    <t>Inversiones en subsidiarias</t>
  </si>
  <si>
    <t>Consolidado</t>
  </si>
  <si>
    <t xml:space="preserve">     Resultados acumulados</t>
  </si>
  <si>
    <t>R/ Para eliminar inversión entre Telconet y Transtelco</t>
  </si>
  <si>
    <t>---4---</t>
  </si>
  <si>
    <t>Cerinsa</t>
  </si>
  <si>
    <t>R/ Para eliminar inversión entre Telconet y Cerinsa</t>
  </si>
  <si>
    <t>---5---</t>
  </si>
  <si>
    <t>Cable Andino Inc.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</si>
  <si>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</si>
  <si>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</si>
  <si>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</si>
  <si>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</si>
  <si>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</si>
  <si>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</si>
  <si>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</si>
  <si>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</si>
  <si>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</si>
  <si>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Smartcities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</si>
  <si>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</si>
  <si>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</si>
  <si>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</si>
  <si>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</si>
  <si>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</si>
  <si>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Linkotel</t>
  </si>
  <si>
    <t>Superávit por revaluación PPE</t>
  </si>
  <si>
    <t>Otras cuentas por pagar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</si>
  <si>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</si>
  <si>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</si>
  <si>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</si>
  <si>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</si>
  <si>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</si>
  <si>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Telconet Panamá</t>
  </si>
  <si>
    <t>Cuentas por pagar comerciales</t>
  </si>
  <si>
    <t xml:space="preserve">     Cuentas por cobrar</t>
  </si>
  <si>
    <t>R/ Para eliminar inversión y saldos entre Telconet y Telconet Panamá</t>
  </si>
  <si>
    <t>---13---</t>
  </si>
  <si>
    <t>R/ Para eliminar saldos entre Cable Andino Inc y Corpandino</t>
  </si>
  <si>
    <t>---14---</t>
  </si>
  <si>
    <t>Activo intangible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</si>
  <si>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</si>
  <si>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</si>
  <si>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</si>
  <si>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</si>
  <si>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</si>
  <si>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DEBE</t>
  </si>
  <si>
    <t>HABER</t>
  </si>
  <si>
    <t>Capital social</t>
  </si>
  <si>
    <t>Reserva legal</t>
  </si>
  <si>
    <t>Reserva de capital</t>
  </si>
  <si>
    <t>Aportes para futura capitalizacion</t>
  </si>
  <si>
    <t>Superavit por revaluacion PPE</t>
  </si>
  <si>
    <t>Propiedades y equipos</t>
  </si>
  <si>
    <t>Activos intangibles</t>
  </si>
  <si>
    <t>á Reserva para aplicación de NIIF</t>
  </si>
  <si>
    <t>á Resultados acumulados</t>
  </si>
  <si>
    <t>á Inversiones en subsidiarias</t>
  </si>
  <si>
    <t>Cuentas por pagar, relacionadas L/P (Linkotel)</t>
  </si>
  <si>
    <t>SUMAN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</si>
  <si>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</si>
  <si>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</si>
  <si>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</si>
  <si>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</si>
  <si>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</si>
  <si>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</si>
  <si>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</si>
  <si>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</si>
  <si>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</si>
  <si>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</si>
  <si>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</si>
  <si>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</si>
  <si>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</si>
  <si>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</si>
  <si>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</si>
  <si>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</si>
  <si>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</si>
  <si>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</si>
  <si>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</si>
  <si>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</si>
  <si>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</si>
  <si>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</si>
  <si>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</si>
  <si>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ELIMINACION DE SALDOS INTERCOMPANY (VER PESTANIA SALDOS INTERCO. 2019)</t>
  </si>
  <si>
    <t>Cuentas por pagar relacionadas C/P</t>
  </si>
  <si>
    <t>Cuentas por pagar relacionadas L/P</t>
  </si>
  <si>
    <t>Otras cuentas por cobrar CP</t>
  </si>
  <si>
    <t>á Cuentas por cobrar relacionada C/P</t>
  </si>
  <si>
    <t>á Otras cuentas por pagar C/P</t>
  </si>
  <si>
    <t>á Activos intangibles</t>
  </si>
  <si>
    <t>á Cuentas por pagar relacionadas L/P (Linkotel)</t>
  </si>
  <si>
    <t>-9-</t>
  </si>
  <si>
    <t>AJUSTE POR VPP DE LATAMFIBERHOME (RESULTADO DEL 2019)</t>
  </si>
  <si>
    <t>Inversiones en asociadas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</si>
  <si>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</si>
  <si>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</si>
  <si>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</si>
  <si>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</si>
  <si>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Cuentas por pagar a relacionadas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</si>
  <si>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</si>
  <si>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</si>
  <si>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</si>
  <si>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</si>
  <si>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</si>
  <si>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</si>
  <si>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</si>
  <si>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</si>
  <si>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</si>
  <si>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</si>
  <si>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</si>
  <si>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RECLASIFICACION CUENTA POR COBRAR A C.B.P. EN CORPOANDINO Y QUE NO ES RELACIONADA</t>
  </si>
  <si>
    <t>a Cuentas por cobrar relacionadas CP</t>
  </si>
  <si>
    <t>AJUSTES DE CONSOLIDACION DEL 2020</t>
  </si>
  <si>
    <t>Reserva para aplicación de NIIF</t>
  </si>
  <si>
    <t>á Resultados acumulados (inicio del ejercicio)</t>
  </si>
  <si>
    <t>Resultados acumulados (inicio del ejercicio)</t>
  </si>
  <si>
    <t>á Participacion no controladora</t>
  </si>
  <si>
    <t>DIFERENCIA EN CUENTAS INTERCOMPANY AL INICIO DEL EJERCICIO</t>
  </si>
  <si>
    <t>á Otras cuentas por pagar, corto plazo</t>
  </si>
  <si>
    <t>REVERSION DEL AJUSTE DE CABLE SUBMARINO EN CORPANDINO</t>
  </si>
  <si>
    <t>á Otros activos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</si>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</sst>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(* #,##0_);_(* \(#,##0\);_(* \-??_);_(@_)"/>
    <numFmt numFmtId="166" formatCode="#,##0;[Red]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7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1" applyNumberFormat="1" applyFont="1" applyBorder="1" applyAlignment="1" applyProtection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1" applyNumberFormat="1" applyFont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165" fontId="2" fillId="2" borderId="0" xfId="1" applyNumberFormat="1" applyFont="1" applyFill="1" applyBorder="1" applyAlignment="1" applyProtection="1"/>
    <xf numFmtId="165" fontId="2" fillId="0" borderId="1" xfId="1" applyNumberFormat="1" applyFont="1" applyBorder="1" applyAlignment="1" applyProtection="1"/>
    <xf numFmtId="165" fontId="7" fillId="2" borderId="0" xfId="1" applyNumberFormat="1" applyFont="1" applyFill="1" applyBorder="1" applyAlignment="1" applyProtection="1">
      <alignment horizontal="right" vertical="center"/>
    </xf>
    <xf numFmtId="165" fontId="2" fillId="2" borderId="1" xfId="1" applyNumberFormat="1" applyFont="1" applyFill="1" applyBorder="1" applyAlignment="1" applyProtection="1"/>
    <xf numFmtId="165" fontId="2" fillId="0" borderId="0" xfId="0" applyNumberFormat="1" applyFont="1"/>
    <xf numFmtId="166" fontId="2" fillId="0" borderId="0" xfId="0" applyNumberFormat="1" applyFont="1"/>
    <xf numFmtId="0" fontId="8" fillId="0" borderId="0" xfId="0" applyFont="1" applyAlignment="1">
      <alignment horizontal="center"/>
    </xf>
    <xf numFmtId="0" fontId="2" fillId="0" borderId="2" xfId="0" applyFont="1" applyBorder="1"/>
    <xf numFmtId="165" fontId="2" fillId="0" borderId="3" xfId="1" applyNumberFormat="1" applyFont="1" applyBorder="1" applyAlignment="1" applyProtection="1">
      <alignment horizontal="center"/>
    </xf>
    <xf numFmtId="0" fontId="2" fillId="3" borderId="4" xfId="0" applyFont="1" applyFill="1" applyBorder="1"/>
    <xf numFmtId="165" fontId="2" fillId="3" borderId="5" xfId="1" applyNumberFormat="1" applyFont="1" applyFill="1" applyBorder="1" applyAlignment="1" applyProtection="1"/>
    <xf numFmtId="165" fontId="2" fillId="0" borderId="5" xfId="1" applyNumberFormat="1" applyFont="1" applyBorder="1" applyAlignment="1" applyProtection="1"/>
    <xf numFmtId="0" fontId="2" fillId="0" borderId="4" xfId="0" applyFont="1" applyBorder="1"/>
    <xf numFmtId="0" fontId="2" fillId="0" borderId="3" xfId="0" applyFont="1" applyBorder="1"/>
    <xf numFmtId="165" fontId="2" fillId="0" borderId="3" xfId="1" applyNumberFormat="1" applyFont="1" applyBorder="1" applyAlignment="1" applyProtection="1"/>
    <xf numFmtId="0" fontId="2" fillId="0" borderId="2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 applyAlignment="1">
      <alignment wrapText="1"/>
    </xf>
    <xf numFmtId="165" fontId="2" fillId="0" borderId="8" xfId="1" applyNumberFormat="1" applyFont="1" applyBorder="1" applyAlignment="1" applyProtection="1">
      <alignment horizontal="center"/>
    </xf>
    <xf numFmtId="0" fontId="2" fillId="0" borderId="5" xfId="0" applyFont="1" applyBorder="1"/>
    <xf numFmtId="165" fontId="2" fillId="0" borderId="7" xfId="1" applyNumberFormat="1" applyFont="1" applyBorder="1" applyAlignment="1" applyProtection="1"/>
    <xf numFmtId="0" fontId="2" fillId="3" borderId="5" xfId="0" applyFont="1" applyFill="1" applyBorder="1"/>
    <xf numFmtId="0" fontId="2" fillId="0" borderId="9" xfId="0" applyFont="1" applyBorder="1"/>
    <xf numFmtId="165" fontId="2" fillId="0" borderId="9" xfId="1" applyNumberFormat="1" applyFont="1" applyBorder="1" applyAlignment="1" applyProtection="1"/>
    <xf numFmtId="0" fontId="2" fillId="4" borderId="2" xfId="0" applyFont="1" applyFill="1" applyBorder="1" applyAlignment="1">
      <alignment horizontal="left" wrapText="1"/>
    </xf>
    <xf numFmtId="0" fontId="2" fillId="4" borderId="7" xfId="0" applyFont="1" applyFill="1" applyBorder="1"/>
    <xf numFmtId="0" fontId="2" fillId="4" borderId="4" xfId="0" applyFont="1" applyFill="1" applyBorder="1"/>
    <xf numFmtId="165" fontId="2" fillId="4" borderId="5" xfId="0" applyNumberFormat="1" applyFont="1" applyFill="1" applyBorder="1"/>
    <xf numFmtId="0" fontId="2" fillId="4" borderId="5" xfId="0" applyFont="1" applyFill="1" applyBorder="1"/>
    <xf numFmtId="0" fontId="2" fillId="5" borderId="4" xfId="0" applyFont="1" applyFill="1" applyBorder="1"/>
    <xf numFmtId="165" fontId="2" fillId="5" borderId="5" xfId="0" applyNumberFormat="1" applyFont="1" applyFill="1" applyBorder="1"/>
    <xf numFmtId="0" fontId="2" fillId="6" borderId="4" xfId="0" applyFont="1" applyFill="1" applyBorder="1"/>
    <xf numFmtId="165" fontId="2" fillId="6" borderId="5" xfId="0" applyNumberFormat="1" applyFont="1" applyFill="1" applyBorder="1"/>
    <xf numFmtId="165" fontId="1" fillId="7" borderId="5" xfId="1" applyNumberFormat="1" applyFill="1" applyBorder="1"/>
    <xf numFmtId="0" fontId="2" fillId="8" borderId="4" xfId="0" applyFont="1" applyFill="1" applyBorder="1"/>
    <xf numFmtId="0" fontId="2" fillId="8" borderId="5" xfId="0" applyFont="1" applyFill="1" applyBorder="1"/>
    <xf numFmtId="165" fontId="2" fillId="8" borderId="5" xfId="0" applyNumberFormat="1" applyFont="1" applyFill="1" applyBorder="1"/>
    <xf numFmtId="165" fontId="2" fillId="8" borderId="5" xfId="1" applyNumberFormat="1" applyFont="1" applyFill="1" applyBorder="1" applyAlignment="1" applyProtection="1"/>
    <xf numFmtId="0" fontId="2" fillId="4" borderId="10" xfId="0" applyFont="1" applyFill="1" applyBorder="1"/>
    <xf numFmtId="165" fontId="2" fillId="4" borderId="3" xfId="0" applyNumberFormat="1" applyFont="1" applyFill="1" applyBorder="1"/>
    <xf numFmtId="0" fontId="2" fillId="4" borderId="0" xfId="0" applyFont="1" applyFill="1"/>
    <xf numFmtId="165" fontId="2" fillId="4" borderId="0" xfId="0" applyNumberFormat="1" applyFont="1" applyFill="1"/>
    <xf numFmtId="0" fontId="9" fillId="0" borderId="0" xfId="0" applyFont="1"/>
    <xf numFmtId="165" fontId="2" fillId="0" borderId="0" xfId="1" applyNumberFormat="1" applyFont="1" applyBorder="1" applyProtection="1"/>
    <xf numFmtId="165" fontId="2" fillId="0" borderId="5" xfId="1" applyNumberFormat="1" applyFont="1" applyFill="1" applyBorder="1" applyProtection="1"/>
    <xf numFmtId="165" fontId="2" fillId="0" borderId="5" xfId="1" applyNumberFormat="1" applyFont="1" applyBorder="1" applyProtection="1"/>
    <xf numFmtId="0" fontId="2" fillId="7" borderId="4" xfId="0" applyFont="1" applyFill="1" applyBorder="1"/>
    <xf numFmtId="165" fontId="2" fillId="7" borderId="5" xfId="1" applyNumberFormat="1" applyFont="1" applyFill="1" applyBorder="1" applyProtection="1"/>
    <xf numFmtId="165" fontId="2" fillId="0" borderId="3" xfId="1" applyNumberFormat="1" applyFont="1" applyBorder="1" applyProtection="1"/>
    <xf numFmtId="165" fontId="2" fillId="0" borderId="7" xfId="1" applyNumberFormat="1" applyFont="1" applyBorder="1" applyProtection="1"/>
    <xf numFmtId="0" fontId="8" fillId="0" borderId="0" xfId="0" quotePrefix="1" applyFont="1" applyAlignment="1">
      <alignment horizontal="center"/>
    </xf>
    <xf numFmtId="0" fontId="2" fillId="9" borderId="5" xfId="0" applyFont="1" applyFill="1" applyBorder="1"/>
    <xf numFmtId="165" fontId="2" fillId="9" borderId="5" xfId="1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&amp;%20Subsidiarias%202020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20"/>
      <sheetName val="ERI20"/>
      <sheetName val="ECP20"/>
      <sheetName val="PAT20"/>
      <sheetName val="EFE20"/>
      <sheetName val="Planilla Final 2017"/>
      <sheetName val="Participaciones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6">
          <cell r="C26">
            <v>950362</v>
          </cell>
        </row>
        <row r="50">
          <cell r="C50">
            <v>10000</v>
          </cell>
        </row>
        <row r="55">
          <cell r="D55">
            <v>1193125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7">
          <cell r="E7">
            <v>-3200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D2F3-545A-44BC-BBE6-40BC641E4E83}">
  <dimension ref="A1:AMJ294"/>
  <sheetViews>
    <sheetView tabSelected="1" topLeftCell="C195" workbookViewId="0">
      <selection activeCell="D195" sqref="D195"/>
    </sheetView>
  </sheetViews>
  <sheetFormatPr defaultColWidth="11.42578125" defaultRowHeight="15" outlineLevelRow="1" x14ac:dyDescent="0.25"/>
  <cols>
    <col min="1" max="1" width="2" style="1" customWidth="1"/>
    <col min="2" max="2" width="19.140625" style="2" customWidth="1"/>
    <col min="3" max="3" width="56.85546875" style="1" customWidth="1"/>
    <col min="4" max="5" width="12.7109375" style="3" customWidth="1"/>
    <col min="6" max="6" width="11.5703125" style="1" customWidth="1"/>
    <col min="7" max="9" width="11.42578125" style="1"/>
    <col min="10" max="10" width="11.5703125" style="1" customWidth="1"/>
    <col min="11" max="1024" width="11.42578125" style="1"/>
  </cols>
  <sheetData>
    <row r="1" spans="2:10" outlineLevel="1" x14ac:dyDescent="0.25"/>
    <row r="2" spans="2:10" outlineLevel="1" x14ac:dyDescent="0.25">
      <c r="B2" s="4" t="s">
        <v>0</v>
      </c>
      <c r="C2" s="5" t="s">
        <v>1</v>
      </c>
      <c r="D2" s="6" t="s">
        <v>2</v>
      </c>
      <c r="E2" s="6" t="s">
        <v>3</v>
      </c>
      <c r="I2" s="3"/>
    </row>
    <row r="3" spans="2:10" outlineLevel="1" x14ac:dyDescent="0.25">
      <c r="C3" s="7" t="s">
        <v>4</v>
      </c>
      <c r="I3" s="1" t="s">
        <v>5</v>
      </c>
      <c r="J3" s="3">
        <v>366832</v>
      </c>
    </row>
    <row r="4" spans="2:10" outlineLevel="1" x14ac:dyDescent="0.25">
      <c r="B4" s="2" t="s">
        <v>6</v>
      </c>
      <c r="C4" s="1" t="s">
        <v>7</v>
      </c>
      <c r="D4" s="3">
        <v>1104950</v>
      </c>
      <c r="I4" s="1" t="s">
        <v>8</v>
      </c>
      <c r="J4" s="3">
        <v>943459</v>
      </c>
    </row>
    <row r="5" spans="2:10" outlineLevel="1" x14ac:dyDescent="0.25">
      <c r="B5" s="2" t="s">
        <v>6</v>
      </c>
      <c r="C5" s="1" t="s">
        <v>9</v>
      </c>
      <c r="D5" s="3">
        <v>877313</v>
      </c>
      <c r="I5" s="1" t="s">
        <v>10</v>
      </c>
      <c r="J5" s="3">
        <v>147840</v>
      </c>
    </row>
    <row r="6" spans="2:10" outlineLevel="1" x14ac:dyDescent="0.25">
      <c r="B6" s="8" t="s">
        <v>6</v>
      </c>
      <c r="C6" s="9" t="s">
        <v>11</v>
      </c>
      <c r="D6" s="10">
        <v>673934</v>
      </c>
      <c r="E6" s="10"/>
      <c r="I6" s="1" t="s">
        <v>12</v>
      </c>
      <c r="J6" s="3">
        <v>140052</v>
      </c>
    </row>
    <row r="7" spans="2:10" outlineLevel="1" x14ac:dyDescent="0.25">
      <c r="B7" s="8" t="s">
        <v>6</v>
      </c>
      <c r="C7" s="9" t="s">
        <v>13</v>
      </c>
      <c r="D7" s="10">
        <v>1660952</v>
      </c>
      <c r="E7" s="9"/>
      <c r="I7" s="1" t="s">
        <v>14</v>
      </c>
      <c r="J7" s="11">
        <v>8000</v>
      </c>
    </row>
    <row r="8" spans="2:10" outlineLevel="1" x14ac:dyDescent="0.25">
      <c r="B8" s="8" t="s">
        <v>6</v>
      </c>
      <c r="C8" s="9" t="s">
        <v>15</v>
      </c>
      <c r="D8" s="10">
        <v>21</v>
      </c>
      <c r="E8" s="9"/>
      <c r="J8" s="3">
        <f>+SUM(J3:J7)</f>
        <v>1606183</v>
      </c>
    </row>
    <row r="9" spans="2:10" outlineLevel="1" x14ac:dyDescent="0.25">
      <c r="B9" s="8" t="s">
        <v>16</v>
      </c>
      <c r="C9" s="9" t="s">
        <v>11</v>
      </c>
      <c r="D9" s="10">
        <v>27806</v>
      </c>
      <c r="E9" s="9"/>
    </row>
    <row r="10" spans="2:10" outlineLevel="1" x14ac:dyDescent="0.25">
      <c r="B10" s="8" t="s">
        <v>6</v>
      </c>
      <c r="C10" s="9" t="s">
        <v>17</v>
      </c>
      <c r="D10" s="12"/>
      <c r="E10" s="10">
        <v>27806</v>
      </c>
    </row>
    <row r="11" spans="2:10" outlineLevel="1" x14ac:dyDescent="0.25">
      <c r="B11" s="2" t="s">
        <v>16</v>
      </c>
      <c r="C11" s="1" t="s">
        <v>18</v>
      </c>
      <c r="E11" s="3">
        <v>1982263</v>
      </c>
    </row>
    <row r="12" spans="2:10" outlineLevel="1" x14ac:dyDescent="0.25">
      <c r="B12" s="8" t="s">
        <v>16</v>
      </c>
      <c r="C12" s="9" t="s">
        <v>19</v>
      </c>
      <c r="D12" s="13"/>
      <c r="E12" s="13">
        <v>2334907</v>
      </c>
    </row>
    <row r="13" spans="2:10" outlineLevel="1" x14ac:dyDescent="0.25">
      <c r="C13" s="1" t="s">
        <v>20</v>
      </c>
      <c r="D13" s="3">
        <f>+SUM(D4:D12)</f>
        <v>4344976</v>
      </c>
      <c r="E13" s="3">
        <f>+SUM(E4:E12)</f>
        <v>4344976</v>
      </c>
      <c r="F13" s="14">
        <f>+D13-E13</f>
        <v>0</v>
      </c>
    </row>
    <row r="14" spans="2:10" outlineLevel="1" x14ac:dyDescent="0.25"/>
    <row r="15" spans="2:10" outlineLevel="1" x14ac:dyDescent="0.25">
      <c r="C15" s="7" t="s">
        <v>21</v>
      </c>
    </row>
    <row r="16" spans="2:10" outlineLevel="1" x14ac:dyDescent="0.25">
      <c r="B16" s="2" t="s">
        <v>22</v>
      </c>
      <c r="C16" s="1" t="s">
        <v>7</v>
      </c>
      <c r="D16" s="3">
        <v>800</v>
      </c>
      <c r="I16" s="3"/>
    </row>
    <row r="17" spans="2:6" outlineLevel="1" x14ac:dyDescent="0.25">
      <c r="B17" s="2" t="s">
        <v>22</v>
      </c>
      <c r="C17" s="1" t="s">
        <v>23</v>
      </c>
      <c r="D17" s="3">
        <v>340</v>
      </c>
    </row>
    <row r="18" spans="2:6" outlineLevel="1" x14ac:dyDescent="0.25">
      <c r="B18" s="2" t="s">
        <v>16</v>
      </c>
      <c r="C18" s="9" t="s">
        <v>24</v>
      </c>
      <c r="D18" s="10">
        <f>+E19-D17-D16</f>
        <v>1113036</v>
      </c>
      <c r="E18" s="10"/>
    </row>
    <row r="19" spans="2:6" outlineLevel="1" x14ac:dyDescent="0.25">
      <c r="B19" s="2" t="s">
        <v>16</v>
      </c>
      <c r="C19" s="9" t="s">
        <v>18</v>
      </c>
      <c r="D19" s="13"/>
      <c r="E19" s="13">
        <v>1114176</v>
      </c>
      <c r="F19" s="14">
        <f>+E19-D18</f>
        <v>1140</v>
      </c>
    </row>
    <row r="20" spans="2:6" outlineLevel="1" x14ac:dyDescent="0.25">
      <c r="C20" s="1" t="s">
        <v>25</v>
      </c>
      <c r="D20" s="3">
        <f>+SUM(D16:D19)</f>
        <v>1114176</v>
      </c>
      <c r="E20" s="3">
        <f>+SUM(E16:E19)</f>
        <v>1114176</v>
      </c>
      <c r="F20" s="14">
        <f>+D20-E20</f>
        <v>0</v>
      </c>
    </row>
    <row r="21" spans="2:6" outlineLevel="1" x14ac:dyDescent="0.25"/>
    <row r="22" spans="2:6" outlineLevel="1" x14ac:dyDescent="0.25">
      <c r="C22" s="7" t="s">
        <v>26</v>
      </c>
    </row>
    <row r="23" spans="2:6" outlineLevel="1" x14ac:dyDescent="0.25">
      <c r="B23" s="2" t="s">
        <v>8</v>
      </c>
      <c r="C23" s="1" t="s">
        <v>7</v>
      </c>
      <c r="D23" s="3">
        <v>6800</v>
      </c>
    </row>
    <row r="24" spans="2:6" outlineLevel="1" x14ac:dyDescent="0.25">
      <c r="B24" s="2" t="s">
        <v>8</v>
      </c>
      <c r="C24" s="1" t="s">
        <v>27</v>
      </c>
      <c r="D24" s="3">
        <v>74427</v>
      </c>
    </row>
    <row r="25" spans="2:6" outlineLevel="1" x14ac:dyDescent="0.25">
      <c r="B25" s="2" t="s">
        <v>8</v>
      </c>
      <c r="C25" s="1" t="s">
        <v>28</v>
      </c>
      <c r="D25" s="3">
        <f>+E28-D23-D24</f>
        <v>862232</v>
      </c>
    </row>
    <row r="26" spans="2:6" outlineLevel="1" x14ac:dyDescent="0.25">
      <c r="B26" s="2" t="s">
        <v>16</v>
      </c>
      <c r="C26" s="1" t="s">
        <v>29</v>
      </c>
      <c r="D26" s="3">
        <f>+E28</f>
        <v>943459</v>
      </c>
    </row>
    <row r="27" spans="2:6" s="1" customFormat="1" ht="12" outlineLevel="1" x14ac:dyDescent="0.2">
      <c r="B27" s="2" t="s">
        <v>30</v>
      </c>
      <c r="C27" s="1" t="s">
        <v>31</v>
      </c>
      <c r="E27" s="3">
        <f>+D26</f>
        <v>943459</v>
      </c>
      <c r="F27" s="14">
        <f>+E27-D25</f>
        <v>81227</v>
      </c>
    </row>
    <row r="28" spans="2:6" outlineLevel="1" x14ac:dyDescent="0.25">
      <c r="B28" s="2" t="s">
        <v>16</v>
      </c>
      <c r="C28" s="1" t="s">
        <v>18</v>
      </c>
      <c r="D28" s="11"/>
      <c r="E28" s="11">
        <v>943459</v>
      </c>
    </row>
    <row r="29" spans="2:6" outlineLevel="1" x14ac:dyDescent="0.25">
      <c r="C29" s="1" t="s">
        <v>32</v>
      </c>
      <c r="D29" s="3">
        <f>+SUM(D23:D28)</f>
        <v>1886918</v>
      </c>
      <c r="E29" s="3">
        <f>+SUM(E23:E28)</f>
        <v>1886918</v>
      </c>
      <c r="F29" s="14">
        <f>+D29-E29</f>
        <v>0</v>
      </c>
    </row>
    <row r="30" spans="2:6" outlineLevel="1" x14ac:dyDescent="0.25"/>
    <row r="31" spans="2:6" outlineLevel="1" x14ac:dyDescent="0.25">
      <c r="C31" s="7" t="s">
        <v>33</v>
      </c>
    </row>
    <row r="32" spans="2:6" outlineLevel="1" x14ac:dyDescent="0.25">
      <c r="B32" s="2" t="s">
        <v>34</v>
      </c>
      <c r="C32" s="1" t="s">
        <v>7</v>
      </c>
      <c r="D32" s="3">
        <v>750</v>
      </c>
    </row>
    <row r="33" spans="2:6" outlineLevel="1" x14ac:dyDescent="0.25">
      <c r="B33" s="2" t="s">
        <v>34</v>
      </c>
      <c r="C33" s="1" t="s">
        <v>23</v>
      </c>
      <c r="D33" s="3">
        <v>109633</v>
      </c>
    </row>
    <row r="34" spans="2:6" outlineLevel="1" x14ac:dyDescent="0.25">
      <c r="B34" s="2" t="s">
        <v>34</v>
      </c>
      <c r="C34" s="1" t="s">
        <v>9</v>
      </c>
      <c r="D34" s="3">
        <v>330450</v>
      </c>
    </row>
    <row r="35" spans="2:6" outlineLevel="1" x14ac:dyDescent="0.25">
      <c r="B35" s="2" t="s">
        <v>34</v>
      </c>
      <c r="C35" s="1" t="s">
        <v>28</v>
      </c>
      <c r="D35" s="3">
        <f>+E36-D32-D33-D34</f>
        <v>21667</v>
      </c>
    </row>
    <row r="36" spans="2:6" outlineLevel="1" x14ac:dyDescent="0.25">
      <c r="B36" s="2" t="s">
        <v>16</v>
      </c>
      <c r="C36" s="1" t="s">
        <v>18</v>
      </c>
      <c r="D36" s="11"/>
      <c r="E36" s="11">
        <v>462500</v>
      </c>
    </row>
    <row r="37" spans="2:6" outlineLevel="1" x14ac:dyDescent="0.25">
      <c r="C37" s="1" t="s">
        <v>35</v>
      </c>
      <c r="D37" s="3">
        <f>+SUM(D32:D36)</f>
        <v>462500</v>
      </c>
      <c r="E37" s="3">
        <f>+SUM(E32:E36)</f>
        <v>462500</v>
      </c>
      <c r="F37" s="14">
        <f>+D37-E37</f>
        <v>0</v>
      </c>
    </row>
    <row r="38" spans="2:6" outlineLevel="1" x14ac:dyDescent="0.25"/>
    <row r="39" spans="2:6" outlineLevel="1" x14ac:dyDescent="0.25">
      <c r="C39" s="7" t="s">
        <v>36</v>
      </c>
    </row>
    <row r="40" spans="2:6" outlineLevel="1" x14ac:dyDescent="0.25">
      <c r="B40" s="2" t="s">
        <v>37</v>
      </c>
      <c r="C40" s="1" t="s">
        <v>7</v>
      </c>
      <c r="D40" s="3">
        <v>3751</v>
      </c>
    </row>
    <row r="41" spans="2:6" outlineLevel="1" x14ac:dyDescent="0.25">
      <c r="B41" s="2" t="s">
        <v>37</v>
      </c>
      <c r="C41" s="1" t="s">
        <v>9</v>
      </c>
      <c r="D41" s="3">
        <v>27854948</v>
      </c>
    </row>
    <row r="42" spans="2:6" outlineLevel="1" x14ac:dyDescent="0.25">
      <c r="B42" s="2" t="s">
        <v>16</v>
      </c>
      <c r="C42" s="1" t="s">
        <v>18</v>
      </c>
      <c r="D42" s="11"/>
      <c r="E42" s="11">
        <v>27858699</v>
      </c>
    </row>
    <row r="43" spans="2:6" outlineLevel="1" x14ac:dyDescent="0.25">
      <c r="C43" s="1" t="s">
        <v>38</v>
      </c>
      <c r="D43" s="3">
        <f>+D40+D41+D42</f>
        <v>27858699</v>
      </c>
      <c r="E43" s="3">
        <f>+E40+E41+E42</f>
        <v>27858699</v>
      </c>
    </row>
    <row r="44" spans="2:6" outlineLevel="1" x14ac:dyDescent="0.25"/>
    <row r="45" spans="2:6" outlineLevel="1" x14ac:dyDescent="0.25">
      <c r="C45" s="7" t="s">
        <v>39</v>
      </c>
    </row>
    <row r="46" spans="2:6" outlineLevel="1" x14ac:dyDescent="0.25">
      <c r="B46" s="8" t="s">
        <v>37</v>
      </c>
      <c r="C46" s="9" t="s">
        <v>13</v>
      </c>
      <c r="D46" s="10">
        <v>2278797</v>
      </c>
      <c r="E46" s="10"/>
    </row>
    <row r="47" spans="2:6" outlineLevel="1" x14ac:dyDescent="0.25">
      <c r="B47" s="8" t="s">
        <v>37</v>
      </c>
      <c r="C47" s="9" t="s">
        <v>13</v>
      </c>
      <c r="D47" s="10">
        <v>865104</v>
      </c>
      <c r="E47" s="10"/>
    </row>
    <row r="48" spans="2:6" outlineLevel="1" x14ac:dyDescent="0.25">
      <c r="B48" s="8" t="s">
        <v>37</v>
      </c>
      <c r="C48" s="9" t="s">
        <v>13</v>
      </c>
      <c r="D48" s="10">
        <v>3965967</v>
      </c>
      <c r="E48" s="9"/>
    </row>
    <row r="49" spans="2:8" outlineLevel="1" x14ac:dyDescent="0.25">
      <c r="B49" s="8" t="s">
        <v>16</v>
      </c>
      <c r="C49" s="9" t="s">
        <v>17</v>
      </c>
      <c r="D49" s="10"/>
      <c r="E49" s="10">
        <v>93795</v>
      </c>
    </row>
    <row r="50" spans="2:8" outlineLevel="1" x14ac:dyDescent="0.25">
      <c r="B50" s="8" t="s">
        <v>37</v>
      </c>
      <c r="C50" s="9" t="s">
        <v>19</v>
      </c>
      <c r="D50" s="10"/>
      <c r="E50" s="10">
        <v>3965967</v>
      </c>
    </row>
    <row r="51" spans="2:8" outlineLevel="1" x14ac:dyDescent="0.25">
      <c r="B51" s="2" t="s">
        <v>16</v>
      </c>
      <c r="C51" s="1" t="s">
        <v>40</v>
      </c>
      <c r="E51" s="3">
        <v>738602</v>
      </c>
      <c r="F51" s="14"/>
      <c r="G51" s="14"/>
    </row>
    <row r="52" spans="2:8" outlineLevel="1" x14ac:dyDescent="0.25">
      <c r="B52" s="8" t="s">
        <v>16</v>
      </c>
      <c r="C52" s="9" t="s">
        <v>19</v>
      </c>
      <c r="D52" s="13"/>
      <c r="E52" s="13">
        <v>2311504</v>
      </c>
    </row>
    <row r="53" spans="2:8" outlineLevel="1" x14ac:dyDescent="0.25">
      <c r="C53" s="1" t="s">
        <v>41</v>
      </c>
      <c r="D53" s="14">
        <f>+SUM(D46:D52)</f>
        <v>7109868</v>
      </c>
      <c r="E53" s="14">
        <f>+SUM(E46:E52)</f>
        <v>7109868</v>
      </c>
      <c r="F53" s="14"/>
    </row>
    <row r="54" spans="2:8" outlineLevel="1" x14ac:dyDescent="0.25">
      <c r="F54" s="14"/>
      <c r="G54" s="14"/>
      <c r="H54" s="15"/>
    </row>
    <row r="55" spans="2:8" outlineLevel="1" x14ac:dyDescent="0.25">
      <c r="C55" s="7" t="s">
        <v>42</v>
      </c>
    </row>
    <row r="56" spans="2:8" outlineLevel="1" x14ac:dyDescent="0.25">
      <c r="B56" s="2" t="s">
        <v>10</v>
      </c>
      <c r="C56" s="1" t="s">
        <v>7</v>
      </c>
      <c r="D56" s="3">
        <v>500</v>
      </c>
    </row>
    <row r="57" spans="2:8" outlineLevel="1" x14ac:dyDescent="0.25">
      <c r="B57" s="2" t="s">
        <v>10</v>
      </c>
      <c r="C57" s="1" t="s">
        <v>27</v>
      </c>
      <c r="D57" s="3">
        <v>500</v>
      </c>
    </row>
    <row r="58" spans="2:8" outlineLevel="1" x14ac:dyDescent="0.25">
      <c r="B58" s="2" t="s">
        <v>10</v>
      </c>
      <c r="C58" s="1" t="s">
        <v>9</v>
      </c>
      <c r="D58" s="3">
        <v>49015</v>
      </c>
    </row>
    <row r="59" spans="2:8" outlineLevel="1" x14ac:dyDescent="0.25">
      <c r="B59" s="2" t="s">
        <v>10</v>
      </c>
      <c r="C59" s="1" t="s">
        <v>28</v>
      </c>
      <c r="D59" s="3">
        <f>+E63-D58-D57-D56</f>
        <v>97825</v>
      </c>
    </row>
    <row r="60" spans="2:8" outlineLevel="1" x14ac:dyDescent="0.25">
      <c r="B60" s="8" t="s">
        <v>10</v>
      </c>
      <c r="C60" s="9" t="s">
        <v>11</v>
      </c>
      <c r="D60" s="10">
        <v>950362</v>
      </c>
    </row>
    <row r="61" spans="2:8" outlineLevel="1" x14ac:dyDescent="0.25">
      <c r="B61" s="2" t="s">
        <v>16</v>
      </c>
      <c r="C61" s="1" t="s">
        <v>29</v>
      </c>
      <c r="D61" s="3">
        <v>147840</v>
      </c>
    </row>
    <row r="62" spans="2:8" outlineLevel="1" x14ac:dyDescent="0.25">
      <c r="B62" s="2" t="s">
        <v>30</v>
      </c>
      <c r="C62" s="1" t="s">
        <v>31</v>
      </c>
      <c r="E62" s="3">
        <f>+D61</f>
        <v>147840</v>
      </c>
    </row>
    <row r="63" spans="2:8" outlineLevel="1" x14ac:dyDescent="0.25">
      <c r="B63" s="2" t="s">
        <v>16</v>
      </c>
      <c r="C63" s="1" t="s">
        <v>18</v>
      </c>
      <c r="E63" s="3">
        <v>147840</v>
      </c>
    </row>
    <row r="64" spans="2:8" outlineLevel="1" x14ac:dyDescent="0.25">
      <c r="B64" s="8" t="s">
        <v>16</v>
      </c>
      <c r="C64" s="9" t="s">
        <v>19</v>
      </c>
      <c r="D64" s="13"/>
      <c r="E64" s="13">
        <v>950362</v>
      </c>
    </row>
    <row r="65" spans="2:6" outlineLevel="1" x14ac:dyDescent="0.25">
      <c r="C65" s="1" t="s">
        <v>43</v>
      </c>
      <c r="D65" s="3">
        <f>+SUM(D56:D64)</f>
        <v>1246042</v>
      </c>
      <c r="E65" s="3">
        <f>+SUM(E56:E64)</f>
        <v>1246042</v>
      </c>
      <c r="F65" s="14">
        <f>+D65-E65</f>
        <v>0</v>
      </c>
    </row>
    <row r="66" spans="2:6" outlineLevel="1" x14ac:dyDescent="0.25"/>
    <row r="67" spans="2:6" outlineLevel="1" x14ac:dyDescent="0.25">
      <c r="C67" s="7" t="s">
        <v>44</v>
      </c>
    </row>
    <row r="68" spans="2:6" outlineLevel="1" x14ac:dyDescent="0.25">
      <c r="B68" s="2" t="s">
        <v>12</v>
      </c>
      <c r="C68" s="1" t="s">
        <v>7</v>
      </c>
      <c r="D68" s="3">
        <v>4640</v>
      </c>
    </row>
    <row r="69" spans="2:6" outlineLevel="1" x14ac:dyDescent="0.25">
      <c r="B69" s="2" t="s">
        <v>12</v>
      </c>
      <c r="C69" s="1" t="s">
        <v>23</v>
      </c>
      <c r="D69" s="3">
        <v>1226</v>
      </c>
    </row>
    <row r="70" spans="2:6" outlineLevel="1" x14ac:dyDescent="0.25">
      <c r="B70" s="2" t="s">
        <v>12</v>
      </c>
      <c r="C70" s="1" t="s">
        <v>28</v>
      </c>
      <c r="D70" s="3">
        <f>+E73-D69-D68</f>
        <v>134186</v>
      </c>
    </row>
    <row r="71" spans="2:6" outlineLevel="1" x14ac:dyDescent="0.25">
      <c r="B71" s="2" t="s">
        <v>16</v>
      </c>
      <c r="C71" s="1" t="s">
        <v>29</v>
      </c>
      <c r="D71" s="3">
        <v>140052</v>
      </c>
    </row>
    <row r="72" spans="2:6" outlineLevel="1" x14ac:dyDescent="0.25">
      <c r="B72" s="2" t="s">
        <v>30</v>
      </c>
      <c r="C72" s="1" t="s">
        <v>31</v>
      </c>
      <c r="E72" s="3">
        <f>+D71</f>
        <v>140052</v>
      </c>
    </row>
    <row r="73" spans="2:6" outlineLevel="1" x14ac:dyDescent="0.25">
      <c r="B73" s="2" t="s">
        <v>16</v>
      </c>
      <c r="C73" s="1" t="s">
        <v>18</v>
      </c>
      <c r="D73" s="11"/>
      <c r="E73" s="11">
        <v>140052</v>
      </c>
    </row>
    <row r="74" spans="2:6" outlineLevel="1" x14ac:dyDescent="0.25">
      <c r="C74" s="1" t="s">
        <v>45</v>
      </c>
      <c r="D74" s="3">
        <f>+SUM(D68:D73)</f>
        <v>280104</v>
      </c>
      <c r="E74" s="3">
        <f>+SUM(E68:E73)</f>
        <v>280104</v>
      </c>
      <c r="F74" s="14">
        <f>+D74-E74</f>
        <v>0</v>
      </c>
    </row>
    <row r="75" spans="2:6" outlineLevel="1" x14ac:dyDescent="0.25">
      <c r="F75" s="14"/>
    </row>
    <row r="76" spans="2:6" outlineLevel="1" x14ac:dyDescent="0.25">
      <c r="C76" s="7" t="s">
        <v>46</v>
      </c>
    </row>
    <row r="77" spans="2:6" outlineLevel="1" x14ac:dyDescent="0.25">
      <c r="B77" s="2" t="s">
        <v>47</v>
      </c>
      <c r="C77" s="1" t="s">
        <v>7</v>
      </c>
      <c r="D77" s="3">
        <v>6000</v>
      </c>
    </row>
    <row r="78" spans="2:6" outlineLevel="1" x14ac:dyDescent="0.25">
      <c r="B78" s="2" t="s">
        <v>16</v>
      </c>
      <c r="C78" s="1" t="s">
        <v>18</v>
      </c>
      <c r="D78" s="11"/>
      <c r="E78" s="11">
        <f>+D77</f>
        <v>6000</v>
      </c>
      <c r="F78" s="14"/>
    </row>
    <row r="79" spans="2:6" outlineLevel="1" x14ac:dyDescent="0.25">
      <c r="C79" s="1" t="s">
        <v>48</v>
      </c>
      <c r="D79" s="3">
        <f>+D77+D78</f>
        <v>6000</v>
      </c>
      <c r="E79" s="3">
        <f>+E77+E78</f>
        <v>6000</v>
      </c>
      <c r="F79" s="14">
        <f>+D79-E79</f>
        <v>0</v>
      </c>
    </row>
    <row r="80" spans="2:6" outlineLevel="1" x14ac:dyDescent="0.25">
      <c r="F80" s="14"/>
    </row>
    <row r="81" spans="2:6" outlineLevel="1" x14ac:dyDescent="0.25">
      <c r="C81" s="7" t="s">
        <v>49</v>
      </c>
    </row>
    <row r="82" spans="2:6" outlineLevel="1" x14ac:dyDescent="0.25">
      <c r="B82" s="2" t="s">
        <v>5</v>
      </c>
      <c r="C82" s="1" t="s">
        <v>7</v>
      </c>
      <c r="D82" s="3">
        <v>740</v>
      </c>
    </row>
    <row r="83" spans="2:6" outlineLevel="1" x14ac:dyDescent="0.25">
      <c r="B83" s="2" t="s">
        <v>5</v>
      </c>
      <c r="C83" s="1" t="s">
        <v>9</v>
      </c>
      <c r="D83" s="3">
        <v>1833418</v>
      </c>
    </row>
    <row r="84" spans="2:6" outlineLevel="1" x14ac:dyDescent="0.25">
      <c r="B84" s="8" t="s">
        <v>5</v>
      </c>
      <c r="C84" s="9" t="s">
        <v>11</v>
      </c>
      <c r="D84" s="10">
        <v>6331</v>
      </c>
    </row>
    <row r="85" spans="2:6" outlineLevel="1" x14ac:dyDescent="0.25">
      <c r="B85" s="8" t="s">
        <v>5</v>
      </c>
      <c r="C85" s="9" t="s">
        <v>13</v>
      </c>
      <c r="D85" s="10">
        <v>4144540</v>
      </c>
    </row>
    <row r="86" spans="2:6" outlineLevel="1" x14ac:dyDescent="0.25">
      <c r="B86" s="8" t="s">
        <v>5</v>
      </c>
      <c r="C86" s="9" t="s">
        <v>15</v>
      </c>
      <c r="D86" s="10">
        <f>5699+1</f>
        <v>5700</v>
      </c>
    </row>
    <row r="87" spans="2:6" outlineLevel="1" x14ac:dyDescent="0.25">
      <c r="B87" s="2" t="s">
        <v>16</v>
      </c>
      <c r="C87" s="1" t="s">
        <v>29</v>
      </c>
      <c r="D87" s="3">
        <v>366832</v>
      </c>
    </row>
    <row r="88" spans="2:6" outlineLevel="1" x14ac:dyDescent="0.25">
      <c r="B88" s="2" t="s">
        <v>16</v>
      </c>
      <c r="C88" s="1" t="s">
        <v>18</v>
      </c>
      <c r="E88" s="3">
        <v>1834158</v>
      </c>
    </row>
    <row r="89" spans="2:6" outlineLevel="1" x14ac:dyDescent="0.25">
      <c r="B89" s="2" t="s">
        <v>16</v>
      </c>
      <c r="C89" s="1" t="s">
        <v>50</v>
      </c>
      <c r="E89" s="3">
        <v>366832</v>
      </c>
    </row>
    <row r="90" spans="2:6" outlineLevel="1" x14ac:dyDescent="0.25">
      <c r="B90" s="8" t="s">
        <v>16</v>
      </c>
      <c r="C90" s="9" t="s">
        <v>19</v>
      </c>
      <c r="D90" s="13"/>
      <c r="E90" s="13">
        <v>4156571</v>
      </c>
    </row>
    <row r="91" spans="2:6" outlineLevel="1" x14ac:dyDescent="0.25">
      <c r="C91" s="1" t="s">
        <v>51</v>
      </c>
      <c r="D91" s="3">
        <f>+SUM(D82:D90)</f>
        <v>6357561</v>
      </c>
      <c r="E91" s="3">
        <f>+SUM(E82:E90)</f>
        <v>6357561</v>
      </c>
      <c r="F91" s="14">
        <f>+D91-E91</f>
        <v>0</v>
      </c>
    </row>
    <row r="92" spans="2:6" outlineLevel="1" x14ac:dyDescent="0.25"/>
    <row r="93" spans="2:6" outlineLevel="1" x14ac:dyDescent="0.25">
      <c r="C93" s="7" t="s">
        <v>52</v>
      </c>
    </row>
    <row r="94" spans="2:6" outlineLevel="1" x14ac:dyDescent="0.25">
      <c r="B94" s="2" t="s">
        <v>53</v>
      </c>
      <c r="C94" s="1" t="s">
        <v>7</v>
      </c>
      <c r="D94" s="3">
        <v>3624786</v>
      </c>
    </row>
    <row r="95" spans="2:6" outlineLevel="1" x14ac:dyDescent="0.25">
      <c r="B95" s="2" t="s">
        <v>53</v>
      </c>
      <c r="C95" s="1" t="s">
        <v>9</v>
      </c>
      <c r="D95" s="3">
        <v>292500</v>
      </c>
    </row>
    <row r="96" spans="2:6" outlineLevel="1" x14ac:dyDescent="0.25">
      <c r="B96" s="2" t="s">
        <v>53</v>
      </c>
      <c r="C96" s="1" t="s">
        <v>54</v>
      </c>
      <c r="D96" s="3">
        <v>274690</v>
      </c>
    </row>
    <row r="97" spans="2:6" outlineLevel="1" x14ac:dyDescent="0.25">
      <c r="B97" s="8" t="s">
        <v>53</v>
      </c>
      <c r="C97" s="9" t="s">
        <v>11</v>
      </c>
      <c r="D97" s="10">
        <v>282302</v>
      </c>
    </row>
    <row r="98" spans="2:6" outlineLevel="1" x14ac:dyDescent="0.25">
      <c r="B98" s="8" t="s">
        <v>53</v>
      </c>
      <c r="C98" s="9" t="s">
        <v>13</v>
      </c>
      <c r="D98" s="10">
        <v>658889</v>
      </c>
    </row>
    <row r="99" spans="2:6" s="1" customFormat="1" ht="12" outlineLevel="1" x14ac:dyDescent="0.2">
      <c r="B99" s="8" t="s">
        <v>30</v>
      </c>
      <c r="C99" s="9" t="s">
        <v>55</v>
      </c>
      <c r="D99" s="10">
        <v>238</v>
      </c>
    </row>
    <row r="100" spans="2:6" outlineLevel="1" x14ac:dyDescent="0.25">
      <c r="B100" s="2" t="s">
        <v>53</v>
      </c>
      <c r="C100" s="1" t="s">
        <v>56</v>
      </c>
      <c r="E100" s="3">
        <v>56932</v>
      </c>
    </row>
    <row r="101" spans="2:6" outlineLevel="1" x14ac:dyDescent="0.25">
      <c r="B101" s="8" t="s">
        <v>16</v>
      </c>
      <c r="C101" s="9" t="s">
        <v>17</v>
      </c>
      <c r="D101" s="10"/>
      <c r="E101" s="10">
        <v>72</v>
      </c>
    </row>
    <row r="102" spans="2:6" outlineLevel="1" x14ac:dyDescent="0.25">
      <c r="B102" s="8" t="s">
        <v>16</v>
      </c>
      <c r="C102" s="9" t="s">
        <v>57</v>
      </c>
      <c r="D102" s="10"/>
      <c r="E102" s="10">
        <v>411576</v>
      </c>
      <c r="F102" s="14">
        <f>+D97+D98+D99-E101-E102</f>
        <v>529781</v>
      </c>
    </row>
    <row r="103" spans="2:6" outlineLevel="1" x14ac:dyDescent="0.25">
      <c r="B103" s="2" t="s">
        <v>16</v>
      </c>
      <c r="C103" s="1" t="s">
        <v>18</v>
      </c>
      <c r="E103" s="3">
        <v>1173781</v>
      </c>
    </row>
    <row r="104" spans="2:6" outlineLevel="1" x14ac:dyDescent="0.25">
      <c r="B104" s="2" t="s">
        <v>30</v>
      </c>
      <c r="C104" s="1" t="s">
        <v>58</v>
      </c>
      <c r="D104" s="11"/>
      <c r="E104" s="11">
        <v>3491044</v>
      </c>
    </row>
    <row r="105" spans="2:6" outlineLevel="1" x14ac:dyDescent="0.25">
      <c r="C105" s="1" t="s">
        <v>59</v>
      </c>
      <c r="D105" s="3">
        <f>+SUM(D94:D104)</f>
        <v>5133405</v>
      </c>
      <c r="E105" s="3">
        <f>+SUM(E94:E104)</f>
        <v>5133405</v>
      </c>
      <c r="F105" s="14">
        <f>+E105-D105</f>
        <v>0</v>
      </c>
    </row>
    <row r="106" spans="2:6" outlineLevel="1" x14ac:dyDescent="0.25"/>
    <row r="107" spans="2:6" outlineLevel="1" x14ac:dyDescent="0.25">
      <c r="C107" s="7" t="s">
        <v>60</v>
      </c>
    </row>
    <row r="108" spans="2:6" outlineLevel="1" x14ac:dyDescent="0.25">
      <c r="B108" s="2" t="s">
        <v>61</v>
      </c>
      <c r="C108" s="1" t="s">
        <v>7</v>
      </c>
      <c r="D108" s="3">
        <v>10000</v>
      </c>
    </row>
    <row r="109" spans="2:6" outlineLevel="1" x14ac:dyDescent="0.25">
      <c r="B109" s="8" t="s">
        <v>61</v>
      </c>
      <c r="C109" s="9" t="s">
        <v>11</v>
      </c>
      <c r="D109" s="10">
        <v>27651</v>
      </c>
    </row>
    <row r="110" spans="2:6" outlineLevel="1" x14ac:dyDescent="0.25">
      <c r="B110" s="8" t="s">
        <v>61</v>
      </c>
      <c r="C110" s="9" t="s">
        <v>62</v>
      </c>
      <c r="D110" s="10">
        <v>49358</v>
      </c>
    </row>
    <row r="111" spans="2:6" outlineLevel="1" x14ac:dyDescent="0.25">
      <c r="B111" s="8" t="s">
        <v>61</v>
      </c>
      <c r="C111" s="9" t="s">
        <v>13</v>
      </c>
      <c r="D111" s="10">
        <v>1193125</v>
      </c>
    </row>
    <row r="112" spans="2:6" outlineLevel="1" x14ac:dyDescent="0.25">
      <c r="B112" s="2" t="s">
        <v>16</v>
      </c>
      <c r="C112" s="1" t="s">
        <v>18</v>
      </c>
      <c r="E112" s="3">
        <v>1193125</v>
      </c>
    </row>
    <row r="113" spans="2:6" outlineLevel="1" x14ac:dyDescent="0.25">
      <c r="B113" s="8" t="s">
        <v>16</v>
      </c>
      <c r="C113" s="9" t="s">
        <v>63</v>
      </c>
      <c r="D113" s="13"/>
      <c r="E113" s="13">
        <v>87009</v>
      </c>
      <c r="F113" s="14">
        <f>+D109+D110+D111-E113</f>
        <v>1183125</v>
      </c>
    </row>
    <row r="114" spans="2:6" outlineLevel="1" x14ac:dyDescent="0.25">
      <c r="C114" s="1" t="s">
        <v>64</v>
      </c>
      <c r="D114" s="3">
        <f>+SUM(D108:D113)</f>
        <v>1280134</v>
      </c>
      <c r="E114" s="3">
        <f>+SUM(E108:E113)</f>
        <v>1280134</v>
      </c>
      <c r="F114" s="14">
        <f>+E114-D114</f>
        <v>0</v>
      </c>
    </row>
    <row r="115" spans="2:6" outlineLevel="1" x14ac:dyDescent="0.25"/>
    <row r="116" spans="2:6" outlineLevel="1" x14ac:dyDescent="0.25"/>
    <row r="117" spans="2:6" outlineLevel="1" x14ac:dyDescent="0.25">
      <c r="C117" s="7" t="s">
        <v>65</v>
      </c>
    </row>
    <row r="118" spans="2:6" outlineLevel="1" x14ac:dyDescent="0.25">
      <c r="B118" s="8" t="s">
        <v>37</v>
      </c>
      <c r="C118" s="9" t="s">
        <v>11</v>
      </c>
      <c r="D118" s="10">
        <v>4733</v>
      </c>
      <c r="E118" s="10"/>
    </row>
    <row r="119" spans="2:6" outlineLevel="1" x14ac:dyDescent="0.25">
      <c r="B119" s="8" t="s">
        <v>6</v>
      </c>
      <c r="C119" s="9" t="s">
        <v>19</v>
      </c>
      <c r="D119" s="13"/>
      <c r="E119" s="13">
        <v>4733</v>
      </c>
    </row>
    <row r="120" spans="2:6" outlineLevel="1" x14ac:dyDescent="0.25">
      <c r="C120" s="1" t="s">
        <v>66</v>
      </c>
      <c r="D120" s="3">
        <f>+D118+D119</f>
        <v>4733</v>
      </c>
      <c r="E120" s="3">
        <f>+E118+E119</f>
        <v>4733</v>
      </c>
    </row>
    <row r="121" spans="2:6" outlineLevel="1" x14ac:dyDescent="0.25"/>
    <row r="122" spans="2:6" outlineLevel="1" x14ac:dyDescent="0.25">
      <c r="C122" s="7" t="s">
        <v>67</v>
      </c>
    </row>
    <row r="123" spans="2:6" outlineLevel="1" x14ac:dyDescent="0.25">
      <c r="B123" s="2" t="s">
        <v>16</v>
      </c>
      <c r="C123" s="1" t="s">
        <v>68</v>
      </c>
      <c r="D123" s="3">
        <v>394335</v>
      </c>
    </row>
    <row r="124" spans="2:6" outlineLevel="1" x14ac:dyDescent="0.25">
      <c r="B124" s="2" t="s">
        <v>16</v>
      </c>
      <c r="C124" s="1" t="s">
        <v>58</v>
      </c>
      <c r="D124" s="11"/>
      <c r="E124" s="11">
        <f>+D123</f>
        <v>394335</v>
      </c>
    </row>
    <row r="125" spans="2:6" outlineLevel="1" x14ac:dyDescent="0.25">
      <c r="C125" s="1" t="s">
        <v>69</v>
      </c>
      <c r="D125" s="3">
        <f>+D123+D124</f>
        <v>394335</v>
      </c>
      <c r="E125" s="3">
        <f>+E123+E124</f>
        <v>394335</v>
      </c>
    </row>
    <row r="126" spans="2:6" outlineLevel="1" x14ac:dyDescent="0.25"/>
    <row r="127" spans="2:6" outlineLevel="1" x14ac:dyDescent="0.25">
      <c r="C127" s="7" t="s">
        <v>70</v>
      </c>
    </row>
    <row r="128" spans="2:6" outlineLevel="1" x14ac:dyDescent="0.25">
      <c r="B128" s="2" t="s">
        <v>16</v>
      </c>
      <c r="C128" s="1" t="s">
        <v>28</v>
      </c>
      <c r="D128" s="3">
        <v>441072</v>
      </c>
    </row>
    <row r="129" spans="2:6" outlineLevel="1" x14ac:dyDescent="0.25">
      <c r="B129" s="2" t="s">
        <v>16</v>
      </c>
      <c r="C129" s="1" t="s">
        <v>18</v>
      </c>
      <c r="D129" s="11"/>
      <c r="E129" s="11">
        <f>+D128</f>
        <v>441072</v>
      </c>
    </row>
    <row r="130" spans="2:6" outlineLevel="1" x14ac:dyDescent="0.25">
      <c r="C130" s="1" t="s">
        <v>71</v>
      </c>
      <c r="D130" s="3">
        <f>+D128+D129</f>
        <v>441072</v>
      </c>
      <c r="E130" s="3">
        <f>+E128+E129</f>
        <v>441072</v>
      </c>
    </row>
    <row r="131" spans="2:6" outlineLevel="1" x14ac:dyDescent="0.25"/>
    <row r="132" spans="2:6" outlineLevel="1" x14ac:dyDescent="0.25"/>
    <row r="133" spans="2:6" outlineLevel="1" x14ac:dyDescent="0.25">
      <c r="D133" s="3">
        <f>+D120+D114+D105+D91+D79+D74+D65+D53+D37+D29+D20+D13+D43+D125+D130</f>
        <v>57920523</v>
      </c>
      <c r="E133" s="3">
        <f>+E120+E114+E105+E91+E79+E74+E65+E53+E37+E29+E20+E13+E43+E125+E130</f>
        <v>57920523</v>
      </c>
    </row>
    <row r="134" spans="2:6" outlineLevel="1" x14ac:dyDescent="0.25"/>
    <row r="135" spans="2:6" outlineLevel="1" collapsed="1" x14ac:dyDescent="0.25">
      <c r="C135" s="16" t="s">
        <v>72</v>
      </c>
    </row>
    <row r="136" spans="2:6" outlineLevel="1" x14ac:dyDescent="0.25">
      <c r="C136" s="17" t="s">
        <v>73</v>
      </c>
      <c r="D136" s="18" t="s">
        <v>74</v>
      </c>
      <c r="E136" s="18" t="s">
        <v>75</v>
      </c>
    </row>
    <row r="137" spans="2:6" outlineLevel="1" x14ac:dyDescent="0.25">
      <c r="C137" s="19" t="s">
        <v>76</v>
      </c>
      <c r="D137" s="20">
        <f>+D94+D82+D77+D68+D56+D40+D32+D23+D16+D4</f>
        <v>4753717</v>
      </c>
      <c r="E137" s="21"/>
    </row>
    <row r="138" spans="2:6" outlineLevel="1" x14ac:dyDescent="0.25">
      <c r="C138" s="19" t="s">
        <v>77</v>
      </c>
      <c r="D138" s="20">
        <f>+D24+D57</f>
        <v>74927</v>
      </c>
      <c r="E138" s="21"/>
    </row>
    <row r="139" spans="2:6" outlineLevel="1" x14ac:dyDescent="0.25">
      <c r="C139" s="19" t="s">
        <v>78</v>
      </c>
      <c r="D139" s="20">
        <f>+D17+D33+D69</f>
        <v>111199</v>
      </c>
      <c r="E139" s="21"/>
    </row>
    <row r="140" spans="2:6" outlineLevel="1" x14ac:dyDescent="0.25">
      <c r="C140" s="19" t="s">
        <v>79</v>
      </c>
      <c r="D140" s="20">
        <f>+D5+D34+D41+D58+D83+D95</f>
        <v>31237644</v>
      </c>
      <c r="E140" s="21"/>
    </row>
    <row r="141" spans="2:6" outlineLevel="1" x14ac:dyDescent="0.25">
      <c r="C141" s="19" t="s">
        <v>80</v>
      </c>
      <c r="D141" s="20">
        <f>+D96</f>
        <v>274690</v>
      </c>
      <c r="E141" s="21"/>
      <c r="F141" s="14">
        <f>-SUM(D137:D141)+E145+E144</f>
        <v>-32468665</v>
      </c>
    </row>
    <row r="142" spans="2:6" outlineLevel="1" x14ac:dyDescent="0.25">
      <c r="C142" s="22" t="s">
        <v>81</v>
      </c>
      <c r="D142" s="21">
        <f>+D18</f>
        <v>1113036</v>
      </c>
      <c r="E142" s="21"/>
    </row>
    <row r="143" spans="2:6" outlineLevel="1" x14ac:dyDescent="0.25">
      <c r="C143" s="22" t="s">
        <v>82</v>
      </c>
      <c r="D143" s="21">
        <f>+D123</f>
        <v>394335</v>
      </c>
      <c r="E143" s="21"/>
    </row>
    <row r="144" spans="2:6" outlineLevel="1" x14ac:dyDescent="0.25">
      <c r="C144" s="19" t="s">
        <v>83</v>
      </c>
      <c r="D144" s="20"/>
      <c r="E144" s="20">
        <f>+E100-82150</f>
        <v>-25218</v>
      </c>
    </row>
    <row r="145" spans="3:6" outlineLevel="1" x14ac:dyDescent="0.25">
      <c r="C145" s="19" t="s">
        <v>84</v>
      </c>
      <c r="D145" s="20"/>
      <c r="E145" s="20">
        <f>+E27-D25-D35+E62-D70+E72+E89+E104+E124-D128-D59+82150</f>
        <v>4008730</v>
      </c>
    </row>
    <row r="146" spans="3:6" outlineLevel="1" x14ac:dyDescent="0.25">
      <c r="C146" s="22" t="s">
        <v>85</v>
      </c>
      <c r="D146" s="21"/>
      <c r="E146" s="21">
        <f>+E11+E28+E36+E42+E63+E73+E78+E88+E103+E129-D26-D61-D71-D87+E19</f>
        <v>34505817</v>
      </c>
    </row>
    <row r="147" spans="3:6" outlineLevel="1" x14ac:dyDescent="0.25">
      <c r="C147" s="22" t="s">
        <v>86</v>
      </c>
      <c r="D147" s="21">
        <f>38489329-37959548</f>
        <v>529781</v>
      </c>
      <c r="E147" s="21"/>
    </row>
    <row r="148" spans="3:6" outlineLevel="1" x14ac:dyDescent="0.25">
      <c r="C148" s="23" t="s">
        <v>87</v>
      </c>
      <c r="D148" s="24">
        <f>SUM(D137:D147)</f>
        <v>38489329</v>
      </c>
      <c r="E148" s="24">
        <f>SUM(E137:E147)</f>
        <v>38489329</v>
      </c>
    </row>
    <row r="149" spans="3:6" outlineLevel="1" x14ac:dyDescent="0.25"/>
    <row r="150" spans="3:6" outlineLevel="1" x14ac:dyDescent="0.25">
      <c r="C150" s="16" t="s">
        <v>88</v>
      </c>
    </row>
    <row r="151" spans="3:6" ht="24.75" outlineLevel="1" x14ac:dyDescent="0.25">
      <c r="C151" s="25" t="s">
        <v>89</v>
      </c>
      <c r="D151" s="18" t="s">
        <v>74</v>
      </c>
      <c r="E151" s="18" t="s">
        <v>75</v>
      </c>
    </row>
    <row r="152" spans="3:6" outlineLevel="1" x14ac:dyDescent="0.25">
      <c r="C152" s="19" t="s">
        <v>90</v>
      </c>
      <c r="D152" s="20">
        <v>1378712</v>
      </c>
      <c r="E152" s="21"/>
      <c r="F152" s="14">
        <f>-E154</f>
        <v>-1138228</v>
      </c>
    </row>
    <row r="153" spans="3:6" outlineLevel="1" x14ac:dyDescent="0.25">
      <c r="C153" s="19" t="s">
        <v>91</v>
      </c>
      <c r="D153" s="20">
        <f>+E154+E155+E156-D152</f>
        <v>1140</v>
      </c>
      <c r="E153" s="21"/>
    </row>
    <row r="154" spans="3:6" outlineLevel="1" x14ac:dyDescent="0.25">
      <c r="C154" s="22" t="s">
        <v>92</v>
      </c>
      <c r="D154" s="21"/>
      <c r="E154" s="21">
        <v>1138228</v>
      </c>
    </row>
    <row r="155" spans="3:6" outlineLevel="1" x14ac:dyDescent="0.25">
      <c r="C155" s="19" t="s">
        <v>84</v>
      </c>
      <c r="D155" s="20"/>
      <c r="E155" s="20">
        <v>201038</v>
      </c>
      <c r="F155" s="14"/>
    </row>
    <row r="156" spans="3:6" outlineLevel="1" x14ac:dyDescent="0.25">
      <c r="C156" s="19" t="s">
        <v>93</v>
      </c>
      <c r="D156" s="20"/>
      <c r="E156" s="20">
        <v>40586</v>
      </c>
    </row>
    <row r="157" spans="3:6" outlineLevel="1" x14ac:dyDescent="0.25">
      <c r="C157" s="26" t="s">
        <v>94</v>
      </c>
      <c r="D157" s="24">
        <f>SUM(D152:D156)</f>
        <v>1379852</v>
      </c>
      <c r="E157" s="24">
        <f>SUM(E152:E156)</f>
        <v>1379852</v>
      </c>
    </row>
    <row r="158" spans="3:6" outlineLevel="1" x14ac:dyDescent="0.25"/>
    <row r="159" spans="3:6" outlineLevel="1" x14ac:dyDescent="0.25">
      <c r="C159" s="16" t="s">
        <v>95</v>
      </c>
    </row>
    <row r="160" spans="3:6" ht="24.75" outlineLevel="1" x14ac:dyDescent="0.25">
      <c r="C160" s="27" t="s">
        <v>96</v>
      </c>
      <c r="D160" s="28" t="s">
        <v>74</v>
      </c>
      <c r="E160" s="18" t="s">
        <v>75</v>
      </c>
    </row>
    <row r="161" spans="3:6" outlineLevel="1" x14ac:dyDescent="0.25">
      <c r="C161" s="29" t="s">
        <v>76</v>
      </c>
      <c r="D161" s="30">
        <v>46283</v>
      </c>
      <c r="E161" s="30"/>
    </row>
    <row r="162" spans="3:6" outlineLevel="1" x14ac:dyDescent="0.25">
      <c r="C162" s="29" t="s">
        <v>79</v>
      </c>
      <c r="D162" s="21">
        <v>9402245</v>
      </c>
      <c r="E162" s="21"/>
    </row>
    <row r="163" spans="3:6" outlineLevel="1" x14ac:dyDescent="0.25">
      <c r="C163" s="29" t="s">
        <v>28</v>
      </c>
      <c r="D163" s="21"/>
      <c r="E163" s="21">
        <v>1775136</v>
      </c>
    </row>
    <row r="164" spans="3:6" outlineLevel="1" x14ac:dyDescent="0.25">
      <c r="C164" s="29" t="s">
        <v>97</v>
      </c>
      <c r="D164" s="21"/>
      <c r="E164" s="21">
        <f>+D161+D162-E163</f>
        <v>7673392</v>
      </c>
    </row>
    <row r="165" spans="3:6" outlineLevel="1" x14ac:dyDescent="0.25">
      <c r="C165" s="23" t="s">
        <v>87</v>
      </c>
      <c r="D165" s="24">
        <f>SUM(D161:D164)</f>
        <v>9448528</v>
      </c>
      <c r="E165" s="24">
        <f>SUM(E161:E164)</f>
        <v>9448528</v>
      </c>
    </row>
    <row r="166" spans="3:6" outlineLevel="1" x14ac:dyDescent="0.25"/>
    <row r="167" spans="3:6" outlineLevel="1" x14ac:dyDescent="0.25">
      <c r="C167" s="16" t="s">
        <v>98</v>
      </c>
    </row>
    <row r="168" spans="3:6" ht="24.75" outlineLevel="1" x14ac:dyDescent="0.25">
      <c r="C168" s="27" t="s">
        <v>99</v>
      </c>
      <c r="D168" s="28" t="s">
        <v>74</v>
      </c>
      <c r="E168" s="18" t="s">
        <v>75</v>
      </c>
    </row>
    <row r="169" spans="3:6" outlineLevel="1" x14ac:dyDescent="0.25">
      <c r="C169" s="29" t="s">
        <v>79</v>
      </c>
      <c r="D169" s="21">
        <v>1188714</v>
      </c>
      <c r="E169" s="21"/>
    </row>
    <row r="170" spans="3:6" outlineLevel="1" x14ac:dyDescent="0.25">
      <c r="C170" s="29" t="s">
        <v>97</v>
      </c>
      <c r="D170" s="21"/>
      <c r="E170" s="21">
        <f>+D169</f>
        <v>1188714</v>
      </c>
      <c r="F170" s="14"/>
    </row>
    <row r="171" spans="3:6" outlineLevel="1" x14ac:dyDescent="0.25">
      <c r="C171" s="23" t="s">
        <v>87</v>
      </c>
      <c r="D171" s="24">
        <f>SUM(D169:D170)</f>
        <v>1188714</v>
      </c>
      <c r="E171" s="24">
        <f>SUM(E169:E170)</f>
        <v>1188714</v>
      </c>
    </row>
    <row r="172" spans="3:6" outlineLevel="1" x14ac:dyDescent="0.25"/>
    <row r="173" spans="3:6" outlineLevel="1" x14ac:dyDescent="0.25">
      <c r="C173" s="16" t="s">
        <v>100</v>
      </c>
    </row>
    <row r="174" spans="3:6" outlineLevel="1" x14ac:dyDescent="0.25">
      <c r="C174" s="27" t="s">
        <v>101</v>
      </c>
      <c r="D174" s="28" t="s">
        <v>74</v>
      </c>
      <c r="E174" s="18" t="s">
        <v>75</v>
      </c>
    </row>
    <row r="175" spans="3:6" outlineLevel="1" x14ac:dyDescent="0.25">
      <c r="C175" s="29" t="s">
        <v>102</v>
      </c>
      <c r="D175" s="21">
        <f>+E177-D176</f>
        <v>72642</v>
      </c>
      <c r="E175" s="21"/>
    </row>
    <row r="176" spans="3:6" outlineLevel="1" x14ac:dyDescent="0.25">
      <c r="C176" s="29" t="s">
        <v>82</v>
      </c>
      <c r="D176" s="21">
        <v>78648</v>
      </c>
      <c r="E176" s="21"/>
    </row>
    <row r="177" spans="2:6" outlineLevel="1" x14ac:dyDescent="0.25">
      <c r="C177" s="31" t="s">
        <v>103</v>
      </c>
      <c r="D177" s="20"/>
      <c r="E177" s="20">
        <v>151290</v>
      </c>
      <c r="F177" s="14">
        <f>+E177</f>
        <v>151290</v>
      </c>
    </row>
    <row r="178" spans="2:6" outlineLevel="1" x14ac:dyDescent="0.25">
      <c r="C178" s="23" t="s">
        <v>87</v>
      </c>
      <c r="D178" s="24">
        <f>SUM(D175:D177)</f>
        <v>151290</v>
      </c>
      <c r="E178" s="24">
        <f>SUM(E175:E177)</f>
        <v>151290</v>
      </c>
    </row>
    <row r="179" spans="2:6" s="1" customFormat="1" ht="12" outlineLevel="1" x14ac:dyDescent="0.2">
      <c r="B179" s="2"/>
      <c r="C179" s="32"/>
      <c r="D179" s="33"/>
      <c r="E179" s="33"/>
    </row>
    <row r="180" spans="2:6" outlineLevel="1" x14ac:dyDescent="0.25">
      <c r="C180" s="16" t="s">
        <v>104</v>
      </c>
      <c r="D180" s="11"/>
      <c r="E180" s="11"/>
    </row>
    <row r="181" spans="2:6" ht="24.75" outlineLevel="1" x14ac:dyDescent="0.25">
      <c r="C181" s="27" t="s">
        <v>105</v>
      </c>
      <c r="D181" s="28" t="s">
        <v>74</v>
      </c>
      <c r="E181" s="18" t="s">
        <v>75</v>
      </c>
    </row>
    <row r="182" spans="2:6" outlineLevel="1" x14ac:dyDescent="0.25">
      <c r="C182" s="29" t="s">
        <v>106</v>
      </c>
      <c r="D182" s="21">
        <v>1260047</v>
      </c>
      <c r="E182" s="21"/>
    </row>
    <row r="183" spans="2:6" outlineLevel="1" x14ac:dyDescent="0.25">
      <c r="C183" s="29" t="s">
        <v>84</v>
      </c>
      <c r="D183" s="21"/>
      <c r="E183" s="21">
        <f>+D182</f>
        <v>1260047</v>
      </c>
    </row>
    <row r="184" spans="2:6" outlineLevel="1" x14ac:dyDescent="0.25">
      <c r="C184" s="23" t="s">
        <v>87</v>
      </c>
      <c r="D184" s="24">
        <f>SUM(D182:D183)</f>
        <v>1260047</v>
      </c>
      <c r="E184" s="24">
        <f>SUM(E182:E183)</f>
        <v>1260047</v>
      </c>
    </row>
    <row r="185" spans="2:6" outlineLevel="1" x14ac:dyDescent="0.25"/>
    <row r="186" spans="2:6" outlineLevel="1" x14ac:dyDescent="0.25">
      <c r="C186" s="16" t="s">
        <v>107</v>
      </c>
      <c r="D186" s="11"/>
      <c r="E186" s="11"/>
    </row>
    <row r="187" spans="2:6" ht="24.75" outlineLevel="1" x14ac:dyDescent="0.25">
      <c r="C187" s="27" t="s">
        <v>108</v>
      </c>
      <c r="D187" s="28" t="s">
        <v>74</v>
      </c>
      <c r="E187" s="18" t="s">
        <v>75</v>
      </c>
    </row>
    <row r="188" spans="2:6" outlineLevel="1" x14ac:dyDescent="0.25">
      <c r="C188" s="29" t="s">
        <v>106</v>
      </c>
      <c r="D188" s="21">
        <f>-[1]PAT20!E7</f>
        <v>3200</v>
      </c>
      <c r="E188" s="21"/>
    </row>
    <row r="189" spans="2:6" outlineLevel="1" x14ac:dyDescent="0.25">
      <c r="C189" s="29" t="s">
        <v>109</v>
      </c>
      <c r="D189" s="21"/>
      <c r="E189" s="21">
        <f>+D188</f>
        <v>3200</v>
      </c>
    </row>
    <row r="190" spans="2:6" outlineLevel="1" x14ac:dyDescent="0.25">
      <c r="C190" s="23" t="s">
        <v>87</v>
      </c>
      <c r="D190" s="24">
        <f>SUM(D188:D189)</f>
        <v>3200</v>
      </c>
      <c r="E190" s="24">
        <f>SUM(E188:E189)</f>
        <v>3200</v>
      </c>
    </row>
    <row r="191" spans="2:6" outlineLevel="1" x14ac:dyDescent="0.25"/>
    <row r="192" spans="2:6" outlineLevel="1" x14ac:dyDescent="0.25">
      <c r="C192" s="16" t="s">
        <v>110</v>
      </c>
    </row>
    <row r="193" spans="3:7" ht="24.75" outlineLevel="1" x14ac:dyDescent="0.25">
      <c r="C193" s="34" t="s">
        <v>111</v>
      </c>
      <c r="D193" s="35"/>
      <c r="E193" s="35"/>
    </row>
    <row r="194" spans="3:7" outlineLevel="1" x14ac:dyDescent="0.25">
      <c r="C194" s="36" t="s">
        <v>112</v>
      </c>
      <c r="D194" s="37">
        <v>4805916</v>
      </c>
      <c r="E194" s="38"/>
    </row>
    <row r="195" spans="3:7" outlineLevel="1" x14ac:dyDescent="0.25">
      <c r="C195" s="36" t="s">
        <v>113</v>
      </c>
      <c r="D195" s="37">
        <v>6382377</v>
      </c>
      <c r="E195" s="38"/>
    </row>
    <row r="196" spans="3:7" outlineLevel="1" x14ac:dyDescent="0.25">
      <c r="C196" s="39" t="s">
        <v>79</v>
      </c>
      <c r="D196" s="40">
        <v>3608585</v>
      </c>
      <c r="E196" s="38"/>
      <c r="F196" s="14">
        <f>-D196-D197-D198</f>
        <v>-4568947</v>
      </c>
      <c r="G196" s="14"/>
    </row>
    <row r="197" spans="3:7" outlineLevel="1" x14ac:dyDescent="0.25">
      <c r="C197" s="39" t="s">
        <v>28</v>
      </c>
      <c r="D197" s="40">
        <f>+'[1]Saldos interco.'!C26</f>
        <v>950362</v>
      </c>
      <c r="E197" s="38"/>
      <c r="G197" s="14"/>
    </row>
    <row r="198" spans="3:7" outlineLevel="1" x14ac:dyDescent="0.25">
      <c r="C198" s="39" t="s">
        <v>76</v>
      </c>
      <c r="D198" s="40">
        <f>+'[1]Saldos interco.'!C50</f>
        <v>10000</v>
      </c>
      <c r="E198" s="38"/>
    </row>
    <row r="199" spans="3:7" outlineLevel="1" x14ac:dyDescent="0.25">
      <c r="C199" s="41" t="s">
        <v>114</v>
      </c>
      <c r="D199" s="42">
        <v>96880</v>
      </c>
      <c r="E199" s="43"/>
    </row>
    <row r="200" spans="3:7" outlineLevel="1" x14ac:dyDescent="0.25">
      <c r="C200" s="36" t="s">
        <v>115</v>
      </c>
      <c r="D200" s="38"/>
      <c r="E200" s="37">
        <v>12906577</v>
      </c>
    </row>
    <row r="201" spans="3:7" outlineLevel="1" x14ac:dyDescent="0.25">
      <c r="C201" s="36" t="s">
        <v>116</v>
      </c>
      <c r="D201" s="38"/>
      <c r="E201" s="37">
        <v>156308</v>
      </c>
    </row>
    <row r="202" spans="3:7" outlineLevel="1" x14ac:dyDescent="0.25">
      <c r="C202" s="44" t="s">
        <v>117</v>
      </c>
      <c r="D202" s="45"/>
      <c r="E202" s="46">
        <v>1068329</v>
      </c>
    </row>
    <row r="203" spans="3:7" outlineLevel="1" x14ac:dyDescent="0.25">
      <c r="C203" s="44" t="s">
        <v>85</v>
      </c>
      <c r="D203" s="45"/>
      <c r="E203" s="46">
        <f>+'[1]Saldos interco.'!D55</f>
        <v>1193125</v>
      </c>
    </row>
    <row r="204" spans="3:7" outlineLevel="1" x14ac:dyDescent="0.25">
      <c r="C204" s="44" t="s">
        <v>118</v>
      </c>
      <c r="D204" s="45"/>
      <c r="E204" s="47">
        <v>529781</v>
      </c>
    </row>
    <row r="205" spans="3:7" outlineLevel="1" x14ac:dyDescent="0.25">
      <c r="C205" s="48" t="s">
        <v>87</v>
      </c>
      <c r="D205" s="49">
        <f>SUM(D194:D204)</f>
        <v>15854120</v>
      </c>
      <c r="E205" s="49">
        <f>SUM(E194:E204)</f>
        <v>15854120</v>
      </c>
      <c r="F205" s="14">
        <f>+D205-E205</f>
        <v>0</v>
      </c>
    </row>
    <row r="206" spans="3:7" outlineLevel="1" x14ac:dyDescent="0.25">
      <c r="C206" s="50"/>
      <c r="D206" s="51"/>
      <c r="E206" s="51"/>
      <c r="F206" s="14"/>
    </row>
    <row r="207" spans="3:7" outlineLevel="1" x14ac:dyDescent="0.25">
      <c r="C207" s="16" t="s">
        <v>119</v>
      </c>
      <c r="D207" s="11"/>
      <c r="E207" s="11"/>
      <c r="F207" s="14"/>
    </row>
    <row r="208" spans="3:7" outlineLevel="1" x14ac:dyDescent="0.25">
      <c r="C208" s="27" t="s">
        <v>120</v>
      </c>
      <c r="D208" s="28" t="s">
        <v>74</v>
      </c>
      <c r="E208" s="18" t="s">
        <v>75</v>
      </c>
      <c r="F208" s="14"/>
    </row>
    <row r="209" spans="3:6" outlineLevel="1" x14ac:dyDescent="0.25">
      <c r="C209" s="29" t="s">
        <v>121</v>
      </c>
      <c r="D209" s="21">
        <f>547903*0.49</f>
        <v>268472.46999999997</v>
      </c>
      <c r="E209" s="21"/>
      <c r="F209" s="14"/>
    </row>
    <row r="210" spans="3:6" outlineLevel="1" x14ac:dyDescent="0.25">
      <c r="C210" s="31" t="s">
        <v>122</v>
      </c>
      <c r="D210" s="20"/>
      <c r="E210" s="20">
        <f>+D209</f>
        <v>268472.46999999997</v>
      </c>
      <c r="F210" s="14">
        <f>+E210</f>
        <v>268472.46999999997</v>
      </c>
    </row>
    <row r="211" spans="3:6" outlineLevel="1" x14ac:dyDescent="0.25">
      <c r="C211" s="23" t="s">
        <v>87</v>
      </c>
      <c r="D211" s="24">
        <f>SUM(D209:D210)</f>
        <v>268472.46999999997</v>
      </c>
      <c r="E211" s="24">
        <f>SUM(E209:E210)</f>
        <v>268472.46999999997</v>
      </c>
      <c r="F211" s="14">
        <f>+D211-E211</f>
        <v>0</v>
      </c>
    </row>
    <row r="212" spans="3:6" outlineLevel="1" x14ac:dyDescent="0.25"/>
    <row r="213" spans="3:6" outlineLevel="1" x14ac:dyDescent="0.25">
      <c r="C213" s="16" t="s">
        <v>123</v>
      </c>
      <c r="D213" s="11"/>
      <c r="E213" s="11"/>
      <c r="F213" s="14"/>
    </row>
    <row r="214" spans="3:6" ht="24.75" outlineLevel="1" x14ac:dyDescent="0.25">
      <c r="C214" s="27" t="s">
        <v>124</v>
      </c>
      <c r="D214" s="28" t="s">
        <v>74</v>
      </c>
      <c r="E214" s="18" t="s">
        <v>75</v>
      </c>
      <c r="F214" s="14"/>
    </row>
    <row r="215" spans="3:6" outlineLevel="1" x14ac:dyDescent="0.25">
      <c r="C215" s="29" t="s">
        <v>125</v>
      </c>
      <c r="D215" s="21">
        <f>253847+252910</f>
        <v>506757</v>
      </c>
      <c r="E215" s="21"/>
      <c r="F215" s="14"/>
    </row>
    <row r="216" spans="3:6" outlineLevel="1" x14ac:dyDescent="0.25">
      <c r="C216" s="29" t="s">
        <v>126</v>
      </c>
      <c r="D216" s="21"/>
      <c r="E216" s="21">
        <f>+D215</f>
        <v>506757</v>
      </c>
      <c r="F216" s="14"/>
    </row>
    <row r="217" spans="3:6" outlineLevel="1" x14ac:dyDescent="0.25">
      <c r="C217" s="23" t="s">
        <v>87</v>
      </c>
      <c r="D217" s="24">
        <f>SUM(D215:D216)</f>
        <v>506757</v>
      </c>
      <c r="E217" s="24">
        <f>SUM(E215:E216)</f>
        <v>506757</v>
      </c>
      <c r="F217" s="14">
        <f>+D217-E217</f>
        <v>0</v>
      </c>
    </row>
    <row r="218" spans="3:6" outlineLevel="1" x14ac:dyDescent="0.25">
      <c r="D218" s="33"/>
      <c r="E218" s="33"/>
      <c r="F218" s="14"/>
    </row>
    <row r="219" spans="3:6" outlineLevel="1" x14ac:dyDescent="0.25">
      <c r="C219" s="16" t="s">
        <v>127</v>
      </c>
      <c r="D219" s="11"/>
      <c r="E219" s="11"/>
      <c r="F219" s="14"/>
    </row>
    <row r="220" spans="3:6" ht="24.75" outlineLevel="1" x14ac:dyDescent="0.25">
      <c r="C220" s="27" t="s">
        <v>128</v>
      </c>
      <c r="D220" s="28" t="s">
        <v>74</v>
      </c>
      <c r="E220" s="18" t="s">
        <v>75</v>
      </c>
      <c r="F220" s="14"/>
    </row>
    <row r="221" spans="3:6" outlineLevel="1" x14ac:dyDescent="0.25">
      <c r="C221" s="29" t="s">
        <v>129</v>
      </c>
      <c r="D221" s="21">
        <v>122179</v>
      </c>
      <c r="E221" s="21"/>
      <c r="F221" s="14"/>
    </row>
    <row r="222" spans="3:6" outlineLevel="1" x14ac:dyDescent="0.25">
      <c r="C222" s="29" t="s">
        <v>130</v>
      </c>
      <c r="D222" s="21"/>
      <c r="E222" s="21">
        <v>3200</v>
      </c>
      <c r="F222" s="14"/>
    </row>
    <row r="223" spans="3:6" outlineLevel="1" x14ac:dyDescent="0.25">
      <c r="C223" s="29" t="s">
        <v>109</v>
      </c>
      <c r="D223" s="21"/>
      <c r="E223" s="21">
        <v>6800</v>
      </c>
      <c r="F223" s="14"/>
    </row>
    <row r="224" spans="3:6" outlineLevel="1" x14ac:dyDescent="0.25">
      <c r="C224" s="29" t="s">
        <v>131</v>
      </c>
      <c r="D224" s="21"/>
      <c r="E224" s="21">
        <v>74427</v>
      </c>
      <c r="F224" s="14"/>
    </row>
    <row r="225" spans="3:7" outlineLevel="1" x14ac:dyDescent="0.25">
      <c r="C225" s="29" t="s">
        <v>132</v>
      </c>
      <c r="D225" s="21"/>
      <c r="E225" s="21">
        <v>1226</v>
      </c>
      <c r="F225" s="14"/>
    </row>
    <row r="226" spans="3:7" outlineLevel="1" x14ac:dyDescent="0.25">
      <c r="C226" s="29" t="s">
        <v>133</v>
      </c>
      <c r="D226" s="21"/>
      <c r="E226" s="21">
        <f>34763+1763</f>
        <v>36526</v>
      </c>
      <c r="G226" s="14">
        <f>+E226-D221</f>
        <v>-85653</v>
      </c>
    </row>
    <row r="227" spans="3:7" outlineLevel="1" x14ac:dyDescent="0.25">
      <c r="C227" s="23" t="s">
        <v>87</v>
      </c>
      <c r="D227" s="24">
        <f>SUM(D221:D226)</f>
        <v>122179</v>
      </c>
      <c r="E227" s="24">
        <f>SUM(E221:E226)</f>
        <v>122179</v>
      </c>
      <c r="F227" s="14"/>
    </row>
    <row r="228" spans="3:7" outlineLevel="1" x14ac:dyDescent="0.25">
      <c r="D228" s="33"/>
      <c r="E228" s="33"/>
      <c r="F228" s="14"/>
    </row>
    <row r="229" spans="3:7" outlineLevel="1" x14ac:dyDescent="0.25">
      <c r="C229" s="16" t="s">
        <v>134</v>
      </c>
      <c r="D229" s="11"/>
      <c r="E229" s="11"/>
      <c r="F229" s="14"/>
    </row>
    <row r="230" spans="3:7" ht="24.75" outlineLevel="1" x14ac:dyDescent="0.25">
      <c r="C230" s="27" t="s">
        <v>135</v>
      </c>
      <c r="D230" s="28" t="s">
        <v>74</v>
      </c>
      <c r="E230" s="18" t="s">
        <v>75</v>
      </c>
      <c r="F230" s="14"/>
    </row>
    <row r="231" spans="3:7" outlineLevel="1" x14ac:dyDescent="0.25">
      <c r="C231" s="29" t="s">
        <v>82</v>
      </c>
      <c r="D231" s="21">
        <v>50000</v>
      </c>
      <c r="E231" s="21"/>
      <c r="F231" s="14"/>
    </row>
    <row r="232" spans="3:7" outlineLevel="1" x14ac:dyDescent="0.25">
      <c r="C232" s="31" t="s">
        <v>136</v>
      </c>
      <c r="D232" s="20"/>
      <c r="E232" s="20">
        <f>+D231</f>
        <v>50000</v>
      </c>
      <c r="F232" s="14">
        <f>+E232</f>
        <v>50000</v>
      </c>
    </row>
    <row r="233" spans="3:7" outlineLevel="1" x14ac:dyDescent="0.25">
      <c r="C233" s="23" t="s">
        <v>87</v>
      </c>
      <c r="D233" s="24">
        <f>SUM(D231:D232)</f>
        <v>50000</v>
      </c>
      <c r="E233" s="24">
        <f>SUM(E231:E232)</f>
        <v>50000</v>
      </c>
      <c r="F233" s="14">
        <f>+D233-E233</f>
        <v>0</v>
      </c>
    </row>
    <row r="234" spans="3:7" outlineLevel="1" x14ac:dyDescent="0.25">
      <c r="D234" s="33"/>
      <c r="E234" s="33"/>
      <c r="F234" s="14"/>
    </row>
    <row r="235" spans="3:7" outlineLevel="1" x14ac:dyDescent="0.25">
      <c r="C235" s="16" t="s">
        <v>137</v>
      </c>
      <c r="D235" s="11"/>
      <c r="E235" s="11"/>
      <c r="F235" s="14"/>
    </row>
    <row r="236" spans="3:7" ht="24.75" outlineLevel="1" x14ac:dyDescent="0.25">
      <c r="C236" s="27" t="s">
        <v>138</v>
      </c>
      <c r="D236" s="28" t="s">
        <v>74</v>
      </c>
      <c r="E236" s="18" t="s">
        <v>75</v>
      </c>
      <c r="F236" s="14"/>
    </row>
    <row r="237" spans="3:7" outlineLevel="1" x14ac:dyDescent="0.25">
      <c r="C237" s="29" t="s">
        <v>114</v>
      </c>
      <c r="D237" s="21">
        <v>696631</v>
      </c>
      <c r="E237" s="21"/>
      <c r="F237" s="14"/>
    </row>
    <row r="238" spans="3:7" outlineLevel="1" x14ac:dyDescent="0.25">
      <c r="C238" s="29" t="s">
        <v>139</v>
      </c>
      <c r="D238" s="21"/>
      <c r="E238" s="21">
        <f>+D237</f>
        <v>696631</v>
      </c>
      <c r="F238" s="14"/>
    </row>
    <row r="239" spans="3:7" outlineLevel="1" x14ac:dyDescent="0.25">
      <c r="C239" s="23" t="s">
        <v>87</v>
      </c>
      <c r="D239" s="24">
        <f>SUM(D237:D238)</f>
        <v>696631</v>
      </c>
      <c r="E239" s="24">
        <f>SUM(E237:E238)</f>
        <v>696631</v>
      </c>
      <c r="F239" s="14">
        <f>+D239-E239</f>
        <v>0</v>
      </c>
    </row>
    <row r="240" spans="3:7" outlineLevel="1" x14ac:dyDescent="0.25">
      <c r="D240" s="33"/>
      <c r="E240" s="33"/>
      <c r="F240" s="14"/>
    </row>
    <row r="241" spans="2:6" outlineLevel="1" x14ac:dyDescent="0.25">
      <c r="D241" s="24">
        <f>+D184+D171+D165+D157+D148+D205+D190+D211+D217+D233+D239</f>
        <v>69145650.469999999</v>
      </c>
      <c r="E241" s="24">
        <f>+E184+E171+E165+E157+E148+E205+E190+E211+E217+E233+E239</f>
        <v>69145650.469999999</v>
      </c>
      <c r="F241" s="14">
        <f>SUM(F137:F239)</f>
        <v>-37706077.530000001</v>
      </c>
    </row>
    <row r="243" spans="2:6" x14ac:dyDescent="0.25">
      <c r="B243" s="52" t="s">
        <v>140</v>
      </c>
      <c r="D243" s="53"/>
      <c r="E243" s="53"/>
    </row>
    <row r="244" spans="2:6" x14ac:dyDescent="0.25">
      <c r="C244" s="16" t="s">
        <v>72</v>
      </c>
      <c r="D244" s="53"/>
      <c r="E244" s="53"/>
    </row>
    <row r="245" spans="2:6" x14ac:dyDescent="0.25">
      <c r="C245" s="17" t="s">
        <v>73</v>
      </c>
      <c r="D245" s="18" t="s">
        <v>74</v>
      </c>
      <c r="E245" s="18" t="s">
        <v>75</v>
      </c>
    </row>
    <row r="246" spans="2:6" x14ac:dyDescent="0.25">
      <c r="C246" s="22" t="s">
        <v>76</v>
      </c>
      <c r="D246" s="54">
        <f>4753717-E223-E189</f>
        <v>4743717</v>
      </c>
      <c r="E246" s="54"/>
    </row>
    <row r="247" spans="2:6" x14ac:dyDescent="0.25">
      <c r="C247" s="22" t="s">
        <v>77</v>
      </c>
      <c r="D247" s="54">
        <f>74927-E224</f>
        <v>500</v>
      </c>
      <c r="E247" s="54"/>
    </row>
    <row r="248" spans="2:6" x14ac:dyDescent="0.25">
      <c r="C248" s="22" t="s">
        <v>78</v>
      </c>
      <c r="D248" s="54">
        <f>D139-E225</f>
        <v>109973</v>
      </c>
      <c r="E248" s="54"/>
    </row>
    <row r="249" spans="2:6" x14ac:dyDescent="0.25">
      <c r="C249" s="22" t="s">
        <v>79</v>
      </c>
      <c r="D249" s="54">
        <v>31237644</v>
      </c>
      <c r="E249" s="54"/>
    </row>
    <row r="250" spans="2:6" x14ac:dyDescent="0.25">
      <c r="C250" s="22" t="s">
        <v>80</v>
      </c>
      <c r="D250" s="54">
        <f>D141+D152-E177</f>
        <v>1502112</v>
      </c>
      <c r="E250" s="54"/>
    </row>
    <row r="251" spans="2:6" x14ac:dyDescent="0.25">
      <c r="C251" s="22" t="s">
        <v>81</v>
      </c>
      <c r="D251" s="54">
        <f>D142-E154+D175</f>
        <v>47450</v>
      </c>
      <c r="E251" s="54"/>
    </row>
    <row r="252" spans="2:6" x14ac:dyDescent="0.25">
      <c r="C252" s="22" t="s">
        <v>82</v>
      </c>
      <c r="D252" s="54">
        <f>D143+D176</f>
        <v>472983</v>
      </c>
      <c r="E252" s="54"/>
    </row>
    <row r="253" spans="2:6" x14ac:dyDescent="0.25">
      <c r="C253" s="22" t="s">
        <v>141</v>
      </c>
      <c r="D253" s="54">
        <v>25218</v>
      </c>
      <c r="E253" s="54"/>
    </row>
    <row r="254" spans="2:6" x14ac:dyDescent="0.25">
      <c r="C254" s="22" t="s">
        <v>142</v>
      </c>
      <c r="D254" s="54"/>
      <c r="E254" s="54">
        <f>E145+E155+E156-D153+182819</f>
        <v>4432033</v>
      </c>
    </row>
    <row r="255" spans="2:6" x14ac:dyDescent="0.25">
      <c r="C255" s="22" t="s">
        <v>85</v>
      </c>
      <c r="D255" s="55"/>
      <c r="E255" s="55">
        <f>34505817-D209</f>
        <v>34237344.530000001</v>
      </c>
    </row>
    <row r="256" spans="2:6" x14ac:dyDescent="0.25">
      <c r="C256" s="56" t="s">
        <v>86</v>
      </c>
      <c r="D256" s="57">
        <v>529781</v>
      </c>
      <c r="E256" s="55"/>
    </row>
    <row r="257" spans="3:6" x14ac:dyDescent="0.25">
      <c r="C257" s="23" t="s">
        <v>87</v>
      </c>
      <c r="D257" s="58">
        <f>SUM(D246:D256)</f>
        <v>38669378</v>
      </c>
      <c r="E257" s="58">
        <f>SUM(E246:E256)</f>
        <v>38669377.530000001</v>
      </c>
      <c r="F257" s="14">
        <f>+D257-E257</f>
        <v>0.4699999988079071</v>
      </c>
    </row>
    <row r="258" spans="3:6" x14ac:dyDescent="0.25">
      <c r="D258" s="53"/>
      <c r="E258" s="53"/>
    </row>
    <row r="259" spans="3:6" x14ac:dyDescent="0.25">
      <c r="C259" s="16" t="s">
        <v>88</v>
      </c>
      <c r="D259" s="53"/>
      <c r="E259" s="53"/>
    </row>
    <row r="260" spans="3:6" ht="24.75" x14ac:dyDescent="0.25">
      <c r="C260" s="27" t="s">
        <v>96</v>
      </c>
      <c r="D260" s="28" t="s">
        <v>74</v>
      </c>
      <c r="E260" s="18" t="s">
        <v>75</v>
      </c>
    </row>
    <row r="261" spans="3:6" x14ac:dyDescent="0.25">
      <c r="C261" s="29" t="s">
        <v>76</v>
      </c>
      <c r="D261" s="59">
        <f>D161</f>
        <v>46283</v>
      </c>
      <c r="E261" s="59">
        <f>E161</f>
        <v>0</v>
      </c>
    </row>
    <row r="262" spans="3:6" x14ac:dyDescent="0.25">
      <c r="C262" s="29" t="s">
        <v>79</v>
      </c>
      <c r="D262" s="55">
        <f>D162+D169</f>
        <v>10590959</v>
      </c>
      <c r="E262" s="55">
        <f>E162+E169</f>
        <v>0</v>
      </c>
    </row>
    <row r="263" spans="3:6" x14ac:dyDescent="0.25">
      <c r="C263" s="29" t="s">
        <v>143</v>
      </c>
      <c r="D263" s="55">
        <f>D163+D183</f>
        <v>0</v>
      </c>
      <c r="E263" s="55">
        <f>E163+E183</f>
        <v>3035183</v>
      </c>
    </row>
    <row r="264" spans="3:6" x14ac:dyDescent="0.25">
      <c r="C264" s="29" t="s">
        <v>144</v>
      </c>
      <c r="D264" s="55"/>
      <c r="E264" s="55">
        <f>E164+E170-D182</f>
        <v>7602059</v>
      </c>
      <c r="F264" s="14"/>
    </row>
    <row r="265" spans="3:6" x14ac:dyDescent="0.25">
      <c r="C265" s="23" t="s">
        <v>87</v>
      </c>
      <c r="D265" s="58">
        <f>SUM(D261:D264)</f>
        <v>10637242</v>
      </c>
      <c r="E265" s="58">
        <f>SUM(E261:E264)</f>
        <v>10637242</v>
      </c>
      <c r="F265" s="14">
        <f>+D265-E265</f>
        <v>0</v>
      </c>
    </row>
    <row r="267" spans="3:6" x14ac:dyDescent="0.25">
      <c r="C267" s="60" t="s">
        <v>95</v>
      </c>
      <c r="D267" s="11"/>
      <c r="E267" s="11"/>
      <c r="F267" s="14"/>
    </row>
    <row r="268" spans="3:6" ht="24.75" x14ac:dyDescent="0.25">
      <c r="C268" s="27" t="s">
        <v>145</v>
      </c>
      <c r="D268" s="28" t="s">
        <v>74</v>
      </c>
      <c r="E268" s="18" t="s">
        <v>75</v>
      </c>
      <c r="F268" s="14"/>
    </row>
    <row r="269" spans="3:6" x14ac:dyDescent="0.25">
      <c r="C269" s="29" t="s">
        <v>143</v>
      </c>
      <c r="D269" s="21">
        <v>950362</v>
      </c>
      <c r="E269" s="21"/>
      <c r="F269" s="14"/>
    </row>
    <row r="270" spans="3:6" x14ac:dyDescent="0.25">
      <c r="C270" s="29" t="s">
        <v>146</v>
      </c>
      <c r="D270" s="21"/>
      <c r="E270" s="21">
        <f>+D269</f>
        <v>950362</v>
      </c>
      <c r="F270" s="14"/>
    </row>
    <row r="271" spans="3:6" x14ac:dyDescent="0.25">
      <c r="C271" s="23" t="s">
        <v>87</v>
      </c>
      <c r="D271" s="24">
        <f>SUM(D269:D270)</f>
        <v>950362</v>
      </c>
      <c r="E271" s="24">
        <f>SUM(E269:E270)</f>
        <v>950362</v>
      </c>
      <c r="F271" s="14">
        <f>+D271-E271</f>
        <v>0</v>
      </c>
    </row>
    <row r="272" spans="3:6" x14ac:dyDescent="0.25">
      <c r="D272" s="33"/>
      <c r="E272" s="33"/>
      <c r="F272" s="14"/>
    </row>
    <row r="273" spans="3:6" x14ac:dyDescent="0.25">
      <c r="C273" s="60" t="s">
        <v>98</v>
      </c>
      <c r="D273" s="11"/>
      <c r="E273" s="11"/>
      <c r="F273" s="14"/>
    </row>
    <row r="274" spans="3:6" ht="24.75" x14ac:dyDescent="0.25">
      <c r="C274" s="27" t="s">
        <v>147</v>
      </c>
      <c r="D274" s="28" t="s">
        <v>74</v>
      </c>
      <c r="E274" s="18" t="s">
        <v>75</v>
      </c>
      <c r="F274" s="14"/>
    </row>
    <row r="275" spans="3:6" x14ac:dyDescent="0.25">
      <c r="C275" s="29" t="s">
        <v>28</v>
      </c>
      <c r="D275" s="21">
        <v>2534340</v>
      </c>
      <c r="E275" s="21"/>
      <c r="F275" s="14"/>
    </row>
    <row r="276" spans="3:6" x14ac:dyDescent="0.25">
      <c r="C276" s="29" t="s">
        <v>148</v>
      </c>
      <c r="D276" s="21"/>
      <c r="E276" s="21">
        <f>+D275</f>
        <v>2534340</v>
      </c>
      <c r="F276" s="14"/>
    </row>
    <row r="277" spans="3:6" x14ac:dyDescent="0.25">
      <c r="C277" s="23" t="s">
        <v>87</v>
      </c>
      <c r="D277" s="24">
        <f>SUM(D275:D276)</f>
        <v>2534340</v>
      </c>
      <c r="E277" s="24">
        <f>SUM(E275:E276)</f>
        <v>2534340</v>
      </c>
      <c r="F277" s="14">
        <f>+D277-E277</f>
        <v>0</v>
      </c>
    </row>
    <row r="278" spans="3:6" x14ac:dyDescent="0.25">
      <c r="D278" s="33"/>
      <c r="E278" s="33"/>
      <c r="F278" s="14"/>
    </row>
    <row r="279" spans="3:6" x14ac:dyDescent="0.25">
      <c r="C279" s="60" t="s">
        <v>100</v>
      </c>
      <c r="D279" s="11"/>
      <c r="E279" s="11"/>
      <c r="F279" s="14"/>
    </row>
    <row r="280" spans="3:6" ht="24.75" x14ac:dyDescent="0.25">
      <c r="C280" s="27" t="s">
        <v>149</v>
      </c>
      <c r="D280" s="28" t="s">
        <v>74</v>
      </c>
      <c r="E280" s="18" t="s">
        <v>75</v>
      </c>
      <c r="F280" s="14"/>
    </row>
    <row r="281" spans="3:6" x14ac:dyDescent="0.25">
      <c r="C281" s="29" t="s">
        <v>77</v>
      </c>
      <c r="D281" s="21">
        <v>104043</v>
      </c>
      <c r="E281" s="21"/>
      <c r="F281" s="14"/>
    </row>
    <row r="282" spans="3:6" x14ac:dyDescent="0.25">
      <c r="C282" s="29" t="s">
        <v>150</v>
      </c>
      <c r="D282" s="21">
        <v>78647</v>
      </c>
      <c r="E282" s="21"/>
      <c r="F282" s="14"/>
    </row>
    <row r="283" spans="3:6" x14ac:dyDescent="0.25">
      <c r="C283" s="29" t="s">
        <v>151</v>
      </c>
      <c r="D283" s="21">
        <v>2008798</v>
      </c>
      <c r="E283" s="21"/>
      <c r="F283" s="14"/>
    </row>
    <row r="284" spans="3:6" x14ac:dyDescent="0.25">
      <c r="C284" s="61" t="s">
        <v>92</v>
      </c>
      <c r="D284" s="62"/>
      <c r="E284" s="62">
        <f>2081441+6004</f>
        <v>2087445</v>
      </c>
      <c r="F284" s="14"/>
    </row>
    <row r="285" spans="3:6" x14ac:dyDescent="0.25">
      <c r="C285" s="29" t="s">
        <v>142</v>
      </c>
      <c r="D285" s="21"/>
      <c r="E285" s="21">
        <f>+D281</f>
        <v>104043</v>
      </c>
      <c r="F285" s="14"/>
    </row>
    <row r="286" spans="3:6" x14ac:dyDescent="0.25">
      <c r="C286" s="23" t="s">
        <v>87</v>
      </c>
      <c r="D286" s="24">
        <f>SUM(D281:D285)</f>
        <v>2191488</v>
      </c>
      <c r="E286" s="24">
        <f>SUM(E281:E285)</f>
        <v>2191488</v>
      </c>
      <c r="F286" s="14">
        <f>+D286-E286</f>
        <v>0</v>
      </c>
    </row>
    <row r="287" spans="3:6" x14ac:dyDescent="0.25">
      <c r="D287" s="33"/>
      <c r="E287" s="33"/>
      <c r="F287" s="14"/>
    </row>
    <row r="288" spans="3:6" x14ac:dyDescent="0.25">
      <c r="C288" s="60" t="s">
        <v>104</v>
      </c>
      <c r="D288" s="11"/>
      <c r="E288" s="11"/>
      <c r="F288" s="14"/>
    </row>
    <row r="289" spans="3:6" ht="24.75" x14ac:dyDescent="0.25">
      <c r="C289" s="27" t="s">
        <v>152</v>
      </c>
      <c r="D289" s="28" t="s">
        <v>74</v>
      </c>
      <c r="E289" s="18" t="s">
        <v>75</v>
      </c>
      <c r="F289" s="14"/>
    </row>
    <row r="290" spans="3:6" x14ac:dyDescent="0.25">
      <c r="C290" s="29" t="s">
        <v>82</v>
      </c>
      <c r="D290" s="21">
        <v>50000</v>
      </c>
      <c r="E290" s="21"/>
      <c r="F290" s="14"/>
    </row>
    <row r="291" spans="3:6" x14ac:dyDescent="0.25">
      <c r="C291" s="29" t="s">
        <v>142</v>
      </c>
      <c r="D291" s="21"/>
      <c r="E291" s="21">
        <f>+D290</f>
        <v>50000</v>
      </c>
      <c r="F291" s="14"/>
    </row>
    <row r="292" spans="3:6" x14ac:dyDescent="0.25">
      <c r="C292" s="23" t="s">
        <v>87</v>
      </c>
      <c r="D292" s="24">
        <f>SUM(D290:D291)</f>
        <v>50000</v>
      </c>
      <c r="E292" s="24">
        <f>SUM(E290:E291)</f>
        <v>50000</v>
      </c>
      <c r="F292" s="14">
        <f>+D292-E292</f>
        <v>0</v>
      </c>
    </row>
    <row r="293" spans="3:6" x14ac:dyDescent="0.25">
      <c r="D293" s="33"/>
      <c r="E293" s="33"/>
      <c r="F293" s="14"/>
    </row>
    <row r="294" spans="3:6" x14ac:dyDescent="0.25">
      <c r="D294" s="24">
        <f>+D257+D265+D277+D271+D286+D292</f>
        <v>55032810</v>
      </c>
      <c r="E294" s="24">
        <f>+E257+E265+E277+E271+E286+E292</f>
        <v>55032809.530000001</v>
      </c>
      <c r="F294" s="14">
        <f>+D294-E294</f>
        <v>0.4699999988079071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2021-05-10T23:27:22Z</dcterms:created>
  <dcterms:modified xsi:type="dcterms:W3CDTF">2021-05-10T23:52:57Z</dcterms:modified>
</cp:coreProperties>
</file>