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carlo\OneDrive\Ambiente de Trabalho\Faculdade\5º ANO\Dissertação\Dados\"/>
    </mc:Choice>
  </mc:AlternateContent>
  <xr:revisionPtr revIDLastSave="0" documentId="13_ncr:1_{C5574357-155D-470C-A17C-E431380DE01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  <sheet name="NT Installed Capacity" sheetId="2" r:id="rId2"/>
    <sheet name="GA Installed Capacity" sheetId="3" r:id="rId3"/>
    <sheet name="DE Installed Capacity" sheetId="4" r:id="rId4"/>
    <sheet name="Electrolyzer" sheetId="5" r:id="rId5"/>
    <sheet name="Storage Salt Caverns" sheetId="7" r:id="rId6"/>
    <sheet name="Storage Pressurised Tanks" sheetId="9" r:id="rId7"/>
    <sheet name="Fuel Cells" sheetId="6" r:id="rId8"/>
    <sheet name="Compressors Reciprocating" sheetId="8" r:id="rId9"/>
    <sheet name="Compressor Reciprocating Piston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1" l="1"/>
  <c r="E46" i="1" s="1"/>
  <c r="L45" i="1"/>
  <c r="N45" i="1"/>
  <c r="B48" i="1" s="1"/>
  <c r="L46" i="1"/>
  <c r="B44" i="1" s="1"/>
  <c r="B46" i="1" s="1"/>
  <c r="B47" i="1" s="1"/>
  <c r="O46" i="1"/>
  <c r="B49" i="1" s="1"/>
  <c r="B45" i="1" s="1"/>
  <c r="P46" i="1"/>
  <c r="L47" i="1"/>
  <c r="E49" i="1"/>
  <c r="E45" i="1" s="1"/>
  <c r="L30" i="1"/>
  <c r="B29" i="1" s="1"/>
  <c r="B31" i="1" s="1"/>
  <c r="N30" i="1"/>
  <c r="B33" i="1" s="1"/>
  <c r="O31" i="1"/>
  <c r="B34" i="1" s="1"/>
  <c r="P31" i="1"/>
  <c r="D30" i="1" s="1"/>
  <c r="E34" i="1"/>
  <c r="E3" i="4"/>
  <c r="D48" i="1" l="1"/>
  <c r="D49" i="1"/>
  <c r="D45" i="1" s="1"/>
  <c r="C49" i="1"/>
  <c r="C45" i="1" s="1"/>
  <c r="E48" i="1"/>
  <c r="E47" i="1" s="1"/>
  <c r="C48" i="1"/>
  <c r="D44" i="1"/>
  <c r="D46" i="1" s="1"/>
  <c r="D47" i="1" s="1"/>
  <c r="C44" i="1"/>
  <c r="C46" i="1" s="1"/>
  <c r="C47" i="1" s="1"/>
  <c r="B32" i="1"/>
  <c r="C34" i="1"/>
  <c r="D34" i="1"/>
  <c r="E33" i="1"/>
  <c r="E30" i="1"/>
  <c r="D33" i="1"/>
  <c r="C30" i="1"/>
  <c r="D29" i="1"/>
  <c r="D31" i="1" s="1"/>
  <c r="D32" i="1" s="1"/>
  <c r="C29" i="1"/>
  <c r="C31" i="1" s="1"/>
  <c r="C33" i="1"/>
  <c r="E29" i="1"/>
  <c r="E31" i="1" s="1"/>
  <c r="E32" i="1" s="1"/>
  <c r="F3" i="8"/>
  <c r="F5" i="5"/>
  <c r="G5" i="10"/>
  <c r="P13" i="1"/>
  <c r="E16" i="1" s="1"/>
  <c r="L15" i="1"/>
  <c r="L13" i="1"/>
  <c r="F4" i="10"/>
  <c r="Q54" i="1"/>
  <c r="B52" i="1" s="1"/>
  <c r="B53" i="1" s="1"/>
  <c r="C2" i="9" s="1"/>
  <c r="Q39" i="1"/>
  <c r="C37" i="1" s="1"/>
  <c r="C38" i="1" s="1"/>
  <c r="C3" i="7" s="1"/>
  <c r="M39" i="1"/>
  <c r="O40" i="1"/>
  <c r="O38" i="1"/>
  <c r="C56" i="1"/>
  <c r="F3" i="9" s="1"/>
  <c r="D56" i="1"/>
  <c r="F4" i="9" s="1"/>
  <c r="E56" i="1"/>
  <c r="F5" i="9" s="1"/>
  <c r="B56" i="1"/>
  <c r="F2" i="9" s="1"/>
  <c r="C41" i="1"/>
  <c r="F3" i="7" s="1"/>
  <c r="D41" i="1"/>
  <c r="F4" i="7" s="1"/>
  <c r="E41" i="1"/>
  <c r="F5" i="7" s="1"/>
  <c r="B41" i="1"/>
  <c r="F2" i="7" s="1"/>
  <c r="O53" i="1"/>
  <c r="O55" i="1"/>
  <c r="O67" i="1"/>
  <c r="L67" i="1"/>
  <c r="P67" i="1"/>
  <c r="B65" i="1" s="1"/>
  <c r="B2" i="6" s="1"/>
  <c r="S67" i="1"/>
  <c r="B69" i="1" s="1"/>
  <c r="F2" i="6" s="1"/>
  <c r="R67" i="1"/>
  <c r="B68" i="1" s="1"/>
  <c r="E2" i="6" s="1"/>
  <c r="R14" i="1"/>
  <c r="E19" i="1" s="1"/>
  <c r="E5" i="5" s="1"/>
  <c r="O14" i="1"/>
  <c r="C20" i="1" s="1"/>
  <c r="F3" i="5" s="1"/>
  <c r="N14" i="1"/>
  <c r="C32" i="1" l="1"/>
  <c r="F3" i="10"/>
  <c r="F2" i="8"/>
  <c r="F5" i="8"/>
  <c r="F4" i="8"/>
  <c r="G5" i="8"/>
  <c r="B2" i="8"/>
  <c r="C5" i="8"/>
  <c r="C2" i="8"/>
  <c r="G2" i="8"/>
  <c r="O39" i="1"/>
  <c r="C39" i="1" s="1"/>
  <c r="D3" i="7" s="1"/>
  <c r="F2" i="10"/>
  <c r="F5" i="10"/>
  <c r="E3" i="8"/>
  <c r="B4" i="8"/>
  <c r="B5" i="8"/>
  <c r="C5" i="10"/>
  <c r="C3" i="10"/>
  <c r="G3" i="10"/>
  <c r="B3" i="7"/>
  <c r="B2" i="9"/>
  <c r="E17" i="1"/>
  <c r="C5" i="5" s="1"/>
  <c r="B5" i="5"/>
  <c r="L14" i="1"/>
  <c r="C69" i="1"/>
  <c r="F3" i="6" s="1"/>
  <c r="T66" i="1"/>
  <c r="C65" i="1" s="1"/>
  <c r="B66" i="1"/>
  <c r="O54" i="1"/>
  <c r="C55" i="1" s="1"/>
  <c r="E3" i="9" s="1"/>
  <c r="D68" i="1"/>
  <c r="E4" i="6" s="1"/>
  <c r="D69" i="1"/>
  <c r="F4" i="6" s="1"/>
  <c r="D37" i="1"/>
  <c r="E69" i="1"/>
  <c r="F5" i="6" s="1"/>
  <c r="E52" i="1"/>
  <c r="D52" i="1"/>
  <c r="C52" i="1"/>
  <c r="B37" i="1"/>
  <c r="E37" i="1"/>
  <c r="E68" i="1"/>
  <c r="E5" i="6" s="1"/>
  <c r="C68" i="1"/>
  <c r="E3" i="6" s="1"/>
  <c r="B19" i="1"/>
  <c r="E2" i="5" s="1"/>
  <c r="B20" i="1"/>
  <c r="F2" i="5" s="1"/>
  <c r="D20" i="1"/>
  <c r="F4" i="5" s="1"/>
  <c r="D19" i="1"/>
  <c r="E4" i="5" s="1"/>
  <c r="C19" i="1"/>
  <c r="E3" i="5" s="1"/>
  <c r="E2" i="8" l="1"/>
  <c r="D3" i="8"/>
  <c r="E40" i="1"/>
  <c r="E5" i="7" s="1"/>
  <c r="D40" i="1"/>
  <c r="E4" i="7" s="1"/>
  <c r="C40" i="1"/>
  <c r="E3" i="7" s="1"/>
  <c r="B40" i="1"/>
  <c r="E2" i="7" s="1"/>
  <c r="D16" i="1"/>
  <c r="D17" i="1" s="1"/>
  <c r="B16" i="1"/>
  <c r="C3" i="8"/>
  <c r="G3" i="8"/>
  <c r="C4" i="8"/>
  <c r="G4" i="8"/>
  <c r="B67" i="1"/>
  <c r="D2" i="6" s="1"/>
  <c r="C2" i="6"/>
  <c r="C66" i="1"/>
  <c r="B3" i="6"/>
  <c r="B3" i="8"/>
  <c r="G4" i="10"/>
  <c r="C4" i="10"/>
  <c r="G2" i="10"/>
  <c r="C2" i="10"/>
  <c r="B38" i="1"/>
  <c r="B2" i="7"/>
  <c r="E38" i="1"/>
  <c r="B5" i="7"/>
  <c r="D38" i="1"/>
  <c r="B4" i="7"/>
  <c r="E53" i="1"/>
  <c r="B5" i="9"/>
  <c r="C53" i="1"/>
  <c r="B3" i="9"/>
  <c r="D53" i="1"/>
  <c r="B4" i="9"/>
  <c r="D2" i="8"/>
  <c r="D5" i="8"/>
  <c r="E5" i="8"/>
  <c r="D4" i="8"/>
  <c r="E4" i="8"/>
  <c r="E18" i="1"/>
  <c r="D5" i="5" s="1"/>
  <c r="C16" i="1"/>
  <c r="D65" i="1"/>
  <c r="B4" i="6" s="1"/>
  <c r="E65" i="1"/>
  <c r="B54" i="1"/>
  <c r="D2" i="9" s="1"/>
  <c r="D55" i="1"/>
  <c r="E4" i="9" s="1"/>
  <c r="E55" i="1"/>
  <c r="E5" i="9" s="1"/>
  <c r="B55" i="1"/>
  <c r="E2" i="9" s="1"/>
  <c r="C4" i="5" l="1"/>
  <c r="D18" i="1"/>
  <c r="D4" i="5" s="1"/>
  <c r="B4" i="5"/>
  <c r="D66" i="1"/>
  <c r="C4" i="6" s="1"/>
  <c r="E66" i="1"/>
  <c r="B5" i="6"/>
  <c r="C67" i="1"/>
  <c r="D3" i="6" s="1"/>
  <c r="C3" i="6"/>
  <c r="D39" i="1"/>
  <c r="D4" i="7" s="1"/>
  <c r="C4" i="7"/>
  <c r="E39" i="1"/>
  <c r="D5" i="7" s="1"/>
  <c r="C5" i="7"/>
  <c r="B39" i="1"/>
  <c r="D2" i="7" s="1"/>
  <c r="C2" i="7"/>
  <c r="D54" i="1"/>
  <c r="D4" i="9" s="1"/>
  <c r="C4" i="9"/>
  <c r="E54" i="1"/>
  <c r="D5" i="9" s="1"/>
  <c r="C5" i="9"/>
  <c r="C54" i="1"/>
  <c r="D3" i="9" s="1"/>
  <c r="C3" i="9"/>
  <c r="B17" i="1"/>
  <c r="B2" i="5"/>
  <c r="C17" i="1"/>
  <c r="B3" i="5"/>
  <c r="B2" i="10" l="1"/>
  <c r="B3" i="10"/>
  <c r="B4" i="10"/>
  <c r="B5" i="10"/>
  <c r="D67" i="1"/>
  <c r="D4" i="6" s="1"/>
  <c r="E67" i="1"/>
  <c r="D5" i="6" s="1"/>
  <c r="C5" i="6"/>
  <c r="C3" i="5"/>
  <c r="C18" i="1"/>
  <c r="D3" i="5" s="1"/>
  <c r="B18" i="1"/>
  <c r="D2" i="5" s="1"/>
  <c r="C2" i="5"/>
  <c r="E5" i="10" l="1"/>
  <c r="D5" i="10"/>
  <c r="E4" i="10"/>
  <c r="D4" i="10"/>
  <c r="E3" i="10"/>
  <c r="D3" i="10"/>
  <c r="D2" i="10"/>
  <c r="E2" i="10"/>
</calcChain>
</file>

<file path=xl/sharedStrings.xml><?xml version="1.0" encoding="utf-8"?>
<sst xmlns="http://schemas.openxmlformats.org/spreadsheetml/2006/main" count="188" uniqueCount="53">
  <si>
    <t>Inflation</t>
  </si>
  <si>
    <t>G2P</t>
  </si>
  <si>
    <t>G2G</t>
  </si>
  <si>
    <t>H2 que será vendido como gás</t>
  </si>
  <si>
    <t>H2 que será reconvertido para eletricidade</t>
  </si>
  <si>
    <t>Inflação de 3% ao ano</t>
  </si>
  <si>
    <t>Hvenda = Harmazenado x %G2G</t>
  </si>
  <si>
    <t>Erecuparada = Harmazenado x %G2P x rendimento(fuel cell)</t>
  </si>
  <si>
    <t>Fuel cell</t>
  </si>
  <si>
    <t>Capacity installed MW</t>
  </si>
  <si>
    <t>NT</t>
  </si>
  <si>
    <t>GA</t>
  </si>
  <si>
    <t>DE</t>
  </si>
  <si>
    <t>Não consideram a existência de fuel cells</t>
  </si>
  <si>
    <t>Efficiency (kWh/kgH2)</t>
  </si>
  <si>
    <t>IRENA</t>
  </si>
  <si>
    <t>CAPEX €/kW</t>
  </si>
  <si>
    <t>Lifetime (hours)</t>
  </si>
  <si>
    <t>Cenary</t>
  </si>
  <si>
    <t>Optimist</t>
  </si>
  <si>
    <t>Base</t>
  </si>
  <si>
    <t>Pessimist</t>
  </si>
  <si>
    <t>OPEX</t>
  </si>
  <si>
    <t>CAPEX (€/kW)</t>
  </si>
  <si>
    <t>Years</t>
  </si>
  <si>
    <t>Electrolizer Data</t>
  </si>
  <si>
    <t>ELECTROLIZERS</t>
  </si>
  <si>
    <t>STORAGE</t>
  </si>
  <si>
    <t>FUEL CELLS</t>
  </si>
  <si>
    <t>Efficiency (%)</t>
  </si>
  <si>
    <t>Fuel Cells Data</t>
  </si>
  <si>
    <t>Pressurised Tanks</t>
  </si>
  <si>
    <t>Salt Caverns</t>
  </si>
  <si>
    <t>CAPEX (€/kgH2)</t>
  </si>
  <si>
    <t>Capacidade (kg)</t>
  </si>
  <si>
    <t>Consumption (kWh/kgH2)</t>
  </si>
  <si>
    <t>Learning Rate (%)</t>
  </si>
  <si>
    <t>OPEX total €/kW</t>
  </si>
  <si>
    <t>OPEX yearly €/kW/year</t>
  </si>
  <si>
    <t>Reciprocating Piston Compressor</t>
  </si>
  <si>
    <t>Reciprocating compressors</t>
  </si>
  <si>
    <t>CAPEX (€/kWH2)</t>
  </si>
  <si>
    <t>Dolar to Euro (1USD)</t>
  </si>
  <si>
    <t>€</t>
  </si>
  <si>
    <t>Electrolizer Capacity Scenarios</t>
  </si>
  <si>
    <t>Storage Capacity Scenarios</t>
  </si>
  <si>
    <t>Fuel Cells Scenerios</t>
  </si>
  <si>
    <t>OPEX yearly (€/kW/year)</t>
  </si>
  <si>
    <t>OPEX total (€/Kw)</t>
  </si>
  <si>
    <t>Compressors (MW)</t>
  </si>
  <si>
    <t>Fuel Cells (MW)</t>
  </si>
  <si>
    <t>Electrolyzers (MW)</t>
  </si>
  <si>
    <t>Storage (MWH2)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</si>
</sst>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#,##0.0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DA1C1"/>
        <bgColor indexed="64"/>
      </patternFill>
    </fill>
    <fill>
      <patternFill patternType="solid">
        <fgColor rgb="FFD0DDE8"/>
        <bgColor indexed="64"/>
      </patternFill>
    </fill>
    <fill>
      <patternFill patternType="solid">
        <fgColor rgb="FFA4BDD4"/>
        <bgColor indexed="64"/>
      </patternFill>
    </fill>
    <fill>
      <patternFill patternType="solid">
        <fgColor rgb="FF4A759C"/>
        <bgColor indexed="64"/>
      </patternFill>
    </fill>
    <fill>
      <patternFill patternType="solid">
        <fgColor theme="3"/>
        <bgColor indexed="64"/>
      </patternFill>
    </fill>
  </fills>
  <borders count="59">
    <border>
      <left/>
      <right/>
      <top/>
      <bottom/>
      <diagonal/>
    </border>
    <border>
      <left style="thin">
        <color rgb="FF4A759C"/>
      </left>
      <right style="thin">
        <color rgb="FF4A759C"/>
      </right>
      <top style="thin">
        <color rgb="FF4A759C"/>
      </top>
      <bottom style="thin">
        <color rgb="FF4A759C"/>
      </bottom>
      <diagonal/>
    </border>
    <border>
      <left style="medium">
        <color rgb="FF4A759C"/>
      </left>
      <right style="medium">
        <color rgb="FF4A759C"/>
      </right>
      <top style="medium">
        <color rgb="FF4A759C"/>
      </top>
      <bottom style="medium">
        <color rgb="FF4A759C"/>
      </bottom>
      <diagonal/>
    </border>
    <border>
      <left style="medium">
        <color rgb="FF4A759C"/>
      </left>
      <right style="thin">
        <color rgb="FF4A759C"/>
      </right>
      <top style="medium">
        <color rgb="FF4A759C"/>
      </top>
      <bottom style="medium">
        <color rgb="FF4A759C"/>
      </bottom>
      <diagonal/>
    </border>
    <border>
      <left style="thin">
        <color rgb="FF4A759C"/>
      </left>
      <right style="medium">
        <color rgb="FF4A759C"/>
      </right>
      <top style="medium">
        <color rgb="FF4A759C"/>
      </top>
      <bottom style="medium">
        <color rgb="FF4A759C"/>
      </bottom>
      <diagonal/>
    </border>
    <border>
      <left style="medium">
        <color rgb="FF4A759C"/>
      </left>
      <right style="thin">
        <color rgb="FF4A759C"/>
      </right>
      <top style="thin">
        <color rgb="FF4A759C"/>
      </top>
      <bottom style="medium">
        <color rgb="FF4A759C"/>
      </bottom>
      <diagonal/>
    </border>
    <border>
      <left style="thin">
        <color rgb="FF4A759C"/>
      </left>
      <right style="medium">
        <color rgb="FF4A759C"/>
      </right>
      <top style="thin">
        <color rgb="FF4A759C"/>
      </top>
      <bottom style="medium">
        <color rgb="FF4A759C"/>
      </bottom>
      <diagonal/>
    </border>
    <border>
      <left style="medium">
        <color rgb="FF4A759C"/>
      </left>
      <right style="thin">
        <color rgb="FF4A759C"/>
      </right>
      <top style="thin">
        <color rgb="FF4A759C"/>
      </top>
      <bottom style="thin">
        <color rgb="FF4A759C"/>
      </bottom>
      <diagonal/>
    </border>
    <border>
      <left style="thin">
        <color rgb="FF4A759C"/>
      </left>
      <right style="medium">
        <color rgb="FF4A759C"/>
      </right>
      <top style="thin">
        <color rgb="FF4A759C"/>
      </top>
      <bottom style="thin">
        <color rgb="FF4A759C"/>
      </bottom>
      <diagonal/>
    </border>
    <border>
      <left style="thin">
        <color rgb="FF4A759C"/>
      </left>
      <right style="thin">
        <color rgb="FF4A759C"/>
      </right>
      <top style="thin">
        <color rgb="FF4A759C"/>
      </top>
      <bottom style="medium">
        <color rgb="FF4A759C"/>
      </bottom>
      <diagonal/>
    </border>
    <border>
      <left/>
      <right style="medium">
        <color rgb="FF4A759C"/>
      </right>
      <top style="medium">
        <color rgb="FF4A759C"/>
      </top>
      <bottom style="medium">
        <color rgb="FF4A759C"/>
      </bottom>
      <diagonal/>
    </border>
    <border>
      <left/>
      <right style="medium">
        <color rgb="FF4A759C"/>
      </right>
      <top style="medium">
        <color rgb="FF4A759C"/>
      </top>
      <bottom style="thin">
        <color rgb="FF4A759C"/>
      </bottom>
      <diagonal/>
    </border>
    <border>
      <left/>
      <right style="medium">
        <color rgb="FF4A759C"/>
      </right>
      <top style="thin">
        <color rgb="FF4A759C"/>
      </top>
      <bottom style="medium">
        <color rgb="FF4A759C"/>
      </bottom>
      <diagonal/>
    </border>
    <border>
      <left style="medium">
        <color rgb="FF4A759C"/>
      </left>
      <right style="medium">
        <color rgb="FF4A759C"/>
      </right>
      <top style="medium">
        <color rgb="FF4A759C"/>
      </top>
      <bottom style="thin">
        <color rgb="FF4A759C"/>
      </bottom>
      <diagonal/>
    </border>
    <border>
      <left style="medium">
        <color rgb="FF4A759C"/>
      </left>
      <right style="medium">
        <color rgb="FF4A759C"/>
      </right>
      <top style="thin">
        <color rgb="FF4A759C"/>
      </top>
      <bottom style="medium">
        <color rgb="FF4A759C"/>
      </bottom>
      <diagonal/>
    </border>
    <border>
      <left/>
      <right style="thin">
        <color rgb="FF4A759C"/>
      </right>
      <top style="thin">
        <color rgb="FF4A759C"/>
      </top>
      <bottom style="thin">
        <color rgb="FF4A759C"/>
      </bottom>
      <diagonal/>
    </border>
    <border>
      <left style="medium">
        <color rgb="FF4A759C"/>
      </left>
      <right style="medium">
        <color rgb="FF4A759C"/>
      </right>
      <top style="thin">
        <color rgb="FF4A759C"/>
      </top>
      <bottom style="thin">
        <color rgb="FF4A759C"/>
      </bottom>
      <diagonal/>
    </border>
    <border>
      <left/>
      <right style="thin">
        <color rgb="FF4A759C"/>
      </right>
      <top/>
      <bottom style="thin">
        <color rgb="FF4A759C"/>
      </bottom>
      <diagonal/>
    </border>
    <border>
      <left style="thin">
        <color rgb="FF4A759C"/>
      </left>
      <right style="thin">
        <color rgb="FF4A759C"/>
      </right>
      <top/>
      <bottom style="thin">
        <color rgb="FF4A759C"/>
      </bottom>
      <diagonal/>
    </border>
    <border>
      <left style="thin">
        <color rgb="FF4A759C"/>
      </left>
      <right style="thin">
        <color rgb="FF4A759C"/>
      </right>
      <top style="medium">
        <color rgb="FF4A759C"/>
      </top>
      <bottom style="medium">
        <color rgb="FF4A759C"/>
      </bottom>
      <diagonal/>
    </border>
    <border>
      <left style="medium">
        <color rgb="FF4A759C"/>
      </left>
      <right style="thin">
        <color rgb="FF4A759C"/>
      </right>
      <top/>
      <bottom style="thin">
        <color rgb="FF4A759C"/>
      </bottom>
      <diagonal/>
    </border>
    <border>
      <left style="thin">
        <color rgb="FF4A759C"/>
      </left>
      <right style="medium">
        <color rgb="FF4A759C"/>
      </right>
      <top/>
      <bottom style="thin">
        <color rgb="FF4A759C"/>
      </bottom>
      <diagonal/>
    </border>
    <border>
      <left/>
      <right style="thin">
        <color rgb="FF4A759C"/>
      </right>
      <top style="thin">
        <color rgb="FF4A759C"/>
      </top>
      <bottom style="medium">
        <color rgb="FF4A759C"/>
      </bottom>
      <diagonal/>
    </border>
    <border>
      <left style="medium">
        <color rgb="FF4A759C"/>
      </left>
      <right/>
      <top style="medium">
        <color rgb="FF4A759C"/>
      </top>
      <bottom style="medium">
        <color rgb="FF4A759C"/>
      </bottom>
      <diagonal/>
    </border>
    <border>
      <left/>
      <right/>
      <top style="medium">
        <color rgb="FF4A759C"/>
      </top>
      <bottom style="medium">
        <color rgb="FF4A759C"/>
      </bottom>
      <diagonal/>
    </border>
    <border>
      <left style="medium">
        <color rgb="FF4A759C"/>
      </left>
      <right style="medium">
        <color rgb="FF4A759C"/>
      </right>
      <top/>
      <bottom style="thin">
        <color rgb="FF4A759C"/>
      </bottom>
      <diagonal/>
    </border>
    <border>
      <left style="medium">
        <color rgb="FF4A759C"/>
      </left>
      <right style="medium">
        <color rgb="FF4A759C"/>
      </right>
      <top style="medium">
        <color rgb="FF4A759C"/>
      </top>
      <bottom/>
      <diagonal/>
    </border>
    <border>
      <left/>
      <right style="thin">
        <color rgb="FF4A759C"/>
      </right>
      <top style="medium">
        <color rgb="FF4A759C"/>
      </top>
      <bottom style="medium">
        <color rgb="FF4A759C"/>
      </bottom>
      <diagonal/>
    </border>
    <border>
      <left style="medium">
        <color rgb="FF4A759C"/>
      </left>
      <right style="thin">
        <color rgb="FF4A759C"/>
      </right>
      <top/>
      <bottom style="medium">
        <color rgb="FF4A759C"/>
      </bottom>
      <diagonal/>
    </border>
    <border>
      <left style="thin">
        <color rgb="FF4A759C"/>
      </left>
      <right style="thin">
        <color rgb="FF4A759C"/>
      </right>
      <top/>
      <bottom style="medium">
        <color rgb="FF4A759C"/>
      </bottom>
      <diagonal/>
    </border>
    <border>
      <left style="thin">
        <color rgb="FF4A759C"/>
      </left>
      <right style="medium">
        <color rgb="FF4A759C"/>
      </right>
      <top/>
      <bottom style="medium">
        <color rgb="FF4A759C"/>
      </bottom>
      <diagonal/>
    </border>
    <border>
      <left/>
      <right style="medium">
        <color rgb="FF4A759C"/>
      </right>
      <top style="thin">
        <color rgb="FF4A759C"/>
      </top>
      <bottom style="thin">
        <color rgb="FF4A759C"/>
      </bottom>
      <diagonal/>
    </border>
    <border>
      <left style="medium">
        <color rgb="FF4A759C"/>
      </left>
      <right/>
      <top style="medium">
        <color rgb="FF4A759C"/>
      </top>
      <bottom/>
      <diagonal/>
    </border>
    <border>
      <left style="medium">
        <color rgb="FF4A759C"/>
      </left>
      <right/>
      <top style="thin">
        <color rgb="FF4A759C"/>
      </top>
      <bottom style="thin">
        <color rgb="FF4A759C"/>
      </bottom>
      <diagonal/>
    </border>
    <border>
      <left style="medium">
        <color rgb="FF4A759C"/>
      </left>
      <right/>
      <top style="thin">
        <color rgb="FF4A759C"/>
      </top>
      <bottom style="medium">
        <color rgb="FF4A759C"/>
      </bottom>
      <diagonal/>
    </border>
    <border>
      <left style="medium">
        <color rgb="FF4A759C"/>
      </left>
      <right style="thin">
        <color rgb="FF4A759C"/>
      </right>
      <top style="medium">
        <color rgb="FF4A759C"/>
      </top>
      <bottom/>
      <diagonal/>
    </border>
    <border>
      <left style="thin">
        <color rgb="FF4A759C"/>
      </left>
      <right style="thin">
        <color rgb="FF4A759C"/>
      </right>
      <top style="medium">
        <color rgb="FF4A759C"/>
      </top>
      <bottom/>
      <diagonal/>
    </border>
    <border>
      <left style="thin">
        <color rgb="FF4A759C"/>
      </left>
      <right style="medium">
        <color rgb="FF4A759C"/>
      </right>
      <top style="medium">
        <color rgb="FF4A759C"/>
      </top>
      <bottom/>
      <diagonal/>
    </border>
    <border>
      <left style="medium">
        <color rgb="FF4A759C"/>
      </left>
      <right/>
      <top/>
      <bottom style="thin">
        <color rgb="FF4A759C"/>
      </bottom>
      <diagonal/>
    </border>
    <border>
      <left style="medium">
        <color rgb="FF4A759C"/>
      </left>
      <right style="thin">
        <color rgb="FF4A759C"/>
      </right>
      <top/>
      <bottom/>
      <diagonal/>
    </border>
    <border>
      <left style="thin">
        <color rgb="FF4A759C"/>
      </left>
      <right style="medium">
        <color rgb="FF4A759C"/>
      </right>
      <top/>
      <bottom/>
      <diagonal/>
    </border>
    <border>
      <left style="medium">
        <color rgb="FF4A759C"/>
      </left>
      <right style="thin">
        <color rgb="FF4A759C"/>
      </right>
      <top style="medium">
        <color rgb="FF4A759C"/>
      </top>
      <bottom style="thin">
        <color rgb="FF4A759C"/>
      </bottom>
      <diagonal/>
    </border>
    <border>
      <left style="thin">
        <color rgb="FF4A759C"/>
      </left>
      <right style="thin">
        <color rgb="FF4A759C"/>
      </right>
      <top style="medium">
        <color rgb="FF4A759C"/>
      </top>
      <bottom style="thin">
        <color rgb="FF4A759C"/>
      </bottom>
      <diagonal/>
    </border>
    <border>
      <left style="thin">
        <color rgb="FF4A759C"/>
      </left>
      <right style="medium">
        <color rgb="FF4A759C"/>
      </right>
      <top style="medium">
        <color rgb="FF4A759C"/>
      </top>
      <bottom style="thin">
        <color rgb="FF4A759C"/>
      </bottom>
      <diagonal/>
    </border>
    <border>
      <left style="thin">
        <color rgb="FF4A759C"/>
      </left>
      <right style="thin">
        <color rgb="FF4A759C"/>
      </right>
      <top/>
      <bottom/>
      <diagonal/>
    </border>
    <border>
      <left style="medium">
        <color rgb="FF4A759C"/>
      </left>
      <right style="medium">
        <color rgb="FF4A759C"/>
      </right>
      <top/>
      <bottom/>
      <diagonal/>
    </border>
    <border>
      <left style="medium">
        <color rgb="FF4A759C"/>
      </left>
      <right style="medium">
        <color rgb="FF4A759C"/>
      </right>
      <top/>
      <bottom style="medium">
        <color rgb="FF4A759C"/>
      </bottom>
      <diagonal/>
    </border>
    <border>
      <left/>
      <right style="thin">
        <color rgb="FF4A759C"/>
      </right>
      <top/>
      <bottom style="medium">
        <color rgb="FF4A759C"/>
      </bottom>
      <diagonal/>
    </border>
    <border>
      <left style="medium">
        <color rgb="FF4A759C"/>
      </left>
      <right/>
      <top style="medium">
        <color rgb="FF4A759C"/>
      </top>
      <bottom style="thin">
        <color rgb="FF4A759C"/>
      </bottom>
      <diagonal/>
    </border>
    <border>
      <left/>
      <right style="thin">
        <color rgb="FF4A759C"/>
      </right>
      <top style="medium">
        <color rgb="FF4A759C"/>
      </top>
      <bottom/>
      <diagonal/>
    </border>
    <border>
      <left style="medium">
        <color rgb="FF4A759C"/>
      </left>
      <right style="medium">
        <color rgb="FF4A759C"/>
      </right>
      <top style="thin">
        <color rgb="FF4A759C"/>
      </top>
      <bottom/>
      <diagonal/>
    </border>
    <border>
      <left style="thin">
        <color rgb="FF4A759C"/>
      </left>
      <right/>
      <top style="medium">
        <color rgb="FF4A759C"/>
      </top>
      <bottom style="thin">
        <color rgb="FF4A759C"/>
      </bottom>
      <diagonal/>
    </border>
    <border>
      <left style="thin">
        <color rgb="FF4A759C"/>
      </left>
      <right/>
      <top style="thin">
        <color rgb="FF4A759C"/>
      </top>
      <bottom style="thin">
        <color rgb="FF4A759C"/>
      </bottom>
      <diagonal/>
    </border>
    <border>
      <left style="thin">
        <color rgb="FF4A759C"/>
      </left>
      <right/>
      <top style="thin">
        <color rgb="FF4A759C"/>
      </top>
      <bottom style="medium">
        <color rgb="FF4A759C"/>
      </bottom>
      <diagonal/>
    </border>
    <border>
      <left/>
      <right style="thin">
        <color rgb="FF4A759C"/>
      </right>
      <top style="medium">
        <color rgb="FF4A759C"/>
      </top>
      <bottom style="thin">
        <color rgb="FF4A759C"/>
      </bottom>
      <diagonal/>
    </border>
    <border>
      <left/>
      <right style="medium">
        <color rgb="FF4A759C"/>
      </right>
      <top/>
      <bottom style="thin">
        <color rgb="FF4A759C"/>
      </bottom>
      <diagonal/>
    </border>
    <border>
      <left style="medium">
        <color rgb="FF4A759C"/>
      </left>
      <right style="thin">
        <color rgb="FF4A759C"/>
      </right>
      <top style="medium">
        <color rgb="FF4A759C"/>
      </top>
      <bottom style="medium">
        <color theme="8" tint="-0.249977111117893"/>
      </bottom>
      <diagonal/>
    </border>
    <border>
      <left style="thin">
        <color rgb="FF4A759C"/>
      </left>
      <right style="thin">
        <color rgb="FF4A759C"/>
      </right>
      <top style="medium">
        <color rgb="FF4A759C"/>
      </top>
      <bottom style="medium">
        <color theme="8" tint="-0.249977111117893"/>
      </bottom>
      <diagonal/>
    </border>
    <border>
      <left style="thin">
        <color rgb="FF4A759C"/>
      </left>
      <right style="medium">
        <color rgb="FF4A759C"/>
      </right>
      <top style="medium">
        <color rgb="FF4A759C"/>
      </top>
      <bottom style="medium">
        <color theme="8" tint="-0.249977111117893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8">
    <xf numFmtId="0" fontId="0" fillId="0" borderId="0" xfId="0"/>
    <xf numFmtId="0" fontId="0" fillId="3" borderId="1" xfId="0" applyFill="1" applyBorder="1"/>
    <xf numFmtId="0" fontId="1" fillId="2" borderId="3" xfId="0" applyFont="1" applyFill="1" applyBorder="1" applyAlignment="1">
      <alignment horizontal="center" vertical="center"/>
    </xf>
    <xf numFmtId="0" fontId="0" fillId="3" borderId="8" xfId="0" applyFill="1" applyBorder="1"/>
    <xf numFmtId="0" fontId="0" fillId="3" borderId="6" xfId="0" applyFill="1" applyBorder="1"/>
    <xf numFmtId="9" fontId="0" fillId="3" borderId="10" xfId="0" applyNumberFormat="1" applyFill="1" applyBorder="1"/>
    <xf numFmtId="0" fontId="1" fillId="2" borderId="2" xfId="0" applyFont="1" applyFill="1" applyBorder="1" applyAlignment="1">
      <alignment horizontal="center" vertical="center"/>
    </xf>
    <xf numFmtId="9" fontId="0" fillId="3" borderId="11" xfId="0" applyNumberFormat="1" applyFill="1" applyBorder="1"/>
    <xf numFmtId="9" fontId="0" fillId="3" borderId="12" xfId="0" applyNumberFormat="1" applyFill="1" applyBorder="1"/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3" borderId="15" xfId="0" applyFill="1" applyBorder="1"/>
    <xf numFmtId="0" fontId="1" fillId="2" borderId="16" xfId="0" applyFont="1" applyFill="1" applyBorder="1" applyAlignment="1">
      <alignment horizontal="center" vertical="center"/>
    </xf>
    <xf numFmtId="0" fontId="0" fillId="3" borderId="17" xfId="0" applyFill="1" applyBorder="1"/>
    <xf numFmtId="0" fontId="0" fillId="3" borderId="18" xfId="0" applyFill="1" applyBorder="1"/>
    <xf numFmtId="0" fontId="0" fillId="4" borderId="3" xfId="0" applyFill="1" applyBorder="1"/>
    <xf numFmtId="0" fontId="0" fillId="4" borderId="19" xfId="0" applyFill="1" applyBorder="1"/>
    <xf numFmtId="0" fontId="0" fillId="4" borderId="4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7" xfId="0" applyFill="1" applyBorder="1"/>
    <xf numFmtId="0" fontId="0" fillId="3" borderId="5" xfId="0" applyFill="1" applyBorder="1"/>
    <xf numFmtId="0" fontId="1" fillId="2" borderId="25" xfId="0" applyFont="1" applyFill="1" applyBorder="1" applyAlignment="1">
      <alignment horizontal="center" vertical="center"/>
    </xf>
    <xf numFmtId="0" fontId="0" fillId="4" borderId="27" xfId="0" applyFill="1" applyBorder="1"/>
    <xf numFmtId="0" fontId="1" fillId="2" borderId="19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1" fillId="2" borderId="2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0" fillId="3" borderId="31" xfId="0" applyFill="1" applyBorder="1"/>
    <xf numFmtId="9" fontId="0" fillId="3" borderId="1" xfId="0" applyNumberFormat="1" applyFill="1" applyBorder="1"/>
    <xf numFmtId="9" fontId="0" fillId="3" borderId="9" xfId="0" applyNumberFormat="1" applyFill="1" applyBorder="1"/>
    <xf numFmtId="3" fontId="0" fillId="3" borderId="9" xfId="0" applyNumberFormat="1" applyFill="1" applyBorder="1"/>
    <xf numFmtId="0" fontId="1" fillId="0" borderId="0" xfId="0" applyFont="1"/>
    <xf numFmtId="0" fontId="3" fillId="4" borderId="33" xfId="0" applyFont="1" applyFill="1" applyBorder="1"/>
    <xf numFmtId="0" fontId="3" fillId="4" borderId="34" xfId="0" applyFont="1" applyFill="1" applyBorder="1"/>
    <xf numFmtId="0" fontId="1" fillId="5" borderId="32" xfId="0" applyFont="1" applyFill="1" applyBorder="1"/>
    <xf numFmtId="0" fontId="3" fillId="4" borderId="38" xfId="0" applyFont="1" applyFill="1" applyBorder="1"/>
    <xf numFmtId="9" fontId="0" fillId="3" borderId="18" xfId="0" applyNumberFormat="1" applyFill="1" applyBorder="1"/>
    <xf numFmtId="3" fontId="0" fillId="3" borderId="18" xfId="0" applyNumberFormat="1" applyFill="1" applyBorder="1"/>
    <xf numFmtId="0" fontId="1" fillId="2" borderId="23" xfId="0" applyFont="1" applyFill="1" applyBorder="1"/>
    <xf numFmtId="0" fontId="0" fillId="4" borderId="3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3" fontId="0" fillId="0" borderId="0" xfId="0" applyNumberFormat="1"/>
    <xf numFmtId="3" fontId="0" fillId="3" borderId="1" xfId="0" applyNumberFormat="1" applyFill="1" applyBorder="1"/>
    <xf numFmtId="3" fontId="0" fillId="3" borderId="8" xfId="0" applyNumberFormat="1" applyFill="1" applyBorder="1"/>
    <xf numFmtId="0" fontId="0" fillId="3" borderId="9" xfId="0" applyFill="1" applyBorder="1"/>
    <xf numFmtId="0" fontId="1" fillId="5" borderId="2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0" fillId="3" borderId="6" xfId="0" applyNumberFormat="1" applyFill="1" applyBorder="1"/>
    <xf numFmtId="0" fontId="3" fillId="0" borderId="0" xfId="0" applyFont="1"/>
    <xf numFmtId="9" fontId="0" fillId="3" borderId="21" xfId="0" applyNumberFormat="1" applyFill="1" applyBorder="1"/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3" fontId="0" fillId="3" borderId="36" xfId="0" applyNumberFormat="1" applyFill="1" applyBorder="1" applyAlignment="1">
      <alignment horizontal="center" vertical="center"/>
    </xf>
    <xf numFmtId="3" fontId="0" fillId="3" borderId="44" xfId="0" applyNumberForma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0" fontId="0" fillId="3" borderId="47" xfId="0" applyFill="1" applyBorder="1"/>
    <xf numFmtId="9" fontId="0" fillId="3" borderId="8" xfId="1" applyFont="1" applyFill="1" applyBorder="1"/>
    <xf numFmtId="3" fontId="0" fillId="3" borderId="29" xfId="0" applyNumberFormat="1" applyFill="1" applyBorder="1" applyAlignment="1">
      <alignment horizontal="center" vertical="center"/>
    </xf>
    <xf numFmtId="0" fontId="0" fillId="3" borderId="41" xfId="0" applyFill="1" applyBorder="1"/>
    <xf numFmtId="0" fontId="0" fillId="3" borderId="42" xfId="0" applyFill="1" applyBorder="1"/>
    <xf numFmtId="0" fontId="0" fillId="3" borderId="43" xfId="0" applyFill="1" applyBorder="1"/>
    <xf numFmtId="9" fontId="0" fillId="3" borderId="5" xfId="0" applyNumberFormat="1" applyFill="1" applyBorder="1"/>
    <xf numFmtId="164" fontId="0" fillId="3" borderId="1" xfId="0" applyNumberFormat="1" applyFill="1" applyBorder="1"/>
    <xf numFmtId="9" fontId="0" fillId="3" borderId="9" xfId="1" applyFont="1" applyFill="1" applyBorder="1"/>
    <xf numFmtId="9" fontId="0" fillId="3" borderId="6" xfId="1" applyFont="1" applyFill="1" applyBorder="1"/>
    <xf numFmtId="3" fontId="0" fillId="3" borderId="18" xfId="0" applyNumberFormat="1" applyFill="1" applyBorder="1" applyAlignment="1">
      <alignment vertical="center"/>
    </xf>
    <xf numFmtId="0" fontId="0" fillId="4" borderId="36" xfId="0" applyFill="1" applyBorder="1" applyAlignment="1">
      <alignment horizontal="center" vertical="center"/>
    </xf>
    <xf numFmtId="3" fontId="0" fillId="3" borderId="1" xfId="0" applyNumberFormat="1" applyFill="1" applyBorder="1" applyAlignment="1">
      <alignment vertical="center"/>
    </xf>
    <xf numFmtId="9" fontId="0" fillId="3" borderId="29" xfId="0" applyNumberFormat="1" applyFill="1" applyBorder="1"/>
    <xf numFmtId="3" fontId="0" fillId="3" borderId="9" xfId="0" applyNumberFormat="1" applyFill="1" applyBorder="1" applyAlignment="1">
      <alignment vertical="center"/>
    </xf>
    <xf numFmtId="0" fontId="3" fillId="4" borderId="48" xfId="0" applyFont="1" applyFill="1" applyBorder="1"/>
    <xf numFmtId="9" fontId="0" fillId="3" borderId="42" xfId="0" applyNumberFormat="1" applyFill="1" applyBorder="1"/>
    <xf numFmtId="0" fontId="0" fillId="4" borderId="35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3" fontId="0" fillId="3" borderId="29" xfId="0" applyNumberFormat="1" applyFill="1" applyBorder="1"/>
    <xf numFmtId="9" fontId="0" fillId="3" borderId="8" xfId="0" applyNumberFormat="1" applyFill="1" applyBorder="1" applyAlignment="1">
      <alignment vertical="center"/>
    </xf>
    <xf numFmtId="9" fontId="0" fillId="3" borderId="6" xfId="0" applyNumberFormat="1" applyFill="1" applyBorder="1" applyAlignment="1">
      <alignment vertical="center"/>
    </xf>
    <xf numFmtId="165" fontId="0" fillId="3" borderId="8" xfId="0" applyNumberFormat="1" applyFill="1" applyBorder="1" applyAlignment="1">
      <alignment vertical="center"/>
    </xf>
    <xf numFmtId="3" fontId="0" fillId="3" borderId="7" xfId="0" applyNumberFormat="1" applyFill="1" applyBorder="1"/>
    <xf numFmtId="0" fontId="1" fillId="2" borderId="38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0" fillId="2" borderId="2" xfId="0" applyFill="1" applyBorder="1"/>
    <xf numFmtId="9" fontId="0" fillId="3" borderId="50" xfId="0" applyNumberFormat="1" applyFill="1" applyBorder="1" applyAlignment="1">
      <alignment horizontal="center" vertical="center"/>
    </xf>
    <xf numFmtId="9" fontId="0" fillId="3" borderId="45" xfId="0" applyNumberFormat="1" applyFill="1" applyBorder="1" applyAlignment="1">
      <alignment horizontal="center" vertical="center"/>
    </xf>
    <xf numFmtId="9" fontId="0" fillId="3" borderId="46" xfId="0" applyNumberFormat="1" applyFill="1" applyBorder="1" applyAlignment="1">
      <alignment horizontal="center" vertical="center"/>
    </xf>
    <xf numFmtId="9" fontId="0" fillId="0" borderId="0" xfId="0" applyNumberFormat="1"/>
    <xf numFmtId="9" fontId="0" fillId="3" borderId="43" xfId="0" applyNumberFormat="1" applyFill="1" applyBorder="1" applyAlignment="1">
      <alignment horizontal="center" vertical="center"/>
    </xf>
    <xf numFmtId="9" fontId="0" fillId="3" borderId="8" xfId="0" applyNumberFormat="1" applyFill="1" applyBorder="1" applyAlignment="1">
      <alignment horizontal="center" vertical="center"/>
    </xf>
    <xf numFmtId="9" fontId="0" fillId="3" borderId="6" xfId="0" applyNumberFormat="1" applyFill="1" applyBorder="1" applyAlignment="1">
      <alignment horizontal="center" vertical="center"/>
    </xf>
    <xf numFmtId="3" fontId="0" fillId="3" borderId="41" xfId="0" applyNumberFormat="1" applyFill="1" applyBorder="1" applyAlignment="1">
      <alignment horizontal="center" vertical="center"/>
    </xf>
    <xf numFmtId="3" fontId="0" fillId="3" borderId="5" xfId="0" applyNumberFormat="1" applyFill="1" applyBorder="1" applyAlignment="1">
      <alignment horizontal="center" vertical="center"/>
    </xf>
    <xf numFmtId="3" fontId="0" fillId="3" borderId="7" xfId="0" applyNumberFormat="1" applyFill="1" applyBorder="1" applyAlignment="1">
      <alignment horizontal="center" vertical="center"/>
    </xf>
    <xf numFmtId="0" fontId="0" fillId="3" borderId="10" xfId="0" applyFill="1" applyBorder="1"/>
    <xf numFmtId="0" fontId="0" fillId="3" borderId="23" xfId="0" applyFill="1" applyBorder="1"/>
    <xf numFmtId="3" fontId="0" fillId="3" borderId="15" xfId="0" applyNumberFormat="1" applyFill="1" applyBorder="1"/>
    <xf numFmtId="9" fontId="0" fillId="0" borderId="0" xfId="0" applyNumberFormat="1" applyAlignment="1">
      <alignment vertical="center"/>
    </xf>
    <xf numFmtId="3" fontId="0" fillId="3" borderId="51" xfId="0" applyNumberFormat="1" applyFill="1" applyBorder="1" applyAlignment="1">
      <alignment vertical="center"/>
    </xf>
    <xf numFmtId="3" fontId="0" fillId="3" borderId="52" xfId="0" applyNumberFormat="1" applyFill="1" applyBorder="1" applyAlignment="1">
      <alignment vertical="center"/>
    </xf>
    <xf numFmtId="3" fontId="0" fillId="3" borderId="53" xfId="0" applyNumberFormat="1" applyFill="1" applyBorder="1" applyAlignment="1">
      <alignment vertical="center"/>
    </xf>
    <xf numFmtId="9" fontId="0" fillId="3" borderId="31" xfId="0" applyNumberFormat="1" applyFill="1" applyBorder="1" applyAlignment="1">
      <alignment vertical="center"/>
    </xf>
    <xf numFmtId="165" fontId="0" fillId="3" borderId="31" xfId="0" applyNumberFormat="1" applyFill="1" applyBorder="1" applyAlignment="1">
      <alignment vertical="center"/>
    </xf>
    <xf numFmtId="9" fontId="0" fillId="3" borderId="12" xfId="0" applyNumberFormat="1" applyFill="1" applyBorder="1" applyAlignment="1">
      <alignment vertical="center"/>
    </xf>
    <xf numFmtId="0" fontId="1" fillId="5" borderId="23" xfId="0" applyFont="1" applyFill="1" applyBorder="1"/>
    <xf numFmtId="165" fontId="0" fillId="3" borderId="22" xfId="0" applyNumberFormat="1" applyFill="1" applyBorder="1"/>
    <xf numFmtId="0" fontId="0" fillId="3" borderId="54" xfId="0" applyFill="1" applyBorder="1"/>
    <xf numFmtId="0" fontId="0" fillId="3" borderId="11" xfId="0" applyFill="1" applyBorder="1"/>
    <xf numFmtId="3" fontId="0" fillId="3" borderId="31" xfId="0" applyNumberFormat="1" applyFill="1" applyBorder="1"/>
    <xf numFmtId="165" fontId="0" fillId="3" borderId="5" xfId="0" applyNumberFormat="1" applyFill="1" applyBorder="1"/>
    <xf numFmtId="0" fontId="1" fillId="2" borderId="48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1" fillId="4" borderId="46" xfId="0" applyFont="1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9" fontId="0" fillId="3" borderId="8" xfId="0" applyNumberFormat="1" applyFill="1" applyBorder="1"/>
    <xf numFmtId="166" fontId="0" fillId="3" borderId="18" xfId="0" applyNumberFormat="1" applyFill="1" applyBorder="1"/>
    <xf numFmtId="166" fontId="0" fillId="3" borderId="1" xfId="0" applyNumberFormat="1" applyFill="1" applyBorder="1"/>
    <xf numFmtId="166" fontId="0" fillId="3" borderId="9" xfId="0" applyNumberFormat="1" applyFill="1" applyBorder="1"/>
    <xf numFmtId="165" fontId="0" fillId="3" borderId="31" xfId="0" applyNumberFormat="1" applyFill="1" applyBorder="1"/>
    <xf numFmtId="165" fontId="0" fillId="3" borderId="55" xfId="0" applyNumberFormat="1" applyFill="1" applyBorder="1"/>
    <xf numFmtId="165" fontId="0" fillId="3" borderId="12" xfId="0" applyNumberFormat="1" applyFill="1" applyBorder="1"/>
    <xf numFmtId="3" fontId="0" fillId="3" borderId="42" xfId="0" applyNumberFormat="1" applyFill="1" applyBorder="1"/>
    <xf numFmtId="0" fontId="1" fillId="5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3" fontId="0" fillId="3" borderId="35" xfId="0" applyNumberFormat="1" applyFill="1" applyBorder="1" applyAlignment="1">
      <alignment horizontal="center" vertical="center"/>
    </xf>
    <xf numFmtId="3" fontId="0" fillId="3" borderId="39" xfId="0" applyNumberFormat="1" applyFill="1" applyBorder="1" applyAlignment="1">
      <alignment horizontal="center" vertical="center"/>
    </xf>
    <xf numFmtId="3" fontId="0" fillId="3" borderId="28" xfId="0" applyNumberFormat="1" applyFill="1" applyBorder="1" applyAlignment="1">
      <alignment horizontal="center" vertical="center"/>
    </xf>
    <xf numFmtId="3" fontId="0" fillId="3" borderId="36" xfId="0" applyNumberFormat="1" applyFill="1" applyBorder="1" applyAlignment="1">
      <alignment horizontal="center" vertical="center"/>
    </xf>
    <xf numFmtId="3" fontId="0" fillId="3" borderId="44" xfId="0" applyNumberFormat="1" applyFill="1" applyBorder="1" applyAlignment="1">
      <alignment horizontal="center" vertical="center"/>
    </xf>
    <xf numFmtId="3" fontId="0" fillId="3" borderId="29" xfId="0" applyNumberForma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3" borderId="37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9" fontId="0" fillId="3" borderId="36" xfId="0" applyNumberFormat="1" applyFill="1" applyBorder="1" applyAlignment="1">
      <alignment horizontal="center" vertical="center"/>
    </xf>
    <xf numFmtId="9" fontId="0" fillId="3" borderId="44" xfId="0" applyNumberFormat="1" applyFill="1" applyBorder="1" applyAlignment="1">
      <alignment horizontal="center" vertical="center"/>
    </xf>
    <xf numFmtId="9" fontId="0" fillId="3" borderId="29" xfId="0" applyNumberFormat="1" applyFill="1" applyBorder="1" applyAlignment="1">
      <alignment horizontal="center" vertical="center"/>
    </xf>
    <xf numFmtId="9" fontId="0" fillId="3" borderId="26" xfId="0" applyNumberFormat="1" applyFill="1" applyBorder="1" applyAlignment="1">
      <alignment horizontal="center" vertical="center"/>
    </xf>
    <xf numFmtId="9" fontId="0" fillId="3" borderId="45" xfId="0" applyNumberFormat="1" applyFill="1" applyBorder="1" applyAlignment="1">
      <alignment horizontal="center" vertical="center"/>
    </xf>
    <xf numFmtId="9" fontId="0" fillId="3" borderId="46" xfId="0" applyNumberForma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5" fillId="6" borderId="0" xfId="0" applyFont="1" applyFill="1"/>
    <xf numFmtId="0" fontId="1" fillId="6" borderId="0" xfId="0" applyFont="1" applyFill="1" applyAlignment="1">
      <alignment horizontal="center"/>
    </xf>
    <xf numFmtId="0" fontId="3" fillId="3" borderId="18" xfId="0" applyFont="1" applyFill="1" applyBorder="1"/>
    <xf numFmtId="0" fontId="3" fillId="3" borderId="21" xfId="0" applyFont="1" applyFill="1" applyBorder="1"/>
    <xf numFmtId="0" fontId="3" fillId="3" borderId="2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1" fillId="4" borderId="38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2" borderId="56" xfId="0" applyFont="1" applyFill="1" applyBorder="1" applyAlignment="1">
      <alignment horizontal="center" vertical="center"/>
    </xf>
    <xf numFmtId="0" fontId="1" fillId="2" borderId="57" xfId="0" applyFont="1" applyFill="1" applyBorder="1" applyAlignment="1">
      <alignment horizontal="center" vertical="center"/>
    </xf>
    <xf numFmtId="0" fontId="1" fillId="2" borderId="58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28" xfId="0" applyFill="1" applyBorder="1" applyAlignment="1">
      <alignment horizont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colors>
    <mruColors>
      <color rgb="FF4A759C"/>
      <color rgb="FFA4BDD4"/>
      <color rgb="FFD0DDE8"/>
      <color rgb="FF7DA1C1"/>
      <color rgb="FFA9CA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0"/>
  <sheetViews>
    <sheetView tabSelected="1" topLeftCell="A18" zoomScale="85" zoomScaleNormal="85" workbookViewId="0">
      <selection activeCell="T39" sqref="T39"/>
    </sheetView>
  </sheetViews>
  <sheetFormatPr defaultRowHeight="15" x14ac:dyDescent="0.25"/>
  <cols>
    <col min="1" max="1" width="28.42578125" customWidth="1"/>
    <col min="3" max="3" width="12" bestFit="1" customWidth="1"/>
    <col min="4" max="4" width="9.28515625" customWidth="1"/>
    <col min="11" max="11" width="11.28515625" customWidth="1"/>
    <col min="12" max="12" width="15" customWidth="1"/>
    <col min="13" max="13" width="19.42578125" customWidth="1"/>
    <col min="14" max="14" width="15.42578125" customWidth="1"/>
    <col min="15" max="15" width="21.42578125" customWidth="1"/>
    <col min="16" max="16" width="16.7109375" customWidth="1"/>
    <col min="17" max="17" width="17.140625" customWidth="1"/>
    <col min="18" max="18" width="15.42578125" customWidth="1"/>
    <col min="19" max="19" width="21.42578125" customWidth="1"/>
    <col min="20" max="20" width="16" customWidth="1"/>
  </cols>
  <sheetData>
    <row r="1" spans="1:20" ht="15.75" thickBot="1" x14ac:dyDescent="0.3">
      <c r="A1" s="6" t="s">
        <v>0</v>
      </c>
      <c r="B1" s="5">
        <v>0.03</v>
      </c>
      <c r="C1" t="s">
        <v>5</v>
      </c>
    </row>
    <row r="2" spans="1:20" ht="15.75" thickBot="1" x14ac:dyDescent="0.3"/>
    <row r="3" spans="1:20" x14ac:dyDescent="0.25">
      <c r="A3" s="9" t="s">
        <v>1</v>
      </c>
      <c r="B3" s="7">
        <v>0.6</v>
      </c>
      <c r="C3" t="s">
        <v>4</v>
      </c>
      <c r="G3" t="s">
        <v>7</v>
      </c>
    </row>
    <row r="4" spans="1:20" ht="15.75" thickBot="1" x14ac:dyDescent="0.3">
      <c r="A4" s="10" t="s">
        <v>2</v>
      </c>
      <c r="B4" s="8">
        <v>0.4</v>
      </c>
      <c r="C4" t="s">
        <v>3</v>
      </c>
      <c r="G4" t="s">
        <v>6</v>
      </c>
    </row>
    <row r="5" spans="1:20" ht="15.75" thickBot="1" x14ac:dyDescent="0.3"/>
    <row r="6" spans="1:20" ht="15.75" thickBot="1" x14ac:dyDescent="0.3">
      <c r="A6" s="6" t="s">
        <v>42</v>
      </c>
      <c r="B6" s="104">
        <v>0.88</v>
      </c>
      <c r="C6" s="103" t="s">
        <v>43</v>
      </c>
      <c r="D6" s="54"/>
      <c r="E6" s="54"/>
    </row>
    <row r="9" spans="1:20" x14ac:dyDescent="0.25">
      <c r="A9" s="172" t="s">
        <v>26</v>
      </c>
      <c r="B9" s="172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1"/>
    </row>
    <row r="10" spans="1:20" ht="15.75" thickBot="1" x14ac:dyDescent="0.3"/>
    <row r="11" spans="1:20" ht="15.75" thickBot="1" x14ac:dyDescent="0.3">
      <c r="A11" s="47" t="s">
        <v>44</v>
      </c>
      <c r="B11" s="146" t="s">
        <v>10</v>
      </c>
      <c r="C11" s="147"/>
      <c r="D11" s="146" t="s">
        <v>11</v>
      </c>
      <c r="E11" s="147"/>
      <c r="F11" s="148"/>
      <c r="G11" s="146" t="s">
        <v>12</v>
      </c>
      <c r="H11" s="147"/>
      <c r="I11" s="148"/>
      <c r="K11" s="39" t="s">
        <v>15</v>
      </c>
      <c r="L11" s="146">
        <v>2020</v>
      </c>
      <c r="M11" s="147"/>
      <c r="N11" s="147"/>
      <c r="O11" s="148"/>
      <c r="P11" s="155">
        <v>2050</v>
      </c>
      <c r="Q11" s="156"/>
      <c r="R11" s="156"/>
      <c r="S11" s="157"/>
    </row>
    <row r="12" spans="1:20" ht="15.75" thickBot="1" x14ac:dyDescent="0.3">
      <c r="A12" s="9" t="s">
        <v>24</v>
      </c>
      <c r="B12" s="15">
        <v>2030</v>
      </c>
      <c r="C12" s="17">
        <v>2040</v>
      </c>
      <c r="D12" s="15">
        <v>2035</v>
      </c>
      <c r="E12" s="16">
        <v>2040</v>
      </c>
      <c r="F12" s="17">
        <v>2050</v>
      </c>
      <c r="G12" s="15">
        <v>2035</v>
      </c>
      <c r="H12" s="16">
        <v>2040</v>
      </c>
      <c r="I12" s="17">
        <v>2050</v>
      </c>
      <c r="K12" s="43" t="s">
        <v>18</v>
      </c>
      <c r="L12" s="44" t="s">
        <v>23</v>
      </c>
      <c r="M12" s="45" t="s">
        <v>22</v>
      </c>
      <c r="N12" s="45" t="s">
        <v>17</v>
      </c>
      <c r="O12" s="46" t="s">
        <v>14</v>
      </c>
      <c r="P12" s="44" t="s">
        <v>23</v>
      </c>
      <c r="Q12" s="45" t="s">
        <v>22</v>
      </c>
      <c r="R12" s="45" t="s">
        <v>17</v>
      </c>
      <c r="S12" s="46" t="s">
        <v>14</v>
      </c>
    </row>
    <row r="13" spans="1:20" x14ac:dyDescent="0.25">
      <c r="A13" s="22" t="s">
        <v>9</v>
      </c>
      <c r="B13" s="18">
        <v>1250</v>
      </c>
      <c r="C13" s="19">
        <v>1500</v>
      </c>
      <c r="D13" s="18">
        <v>1250</v>
      </c>
      <c r="E13" s="173">
        <v>3870</v>
      </c>
      <c r="F13" s="174">
        <v>5650</v>
      </c>
      <c r="G13" s="175">
        <v>1250</v>
      </c>
      <c r="H13" s="173">
        <v>4030</v>
      </c>
      <c r="I13" s="174">
        <v>6050</v>
      </c>
      <c r="K13" s="40" t="s">
        <v>19</v>
      </c>
      <c r="L13" s="18">
        <f>700*B6</f>
        <v>616</v>
      </c>
      <c r="M13" s="41">
        <v>0.03</v>
      </c>
      <c r="N13" s="42">
        <v>80000</v>
      </c>
      <c r="O13" s="19">
        <v>50</v>
      </c>
      <c r="P13" s="161">
        <f>200*B6</f>
        <v>176</v>
      </c>
      <c r="Q13" s="41">
        <v>0.03</v>
      </c>
      <c r="R13" s="42">
        <v>120000</v>
      </c>
      <c r="S13" s="158">
        <v>45</v>
      </c>
    </row>
    <row r="14" spans="1:20" ht="15.75" thickBot="1" x14ac:dyDescent="0.3">
      <c r="K14" s="37" t="s">
        <v>20</v>
      </c>
      <c r="L14" s="20">
        <f>(L13+L15)/2</f>
        <v>924</v>
      </c>
      <c r="M14" s="33">
        <v>0.04</v>
      </c>
      <c r="N14" s="1">
        <f>(N13+N15)/2</f>
        <v>65000</v>
      </c>
      <c r="O14" s="3">
        <f>(O13+O15)/2</f>
        <v>66.5</v>
      </c>
      <c r="P14" s="162"/>
      <c r="Q14" s="33">
        <v>0.04</v>
      </c>
      <c r="R14" s="1">
        <f>(R13+R15)/2</f>
        <v>110000</v>
      </c>
      <c r="S14" s="159"/>
    </row>
    <row r="15" spans="1:20" ht="15.75" thickBot="1" x14ac:dyDescent="0.3">
      <c r="A15" s="52" t="s">
        <v>25</v>
      </c>
      <c r="B15" s="53">
        <v>2030</v>
      </c>
      <c r="C15" s="24">
        <v>2035</v>
      </c>
      <c r="D15" s="24">
        <v>2040</v>
      </c>
      <c r="E15" s="25">
        <v>2050</v>
      </c>
      <c r="K15" s="38" t="s">
        <v>21</v>
      </c>
      <c r="L15" s="21">
        <f>1400*B6</f>
        <v>1232</v>
      </c>
      <c r="M15" s="34">
        <v>0.05</v>
      </c>
      <c r="N15" s="35">
        <v>50000</v>
      </c>
      <c r="O15" s="4">
        <v>83</v>
      </c>
      <c r="P15" s="163"/>
      <c r="Q15" s="34">
        <v>0.05</v>
      </c>
      <c r="R15" s="35">
        <v>100000</v>
      </c>
      <c r="S15" s="160"/>
    </row>
    <row r="16" spans="1:20" x14ac:dyDescent="0.25">
      <c r="A16" s="22" t="s">
        <v>16</v>
      </c>
      <c r="B16" s="67">
        <f>$L$14+(($P$13-$L$14)/($P$11-$L$11))*(B15-$L$11)</f>
        <v>674.66666666666663</v>
      </c>
      <c r="C16" s="68">
        <f>$L$14+(($P$13-$L$14)/($P$11-$L$11))*(C15-$L$11)</f>
        <v>550</v>
      </c>
      <c r="D16" s="68">
        <f>$L$14+(($P$13-$L$14)/($P$11-$L$11))*(D15-$L$11)</f>
        <v>425.33333333333331</v>
      </c>
      <c r="E16" s="69">
        <f>P13</f>
        <v>176</v>
      </c>
    </row>
    <row r="17" spans="1:25" x14ac:dyDescent="0.25">
      <c r="A17" s="12" t="s">
        <v>38</v>
      </c>
      <c r="B17" s="20">
        <f>B16*$M$14</f>
        <v>26.986666666666665</v>
      </c>
      <c r="C17" s="11">
        <f t="shared" ref="C17:E17" si="0">C16*$M$14</f>
        <v>22</v>
      </c>
      <c r="D17" s="11">
        <f t="shared" si="0"/>
        <v>17.013333333333332</v>
      </c>
      <c r="E17" s="32">
        <f t="shared" si="0"/>
        <v>7.04</v>
      </c>
    </row>
    <row r="18" spans="1:25" x14ac:dyDescent="0.25">
      <c r="A18" s="12" t="s">
        <v>37</v>
      </c>
      <c r="B18" s="20">
        <f>B17*B19/8760</f>
        <v>246.45357686453573</v>
      </c>
      <c r="C18" s="11">
        <f>C17*C19/8760</f>
        <v>219.74885844748857</v>
      </c>
      <c r="D18" s="11">
        <f>D17*D19/8760</f>
        <v>184.50532724505325</v>
      </c>
      <c r="E18" s="32">
        <f>E17*E19/8760</f>
        <v>88.401826484018258</v>
      </c>
    </row>
    <row r="19" spans="1:25" x14ac:dyDescent="0.25">
      <c r="A19" s="12" t="s">
        <v>17</v>
      </c>
      <c r="B19" s="20">
        <f>$N$14+(($R$14-$N$14)/($P$11-$L$11))*(B15-$L$11)</f>
        <v>80000</v>
      </c>
      <c r="C19" s="1">
        <f>$N$14+(($R$14-$N$14)/($P$11-$L$11))*(C15-$L$11)</f>
        <v>87500</v>
      </c>
      <c r="D19" s="1">
        <f>$N$14+(($R$14-$N$14)/($P$11-$L$11))*(D15-$L$11)</f>
        <v>95000</v>
      </c>
      <c r="E19" s="50">
        <f>R14</f>
        <v>110000</v>
      </c>
    </row>
    <row r="20" spans="1:25" ht="15.75" thickBot="1" x14ac:dyDescent="0.3">
      <c r="A20" s="10" t="s">
        <v>14</v>
      </c>
      <c r="B20" s="21">
        <f>$O$14+(($S$13-$O$14)/($P$11-$L$11))*(B12-$L$11)</f>
        <v>59.333333333333336</v>
      </c>
      <c r="C20" s="51">
        <f>$O$14+(($S$13-$O$14)/($P$11-$L$11))*(D12-$L$11)</f>
        <v>55.75</v>
      </c>
      <c r="D20" s="51">
        <f>$O$14+(($S$13-$O$14)/($P$11-$L$11))*(E12-$L$11)</f>
        <v>52.166666666666664</v>
      </c>
      <c r="E20" s="4">
        <v>45</v>
      </c>
      <c r="Y20" s="36"/>
    </row>
    <row r="22" spans="1:25" x14ac:dyDescent="0.25">
      <c r="A22" s="172" t="s">
        <v>27</v>
      </c>
      <c r="B22" s="172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1"/>
    </row>
    <row r="23" spans="1:25" ht="15.75" thickBot="1" x14ac:dyDescent="0.3"/>
    <row r="24" spans="1:25" ht="15.75" thickBot="1" x14ac:dyDescent="0.3">
      <c r="A24" s="47" t="s">
        <v>45</v>
      </c>
      <c r="B24" s="146" t="s">
        <v>10</v>
      </c>
      <c r="C24" s="148"/>
      <c r="D24" s="146" t="s">
        <v>11</v>
      </c>
      <c r="E24" s="147"/>
      <c r="F24" s="148"/>
      <c r="G24" s="146" t="s">
        <v>12</v>
      </c>
      <c r="H24" s="147"/>
      <c r="I24" s="148"/>
    </row>
    <row r="25" spans="1:25" ht="15.75" thickBot="1" x14ac:dyDescent="0.3">
      <c r="A25" s="9" t="s">
        <v>24</v>
      </c>
      <c r="B25" s="15">
        <v>2030</v>
      </c>
      <c r="C25" s="17">
        <v>2040</v>
      </c>
      <c r="D25" s="23">
        <v>2035</v>
      </c>
      <c r="E25" s="16">
        <v>2040</v>
      </c>
      <c r="F25" s="17">
        <v>2050</v>
      </c>
      <c r="G25" s="15">
        <v>2035</v>
      </c>
      <c r="H25" s="16">
        <v>2040</v>
      </c>
      <c r="I25" s="17">
        <v>2050</v>
      </c>
    </row>
    <row r="26" spans="1:25" x14ac:dyDescent="0.25">
      <c r="A26" s="22" t="s">
        <v>9</v>
      </c>
      <c r="B26" s="18">
        <v>0</v>
      </c>
      <c r="C26" s="19">
        <v>0</v>
      </c>
      <c r="D26" s="13">
        <v>3510</v>
      </c>
      <c r="E26" s="14">
        <v>4750</v>
      </c>
      <c r="F26" s="19">
        <v>8250</v>
      </c>
      <c r="G26" s="18">
        <v>2260</v>
      </c>
      <c r="H26" s="14">
        <v>3220</v>
      </c>
      <c r="I26" s="19">
        <v>4640</v>
      </c>
    </row>
    <row r="27" spans="1:25" ht="15.75" thickBot="1" x14ac:dyDescent="0.3"/>
    <row r="28" spans="1:25" ht="15.75" thickBot="1" x14ac:dyDescent="0.3">
      <c r="A28" s="52" t="s">
        <v>40</v>
      </c>
      <c r="B28" s="53">
        <v>2030</v>
      </c>
      <c r="C28" s="24">
        <v>2035</v>
      </c>
      <c r="D28" s="24">
        <v>2040</v>
      </c>
      <c r="E28" s="25">
        <v>2050</v>
      </c>
      <c r="K28" s="113"/>
      <c r="L28" s="146">
        <v>2015</v>
      </c>
      <c r="M28" s="147"/>
      <c r="N28" s="147"/>
      <c r="O28" s="147"/>
      <c r="P28" s="148"/>
    </row>
    <row r="29" spans="1:25" ht="15.75" thickBot="1" x14ac:dyDescent="0.3">
      <c r="A29" s="22" t="s">
        <v>16</v>
      </c>
      <c r="B29" s="13">
        <f>$L$30*((1-$P$31)^(B28-$L$28))*((1+$B$1)^(B28-$L$28))</f>
        <v>76.503717698058423</v>
      </c>
      <c r="C29" s="13">
        <f t="shared" ref="C29:E29" si="1">$L$30*((1-$P$31)^(C28-$L$28))*((1+$B$1)^(C28-$L$28))</f>
        <v>82.233697159255527</v>
      </c>
      <c r="D29" s="13">
        <f t="shared" si="1"/>
        <v>88.392840922706824</v>
      </c>
      <c r="E29" s="13">
        <f t="shared" si="1"/>
        <v>102.12960312888494</v>
      </c>
      <c r="K29" s="43" t="s">
        <v>18</v>
      </c>
      <c r="L29" s="81" t="s">
        <v>41</v>
      </c>
      <c r="M29" s="75" t="s">
        <v>22</v>
      </c>
      <c r="N29" s="75" t="s">
        <v>17</v>
      </c>
      <c r="O29" s="82" t="s">
        <v>29</v>
      </c>
      <c r="P29" s="82" t="s">
        <v>36</v>
      </c>
    </row>
    <row r="30" spans="1:25" x14ac:dyDescent="0.25">
      <c r="A30" s="12" t="s">
        <v>35</v>
      </c>
      <c r="B30" s="11">
        <v>2.2000000000000002</v>
      </c>
      <c r="C30" s="11">
        <f>$B$30*((1-$P$31)^(C28-$B$28))</f>
        <v>2.0398763052043751</v>
      </c>
      <c r="D30" s="11">
        <f t="shared" ref="D30:E30" si="2">$B$30*((1-$P$31)^(D28-$B$28))</f>
        <v>1.8914069729701148</v>
      </c>
      <c r="E30" s="11">
        <f t="shared" si="2"/>
        <v>1.6261001533636241</v>
      </c>
      <c r="K30" s="79" t="s">
        <v>19</v>
      </c>
      <c r="L30" s="149">
        <f>70*B6</f>
        <v>61.6</v>
      </c>
      <c r="M30" s="80">
        <v>0.03</v>
      </c>
      <c r="N30" s="152">
        <f>20*8760</f>
        <v>175200</v>
      </c>
      <c r="O30" s="97">
        <v>0.95</v>
      </c>
      <c r="P30" s="84">
        <v>0.01</v>
      </c>
    </row>
    <row r="31" spans="1:25" x14ac:dyDescent="0.25">
      <c r="A31" s="12" t="s">
        <v>38</v>
      </c>
      <c r="B31" s="11">
        <f>B29*$P$31</f>
        <v>1.1475557654708763</v>
      </c>
      <c r="C31" s="11">
        <f t="shared" ref="C31:E31" si="3">C29*$P$31</f>
        <v>1.2335054573888329</v>
      </c>
      <c r="D31" s="11">
        <f t="shared" si="3"/>
        <v>1.3258926138406024</v>
      </c>
      <c r="E31" s="11">
        <f t="shared" si="3"/>
        <v>1.5319440469332739</v>
      </c>
      <c r="K31" s="37" t="s">
        <v>20</v>
      </c>
      <c r="L31" s="150"/>
      <c r="M31" s="33">
        <v>0.04</v>
      </c>
      <c r="N31" s="153"/>
      <c r="O31" s="98">
        <f>AVERAGE(O32,O30)</f>
        <v>0.91500000000000004</v>
      </c>
      <c r="P31" s="86">
        <f>AVERAGE(P30,P32)</f>
        <v>1.4999999999999999E-2</v>
      </c>
    </row>
    <row r="32" spans="1:25" ht="15.75" thickBot="1" x14ac:dyDescent="0.3">
      <c r="A32" s="12" t="s">
        <v>37</v>
      </c>
      <c r="B32" s="11">
        <f>B31*B33/8760</f>
        <v>22.951115309417528</v>
      </c>
      <c r="C32" s="11">
        <f t="shared" ref="C32:E32" si="4">C31*C33/8760</f>
        <v>24.670109147776657</v>
      </c>
      <c r="D32" s="11">
        <f t="shared" si="4"/>
        <v>26.517852276812047</v>
      </c>
      <c r="E32" s="11">
        <f t="shared" si="4"/>
        <v>30.63888093866548</v>
      </c>
      <c r="K32" s="38" t="s">
        <v>21</v>
      </c>
      <c r="L32" s="151"/>
      <c r="M32" s="77">
        <v>0.05</v>
      </c>
      <c r="N32" s="154"/>
      <c r="O32" s="99">
        <v>0.88</v>
      </c>
      <c r="P32" s="85">
        <v>0.02</v>
      </c>
    </row>
    <row r="33" spans="1:17" x14ac:dyDescent="0.25">
      <c r="A33" s="12" t="s">
        <v>17</v>
      </c>
      <c r="B33" s="105">
        <f>$N$30</f>
        <v>175200</v>
      </c>
      <c r="C33" s="105">
        <f t="shared" ref="C33:E33" si="5">$N$30</f>
        <v>175200</v>
      </c>
      <c r="D33" s="105">
        <f t="shared" si="5"/>
        <v>175200</v>
      </c>
      <c r="E33" s="105">
        <f t="shared" si="5"/>
        <v>175200</v>
      </c>
    </row>
    <row r="34" spans="1:17" ht="15.75" thickBot="1" x14ac:dyDescent="0.3">
      <c r="A34" s="10" t="s">
        <v>14</v>
      </c>
      <c r="B34" s="114">
        <f>$O$31+((($E$34-$O$31)/($E$28-$L$28))*(B28-$L$28))</f>
        <v>0.93</v>
      </c>
      <c r="C34" s="114">
        <f t="shared" ref="C34:D34" si="6">$O$31+((($E$34-$O$31)/($E$28-$L$28))*(C28-$L$28))</f>
        <v>0.93499999999999994</v>
      </c>
      <c r="D34" s="114">
        <f t="shared" si="6"/>
        <v>0.94</v>
      </c>
      <c r="E34" s="55">
        <f>O30</f>
        <v>0.95</v>
      </c>
    </row>
    <row r="35" spans="1:17" ht="15.75" thickBot="1" x14ac:dyDescent="0.3"/>
    <row r="36" spans="1:17" ht="15.75" thickBot="1" x14ac:dyDescent="0.3">
      <c r="A36" s="52" t="s">
        <v>32</v>
      </c>
      <c r="B36" s="91">
        <v>2030</v>
      </c>
      <c r="C36" s="58">
        <v>2035</v>
      </c>
      <c r="D36" s="58">
        <v>2040</v>
      </c>
      <c r="E36" s="59">
        <v>2050</v>
      </c>
      <c r="K36" s="39"/>
      <c r="L36" s="146">
        <v>2030</v>
      </c>
      <c r="M36" s="147"/>
      <c r="N36" s="147"/>
      <c r="O36" s="147"/>
      <c r="P36" s="147"/>
      <c r="Q36" s="148"/>
    </row>
    <row r="37" spans="1:17" ht="15.75" thickBot="1" x14ac:dyDescent="0.3">
      <c r="A37" s="88" t="s">
        <v>33</v>
      </c>
      <c r="B37" s="67">
        <f>$L$38*((1-$Q$39)^(B36-$L$36))*((1+$B$1)^(B36-$L$36))</f>
        <v>10</v>
      </c>
      <c r="C37" s="68">
        <f>$L$38*((1-$Q$39)^(C36-$L$36))*((1+$B$1)^(C36-$L$36))</f>
        <v>10.748980524555934</v>
      </c>
      <c r="D37" s="68">
        <f>$L$38*((1-$Q$39)^(D36-$L$36))*((1+$B$1)^(D36-$L$36))</f>
        <v>11.554058231728282</v>
      </c>
      <c r="E37" s="69">
        <f>$L$38*((1-$Q$39)^(E36-$L$36))*((1+$B$1)^(E36-$L$36))</f>
        <v>13.349626162216804</v>
      </c>
      <c r="K37" s="43" t="s">
        <v>18</v>
      </c>
      <c r="L37" s="44" t="s">
        <v>33</v>
      </c>
      <c r="M37" s="45" t="s">
        <v>34</v>
      </c>
      <c r="N37" s="45" t="s">
        <v>22</v>
      </c>
      <c r="O37" s="45" t="s">
        <v>17</v>
      </c>
      <c r="P37" s="46" t="s">
        <v>29</v>
      </c>
      <c r="Q37" s="82" t="s">
        <v>36</v>
      </c>
    </row>
    <row r="38" spans="1:17" x14ac:dyDescent="0.25">
      <c r="A38" s="89" t="s">
        <v>38</v>
      </c>
      <c r="B38" s="20">
        <f>B37*$N$38</f>
        <v>0.2</v>
      </c>
      <c r="C38" s="1">
        <f t="shared" ref="C38:E38" si="7">C37*$N$38</f>
        <v>0.21497961049111869</v>
      </c>
      <c r="D38" s="1">
        <f t="shared" si="7"/>
        <v>0.23108116463456566</v>
      </c>
      <c r="E38" s="3">
        <f t="shared" si="7"/>
        <v>0.26699252324433609</v>
      </c>
      <c r="F38" s="48"/>
      <c r="I38" s="48"/>
      <c r="K38" s="40" t="s">
        <v>19</v>
      </c>
      <c r="L38" s="161">
        <v>10</v>
      </c>
      <c r="M38" s="42">
        <v>150000</v>
      </c>
      <c r="N38" s="164">
        <v>0.02</v>
      </c>
      <c r="O38" s="74">
        <f>50*8760</f>
        <v>438000</v>
      </c>
      <c r="P38" s="164">
        <v>1</v>
      </c>
      <c r="Q38" s="84">
        <v>0.01</v>
      </c>
    </row>
    <row r="39" spans="1:17" x14ac:dyDescent="0.25">
      <c r="A39" s="89" t="s">
        <v>37</v>
      </c>
      <c r="B39" s="20">
        <f>B38*$O$39/8760</f>
        <v>8</v>
      </c>
      <c r="C39" s="1">
        <f t="shared" ref="C39:E39" si="8">C38*$O$39/8760</f>
        <v>8.5991844196447484</v>
      </c>
      <c r="D39" s="1">
        <f t="shared" si="8"/>
        <v>9.2432465853826251</v>
      </c>
      <c r="E39" s="3">
        <f t="shared" si="8"/>
        <v>10.679700929773444</v>
      </c>
      <c r="K39" s="37" t="s">
        <v>20</v>
      </c>
      <c r="L39" s="162"/>
      <c r="M39" s="49">
        <f>AVERAGE(M38,M40)</f>
        <v>125000</v>
      </c>
      <c r="N39" s="165"/>
      <c r="O39" s="76">
        <f>(O38+O40)/2</f>
        <v>350400</v>
      </c>
      <c r="P39" s="165"/>
      <c r="Q39" s="86">
        <f>AVERAGE(Q38,Q40)</f>
        <v>1.4999999999999999E-2</v>
      </c>
    </row>
    <row r="40" spans="1:17" ht="15.75" thickBot="1" x14ac:dyDescent="0.3">
      <c r="A40" s="89" t="s">
        <v>17</v>
      </c>
      <c r="B40" s="87">
        <f>$O$39</f>
        <v>350400</v>
      </c>
      <c r="C40" s="49">
        <f>$O$39</f>
        <v>350400</v>
      </c>
      <c r="D40" s="49">
        <f>$O$39</f>
        <v>350400</v>
      </c>
      <c r="E40" s="50">
        <f>$O$39</f>
        <v>350400</v>
      </c>
      <c r="K40" s="38" t="s">
        <v>21</v>
      </c>
      <c r="L40" s="163"/>
      <c r="M40" s="83">
        <v>100000</v>
      </c>
      <c r="N40" s="166"/>
      <c r="O40" s="78">
        <f>30*8760</f>
        <v>262800</v>
      </c>
      <c r="P40" s="166"/>
      <c r="Q40" s="85">
        <v>0.02</v>
      </c>
    </row>
    <row r="41" spans="1:17" ht="15.75" thickBot="1" x14ac:dyDescent="0.3">
      <c r="A41" s="90" t="s">
        <v>14</v>
      </c>
      <c r="B41" s="70">
        <f>$P$38</f>
        <v>1</v>
      </c>
      <c r="C41" s="34">
        <f>$P$38</f>
        <v>1</v>
      </c>
      <c r="D41" s="34">
        <f>$P$38</f>
        <v>1</v>
      </c>
      <c r="E41" s="55">
        <f>$P$38</f>
        <v>1</v>
      </c>
    </row>
    <row r="42" spans="1:17" ht="15.75" thickBot="1" x14ac:dyDescent="0.3"/>
    <row r="43" spans="1:17" ht="15.75" thickBot="1" x14ac:dyDescent="0.3">
      <c r="A43" s="52" t="s">
        <v>39</v>
      </c>
      <c r="B43" s="53">
        <v>2030</v>
      </c>
      <c r="C43" s="24">
        <v>2035</v>
      </c>
      <c r="D43" s="24">
        <v>2040</v>
      </c>
      <c r="E43" s="25">
        <v>2050</v>
      </c>
      <c r="K43" s="113"/>
      <c r="L43" s="146">
        <v>2015</v>
      </c>
      <c r="M43" s="147"/>
      <c r="N43" s="147"/>
      <c r="O43" s="147"/>
      <c r="P43" s="148"/>
    </row>
    <row r="44" spans="1:17" ht="15.75" thickBot="1" x14ac:dyDescent="0.3">
      <c r="A44" s="22" t="s">
        <v>16</v>
      </c>
      <c r="B44" s="67">
        <f>$L$46*((1-$P$46)^(B43-$L$43))*((1+$B$1)^(B43-$L$43))</f>
        <v>76.503717698058423</v>
      </c>
      <c r="C44" s="115">
        <f t="shared" ref="C44:E44" si="9">$L$46*((1-$P$46)^(C43-$L$43))*((1+$B$1)^(C43-$L$43))</f>
        <v>82.233697159255527</v>
      </c>
      <c r="D44" s="115">
        <f t="shared" si="9"/>
        <v>88.392840922706824</v>
      </c>
      <c r="E44" s="116">
        <f t="shared" si="9"/>
        <v>102.12960312888494</v>
      </c>
      <c r="K44" s="43" t="s">
        <v>18</v>
      </c>
      <c r="L44" s="81" t="s">
        <v>41</v>
      </c>
      <c r="M44" s="75" t="s">
        <v>22</v>
      </c>
      <c r="N44" s="75" t="s">
        <v>17</v>
      </c>
      <c r="O44" s="82" t="s">
        <v>29</v>
      </c>
      <c r="P44" s="82" t="s">
        <v>36</v>
      </c>
    </row>
    <row r="45" spans="1:17" x14ac:dyDescent="0.25">
      <c r="A45" s="12" t="s">
        <v>35</v>
      </c>
      <c r="B45" s="20">
        <f>33.33/B49</f>
        <v>35.838709677419352</v>
      </c>
      <c r="C45" s="11">
        <f t="shared" ref="C45:E45" si="10">33.33/C49</f>
        <v>35.647058823529413</v>
      </c>
      <c r="D45" s="11">
        <f t="shared" si="10"/>
        <v>35.457446808510639</v>
      </c>
      <c r="E45" s="32">
        <f t="shared" si="10"/>
        <v>35.084210526315786</v>
      </c>
      <c r="K45" s="79" t="s">
        <v>19</v>
      </c>
      <c r="L45" s="100">
        <f>L30</f>
        <v>61.6</v>
      </c>
      <c r="M45" s="80">
        <v>0.03</v>
      </c>
      <c r="N45" s="152">
        <f>20*8760</f>
        <v>175200</v>
      </c>
      <c r="O45" s="97">
        <v>0.95</v>
      </c>
      <c r="P45" s="84">
        <v>0.02</v>
      </c>
    </row>
    <row r="46" spans="1:17" x14ac:dyDescent="0.25">
      <c r="A46" s="12" t="s">
        <v>38</v>
      </c>
      <c r="B46" s="20">
        <f>B44*$P$46</f>
        <v>1.1475557654708763</v>
      </c>
      <c r="C46" s="11">
        <f t="shared" ref="C46:E46" si="11">C44*$P$46</f>
        <v>1.2335054573888329</v>
      </c>
      <c r="D46" s="11">
        <f t="shared" si="11"/>
        <v>1.3258926138406024</v>
      </c>
      <c r="E46" s="32">
        <f t="shared" si="11"/>
        <v>1.5319440469332739</v>
      </c>
      <c r="K46" s="37" t="s">
        <v>20</v>
      </c>
      <c r="L46" s="102">
        <f>AVERAGE(L47,L45)</f>
        <v>61.6</v>
      </c>
      <c r="M46" s="33">
        <v>0.04</v>
      </c>
      <c r="N46" s="153"/>
      <c r="O46" s="98">
        <f>AVERAGE(O47,O45)</f>
        <v>0.91500000000000004</v>
      </c>
      <c r="P46" s="86">
        <f>AVERAGE(P45,P47)</f>
        <v>1.4999999999999999E-2</v>
      </c>
    </row>
    <row r="47" spans="1:17" ht="15.75" thickBot="1" x14ac:dyDescent="0.3">
      <c r="A47" s="12" t="s">
        <v>37</v>
      </c>
      <c r="B47" s="20">
        <f>B46*B48/8760</f>
        <v>22.951115309417528</v>
      </c>
      <c r="C47" s="11">
        <f t="shared" ref="C47:E47" si="12">C46*C48/8760</f>
        <v>24.670109147776657</v>
      </c>
      <c r="D47" s="11">
        <f t="shared" si="12"/>
        <v>26.517852276812047</v>
      </c>
      <c r="E47" s="32">
        <f t="shared" si="12"/>
        <v>30.63888093866548</v>
      </c>
      <c r="K47" s="38" t="s">
        <v>21</v>
      </c>
      <c r="L47" s="101">
        <f>L30</f>
        <v>61.6</v>
      </c>
      <c r="M47" s="77">
        <v>0.05</v>
      </c>
      <c r="N47" s="154"/>
      <c r="O47" s="99">
        <v>0.88</v>
      </c>
      <c r="P47" s="85">
        <v>0.01</v>
      </c>
    </row>
    <row r="48" spans="1:17" x14ac:dyDescent="0.25">
      <c r="A48" s="12" t="s">
        <v>17</v>
      </c>
      <c r="B48" s="87">
        <f>$N$45</f>
        <v>175200</v>
      </c>
      <c r="C48" s="105">
        <f t="shared" ref="C48:E48" si="13">$N$45</f>
        <v>175200</v>
      </c>
      <c r="D48" s="105">
        <f t="shared" si="13"/>
        <v>175200</v>
      </c>
      <c r="E48" s="117">
        <f t="shared" si="13"/>
        <v>175200</v>
      </c>
    </row>
    <row r="49" spans="1:20" ht="15.75" thickBot="1" x14ac:dyDescent="0.3">
      <c r="A49" s="10" t="s">
        <v>14</v>
      </c>
      <c r="B49" s="118">
        <f>$O$46+((($E$49-$O$46)/($E$43-$L$43))*(B43-$L$43))</f>
        <v>0.93</v>
      </c>
      <c r="C49" s="114">
        <f t="shared" ref="C49:D49" si="14">$O$46+((($E$49-$O$46)/($E$43-$L$43))*(C43-$L$43))</f>
        <v>0.93499999999999994</v>
      </c>
      <c r="D49" s="114">
        <f t="shared" si="14"/>
        <v>0.94</v>
      </c>
      <c r="E49" s="55">
        <f>O45</f>
        <v>0.95</v>
      </c>
    </row>
    <row r="50" spans="1:20" ht="15.75" thickBot="1" x14ac:dyDescent="0.3"/>
    <row r="51" spans="1:20" ht="15.75" thickBot="1" x14ac:dyDescent="0.3">
      <c r="A51" s="52" t="s">
        <v>31</v>
      </c>
      <c r="B51" s="91">
        <v>2030</v>
      </c>
      <c r="C51" s="58">
        <v>2035</v>
      </c>
      <c r="D51" s="58">
        <v>2040</v>
      </c>
      <c r="E51" s="59">
        <v>2050</v>
      </c>
      <c r="K51" s="39"/>
      <c r="L51" s="146">
        <v>2030</v>
      </c>
      <c r="M51" s="147"/>
      <c r="N51" s="147"/>
      <c r="O51" s="147"/>
      <c r="P51" s="147"/>
      <c r="Q51" s="148"/>
    </row>
    <row r="52" spans="1:20" ht="15.75" thickBot="1" x14ac:dyDescent="0.3">
      <c r="A52" s="88" t="s">
        <v>33</v>
      </c>
      <c r="B52" s="67">
        <f>$L$53*((1-$Q$54)^(B51-$L$51))*((1+$B$1)^(B51-$L$51))</f>
        <v>500</v>
      </c>
      <c r="C52" s="68">
        <f>$L$53*((1-$Q$54)^(C51-$L$51))*((1+$B$1)^(C51-$L$51))</f>
        <v>460.43993695472608</v>
      </c>
      <c r="D52" s="68">
        <f>$L$53*((1-$Q$54)^(D51-$L$51))*((1+$B$1)^(D51-$L$51))</f>
        <v>424.00987108574446</v>
      </c>
      <c r="E52" s="69">
        <f>$L$53*((1-$Q$54)^(E51-$L$51))*((1+$B$1)^(E51-$L$51))</f>
        <v>359.56874155629924</v>
      </c>
      <c r="K52" s="43" t="s">
        <v>18</v>
      </c>
      <c r="L52" s="81" t="s">
        <v>33</v>
      </c>
      <c r="M52" s="45" t="s">
        <v>34</v>
      </c>
      <c r="N52" s="75" t="s">
        <v>22</v>
      </c>
      <c r="O52" s="75" t="s">
        <v>17</v>
      </c>
      <c r="P52" s="82" t="s">
        <v>29</v>
      </c>
      <c r="Q52" s="82" t="s">
        <v>36</v>
      </c>
    </row>
    <row r="53" spans="1:20" x14ac:dyDescent="0.25">
      <c r="A53" s="89" t="s">
        <v>38</v>
      </c>
      <c r="B53" s="20">
        <f>B52*$N$53</f>
        <v>10</v>
      </c>
      <c r="C53" s="1">
        <f>C52*$N$53</f>
        <v>9.2087987390945223</v>
      </c>
      <c r="D53" s="1">
        <f>D52*$N$53</f>
        <v>8.4801974217148892</v>
      </c>
      <c r="E53" s="3">
        <f>E52*$N$53</f>
        <v>7.1913748311259846</v>
      </c>
      <c r="K53" s="40" t="s">
        <v>19</v>
      </c>
      <c r="L53" s="161">
        <v>500</v>
      </c>
      <c r="M53" s="152">
        <v>10000</v>
      </c>
      <c r="N53" s="164">
        <v>0.02</v>
      </c>
      <c r="O53" s="107">
        <f>30*8760</f>
        <v>262800</v>
      </c>
      <c r="P53" s="167">
        <v>1</v>
      </c>
      <c r="Q53" s="110">
        <v>0.04</v>
      </c>
    </row>
    <row r="54" spans="1:20" x14ac:dyDescent="0.25">
      <c r="A54" s="89" t="s">
        <v>37</v>
      </c>
      <c r="B54" s="20">
        <f>B53*($O$54/8760)</f>
        <v>250</v>
      </c>
      <c r="C54" s="1">
        <f>C53*($O$54/8760)</f>
        <v>230.21996847736307</v>
      </c>
      <c r="D54" s="1">
        <f>D53*($O$54/8760)</f>
        <v>212.00493554287223</v>
      </c>
      <c r="E54" s="3">
        <f>E53*($O$54/8760)</f>
        <v>179.78437077814962</v>
      </c>
      <c r="K54" s="37" t="s">
        <v>20</v>
      </c>
      <c r="L54" s="162"/>
      <c r="M54" s="153"/>
      <c r="N54" s="165"/>
      <c r="O54" s="108">
        <f>(O55+O53)/2</f>
        <v>219000</v>
      </c>
      <c r="P54" s="168"/>
      <c r="Q54" s="111">
        <f>AVERAGE(Q53,Q55)</f>
        <v>4.4999999999999998E-2</v>
      </c>
    </row>
    <row r="55" spans="1:20" ht="15.75" thickBot="1" x14ac:dyDescent="0.3">
      <c r="A55" s="89" t="s">
        <v>17</v>
      </c>
      <c r="B55" s="87">
        <f>$O$54</f>
        <v>219000</v>
      </c>
      <c r="C55" s="49">
        <f>$O$54</f>
        <v>219000</v>
      </c>
      <c r="D55" s="49">
        <f>$O$54</f>
        <v>219000</v>
      </c>
      <c r="E55" s="50">
        <f>$O$54</f>
        <v>219000</v>
      </c>
      <c r="K55" s="38" t="s">
        <v>21</v>
      </c>
      <c r="L55" s="163"/>
      <c r="M55" s="154"/>
      <c r="N55" s="166"/>
      <c r="O55" s="109">
        <f>20*8760</f>
        <v>175200</v>
      </c>
      <c r="P55" s="169"/>
      <c r="Q55" s="112">
        <v>0.05</v>
      </c>
    </row>
    <row r="56" spans="1:20" ht="15.75" thickBot="1" x14ac:dyDescent="0.3">
      <c r="A56" s="90" t="s">
        <v>29</v>
      </c>
      <c r="B56" s="70">
        <f>$P$53</f>
        <v>1</v>
      </c>
      <c r="C56" s="34">
        <f>$P$53</f>
        <v>1</v>
      </c>
      <c r="D56" s="34">
        <f>$P$53</f>
        <v>1</v>
      </c>
      <c r="E56" s="55">
        <f>$P$53</f>
        <v>1</v>
      </c>
      <c r="P56" s="106"/>
    </row>
    <row r="58" spans="1:20" x14ac:dyDescent="0.25">
      <c r="A58" s="170" t="s">
        <v>28</v>
      </c>
      <c r="B58" s="170"/>
      <c r="C58" s="170"/>
      <c r="D58" s="170"/>
      <c r="E58" s="170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1"/>
    </row>
    <row r="59" spans="1:20" ht="15.75" thickBot="1" x14ac:dyDescent="0.3"/>
    <row r="60" spans="1:20" ht="15.75" thickBot="1" x14ac:dyDescent="0.3">
      <c r="A60" s="62" t="s">
        <v>46</v>
      </c>
      <c r="B60" s="29" t="s">
        <v>10</v>
      </c>
      <c r="C60" s="30"/>
      <c r="D60" s="29" t="s">
        <v>11</v>
      </c>
      <c r="E60" s="31"/>
      <c r="F60" s="30"/>
      <c r="G60" s="29" t="s">
        <v>12</v>
      </c>
      <c r="H60" s="31"/>
      <c r="I60" s="30"/>
      <c r="J60" t="s">
        <v>13</v>
      </c>
    </row>
    <row r="61" spans="1:20" ht="15.75" thickBot="1" x14ac:dyDescent="0.3">
      <c r="A61" s="9" t="s">
        <v>8</v>
      </c>
      <c r="B61" s="15">
        <v>2030</v>
      </c>
      <c r="C61" s="17">
        <v>2040</v>
      </c>
      <c r="D61" s="23">
        <v>2035</v>
      </c>
      <c r="E61" s="16">
        <v>2040</v>
      </c>
      <c r="F61" s="17">
        <v>2050</v>
      </c>
      <c r="G61" s="15">
        <v>2035</v>
      </c>
      <c r="H61" s="16">
        <v>2040</v>
      </c>
      <c r="I61" s="17">
        <v>2050</v>
      </c>
      <c r="S61" s="48"/>
    </row>
    <row r="62" spans="1:20" ht="15.75" thickBot="1" x14ac:dyDescent="0.3">
      <c r="A62" s="63" t="s">
        <v>9</v>
      </c>
      <c r="B62" s="26">
        <v>0</v>
      </c>
      <c r="C62" s="28">
        <v>0</v>
      </c>
      <c r="D62" s="64">
        <v>0</v>
      </c>
      <c r="E62" s="27">
        <v>0</v>
      </c>
      <c r="F62" s="28">
        <v>0</v>
      </c>
      <c r="G62" s="26">
        <v>0</v>
      </c>
      <c r="H62" s="27">
        <v>0</v>
      </c>
      <c r="I62" s="28">
        <v>0</v>
      </c>
    </row>
    <row r="63" spans="1:20" ht="15.75" thickBot="1" x14ac:dyDescent="0.3">
      <c r="A63" s="54" t="s">
        <v>16</v>
      </c>
    </row>
    <row r="64" spans="1:20" ht="15.75" thickBot="1" x14ac:dyDescent="0.3">
      <c r="A64" s="52" t="s">
        <v>30</v>
      </c>
      <c r="B64" s="2">
        <v>2030</v>
      </c>
      <c r="C64" s="24">
        <v>2035</v>
      </c>
      <c r="D64" s="24">
        <v>2040</v>
      </c>
      <c r="E64" s="25">
        <v>2050</v>
      </c>
      <c r="K64" s="39"/>
      <c r="L64" s="29">
        <v>2017</v>
      </c>
      <c r="M64" s="31"/>
      <c r="N64" s="31"/>
      <c r="O64" s="30"/>
      <c r="P64" s="29">
        <v>2030</v>
      </c>
      <c r="Q64" s="31"/>
      <c r="R64" s="31"/>
      <c r="S64" s="30"/>
      <c r="T64" s="92"/>
    </row>
    <row r="65" spans="1:20" ht="15.75" thickBot="1" x14ac:dyDescent="0.3">
      <c r="A65" s="22" t="s">
        <v>16</v>
      </c>
      <c r="B65" s="67">
        <f>P67</f>
        <v>1475</v>
      </c>
      <c r="C65" s="68">
        <f>$B$65*((1-$T$66)^(C64-$B$64))*((1+$B$1)^(C64-$B$64))</f>
        <v>1261.8854589622417</v>
      </c>
      <c r="D65" s="68">
        <f>$B$65*((1-$T$66)^(D64-$B$64))*((1+$B$1)^(D64-$B$64))</f>
        <v>1079.5626518917611</v>
      </c>
      <c r="E65" s="69">
        <f>$B$65*((1-$T$66)^(E64-$B$64))*((1+$B$1)^(E64-$B$64))</f>
        <v>790.13933515903148</v>
      </c>
      <c r="F65" s="48"/>
      <c r="I65" s="48"/>
      <c r="K65" s="43" t="s">
        <v>18</v>
      </c>
      <c r="L65" s="44" t="s">
        <v>23</v>
      </c>
      <c r="M65" s="45" t="s">
        <v>22</v>
      </c>
      <c r="N65" s="45" t="s">
        <v>17</v>
      </c>
      <c r="O65" s="46" t="s">
        <v>29</v>
      </c>
      <c r="P65" s="44" t="s">
        <v>23</v>
      </c>
      <c r="Q65" s="45" t="s">
        <v>22</v>
      </c>
      <c r="R65" s="45" t="s">
        <v>17</v>
      </c>
      <c r="S65" s="46" t="s">
        <v>29</v>
      </c>
      <c r="T65" s="82" t="s">
        <v>36</v>
      </c>
    </row>
    <row r="66" spans="1:20" x14ac:dyDescent="0.25">
      <c r="A66" s="12" t="s">
        <v>38</v>
      </c>
      <c r="B66" s="20">
        <f>(B65*$Q$67)</f>
        <v>59</v>
      </c>
      <c r="C66" s="1">
        <f>(C65*$Q$67)</f>
        <v>50.475418358489669</v>
      </c>
      <c r="D66" s="1">
        <f>(D65*$Q$67)</f>
        <v>43.182506075670446</v>
      </c>
      <c r="E66" s="32">
        <f>(E65*$Q$67)</f>
        <v>31.605573406361259</v>
      </c>
      <c r="K66" s="40" t="s">
        <v>19</v>
      </c>
      <c r="L66" s="18">
        <v>3000</v>
      </c>
      <c r="M66" s="41">
        <v>0.03</v>
      </c>
      <c r="N66" s="60">
        <v>30000</v>
      </c>
      <c r="O66" s="57">
        <v>0.6</v>
      </c>
      <c r="P66" s="18">
        <v>1200</v>
      </c>
      <c r="Q66" s="41">
        <v>0.03</v>
      </c>
      <c r="R66" s="42">
        <v>75000</v>
      </c>
      <c r="S66" s="57">
        <v>0.51</v>
      </c>
      <c r="T66" s="93">
        <f>1-(P67/L67)^(1/13)</f>
        <v>5.8959405426164402E-2</v>
      </c>
    </row>
    <row r="67" spans="1:20" x14ac:dyDescent="0.25">
      <c r="A67" s="12" t="s">
        <v>37</v>
      </c>
      <c r="B67" s="20">
        <f>B66*$R$67/8760</f>
        <v>505.13698630136986</v>
      </c>
      <c r="C67" s="11">
        <f>C66*$R$67/8760</f>
        <v>432.15255443912389</v>
      </c>
      <c r="D67" s="11">
        <f>D66*$R$67/8760</f>
        <v>369.71323694923325</v>
      </c>
      <c r="E67" s="32">
        <f>E66*$R$67/8760</f>
        <v>270.59566272569572</v>
      </c>
      <c r="K67" s="37" t="s">
        <v>20</v>
      </c>
      <c r="L67" s="20">
        <f>(L68+L66)/2</f>
        <v>3250</v>
      </c>
      <c r="M67" s="33">
        <v>0.04</v>
      </c>
      <c r="N67" s="61"/>
      <c r="O67" s="65">
        <f>(O66+O68)/2</f>
        <v>0.47499999999999998</v>
      </c>
      <c r="P67" s="20">
        <f>(P68+P66)/2</f>
        <v>1475</v>
      </c>
      <c r="Q67" s="33">
        <v>0.04</v>
      </c>
      <c r="R67" s="1">
        <f>(R66+R68)/2</f>
        <v>75000</v>
      </c>
      <c r="S67" s="65">
        <f>(S66+S68)/2</f>
        <v>0.51</v>
      </c>
      <c r="T67" s="94"/>
    </row>
    <row r="68" spans="1:20" ht="15.75" thickBot="1" x14ac:dyDescent="0.3">
      <c r="A68" s="12" t="s">
        <v>17</v>
      </c>
      <c r="B68" s="20">
        <f>R67</f>
        <v>75000</v>
      </c>
      <c r="C68" s="71">
        <f>$N$66+(($R$67-$N$66)/($P$64-$L$64))*(C64-$L$64)</f>
        <v>92307.692307692312</v>
      </c>
      <c r="D68" s="71">
        <f>$N$66+(($R$67-$N$66)/($P$64-$L$64))*(D64-$L$64)</f>
        <v>109615.38461538461</v>
      </c>
      <c r="E68" s="3">
        <f>$N$66+(($R$67-$N$66)/($P$64-$L$64))*(E64-$L$64)</f>
        <v>144230.76923076925</v>
      </c>
      <c r="K68" s="38" t="s">
        <v>21</v>
      </c>
      <c r="L68" s="21">
        <v>3500</v>
      </c>
      <c r="M68" s="34">
        <v>0.05</v>
      </c>
      <c r="N68" s="66"/>
      <c r="O68" s="55">
        <v>0.35</v>
      </c>
      <c r="P68" s="21">
        <v>1750</v>
      </c>
      <c r="Q68" s="34">
        <v>0.05</v>
      </c>
      <c r="R68" s="35">
        <v>75000</v>
      </c>
      <c r="S68" s="55">
        <v>0.51</v>
      </c>
      <c r="T68" s="95"/>
    </row>
    <row r="69" spans="1:20" ht="15.75" thickBot="1" x14ac:dyDescent="0.3">
      <c r="A69" s="10" t="s">
        <v>29</v>
      </c>
      <c r="B69" s="70">
        <f>S67</f>
        <v>0.51</v>
      </c>
      <c r="C69" s="72">
        <f>$O$67+(($S$67-$O$67)/($P$64-$L$64))*(C64-$L$64)</f>
        <v>0.52346153846153853</v>
      </c>
      <c r="D69" s="72">
        <f>$O$67+(($S$67-$O$67)/($P$64-$L$64))*(D64-$L$64)</f>
        <v>0.53692307692307695</v>
      </c>
      <c r="E69" s="73">
        <f>$O$67+(($S$67-$O$67)/($P$64-$L$64))*(E64-$L$64)</f>
        <v>0.56384615384615389</v>
      </c>
    </row>
    <row r="70" spans="1:20" x14ac:dyDescent="0.25">
      <c r="K70" s="56"/>
      <c r="L70" s="96"/>
    </row>
  </sheetData>
  <mergeCells count="24">
    <mergeCell ref="N45:N47"/>
    <mergeCell ref="L53:L55"/>
    <mergeCell ref="N53:N55"/>
    <mergeCell ref="P53:P55"/>
    <mergeCell ref="L38:L40"/>
    <mergeCell ref="N38:N40"/>
    <mergeCell ref="P38:P40"/>
    <mergeCell ref="L51:Q51"/>
    <mergeCell ref="L43:P43"/>
    <mergeCell ref="M53:M55"/>
    <mergeCell ref="L11:O11"/>
    <mergeCell ref="P11:S11"/>
    <mergeCell ref="S13:S15"/>
    <mergeCell ref="P13:P15"/>
    <mergeCell ref="L28:P28"/>
    <mergeCell ref="B11:C11"/>
    <mergeCell ref="D11:F11"/>
    <mergeCell ref="G11:I11"/>
    <mergeCell ref="L36:Q36"/>
    <mergeCell ref="B24:C24"/>
    <mergeCell ref="D24:F24"/>
    <mergeCell ref="G24:I24"/>
    <mergeCell ref="L30:L32"/>
    <mergeCell ref="N30:N3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29D12-89B6-4A4E-A41A-8B8FCFE47C38}">
  <dimension ref="A1:G5"/>
  <sheetViews>
    <sheetView workbookViewId="0">
      <selection activeCell="C2" sqref="C2"/>
    </sheetView>
  </sheetViews>
  <sheetFormatPr defaultRowHeight="15" x14ac:dyDescent="0.25"/>
  <cols>
    <col min="1" max="1" width="24.5703125" customWidth="1"/>
    <col min="2" max="2" width="22.85546875" customWidth="1"/>
    <col min="3" max="3" width="26.140625" customWidth="1"/>
    <col min="4" max="4" width="27" customWidth="1"/>
    <col min="5" max="5" width="24.42578125" customWidth="1"/>
    <col min="6" max="6" width="19.85546875" customWidth="1"/>
    <col min="7" max="7" width="23.28515625" customWidth="1"/>
  </cols>
  <sheetData>
    <row r="1" spans="1:7" ht="15.75" thickBot="1" x14ac:dyDescent="0.3">
      <c r="A1" s="136" t="s">
        <v>24</v>
      </c>
      <c r="B1" s="2" t="s">
        <v>23</v>
      </c>
      <c r="C1" s="12" t="s">
        <v>35</v>
      </c>
      <c r="D1" s="24" t="s">
        <v>47</v>
      </c>
      <c r="E1" s="24" t="s">
        <v>48</v>
      </c>
      <c r="F1" s="24" t="s">
        <v>17</v>
      </c>
      <c r="G1" s="25" t="s">
        <v>29</v>
      </c>
    </row>
    <row r="2" spans="1:7" x14ac:dyDescent="0.25">
      <c r="A2" s="119">
        <v>2030</v>
      </c>
      <c r="B2" s="18">
        <f>data!B$44</f>
        <v>76.503717698058423</v>
      </c>
      <c r="C2" s="14">
        <f>data!B$45</f>
        <v>35.838709677419352</v>
      </c>
      <c r="D2" s="14">
        <f>data!B$46</f>
        <v>1.1475557654708763</v>
      </c>
      <c r="E2" s="138">
        <f>data!B$47</f>
        <v>22.951115309417528</v>
      </c>
      <c r="F2" s="144">
        <f>data!B$48</f>
        <v>175200</v>
      </c>
      <c r="G2" s="142">
        <f>data!B$49</f>
        <v>0.93</v>
      </c>
    </row>
    <row r="3" spans="1:7" x14ac:dyDescent="0.25">
      <c r="A3" s="89">
        <v>2035</v>
      </c>
      <c r="B3" s="20">
        <f>data!C$44</f>
        <v>82.233697159255527</v>
      </c>
      <c r="C3" s="1">
        <f>data!C$45</f>
        <v>35.647058823529413</v>
      </c>
      <c r="D3" s="1">
        <f>data!C$46</f>
        <v>1.2335054573888329</v>
      </c>
      <c r="E3" s="139">
        <f>data!C$47</f>
        <v>24.670109147776657</v>
      </c>
      <c r="F3" s="49">
        <f>data!C$48</f>
        <v>175200</v>
      </c>
      <c r="G3" s="141">
        <f>data!C$49</f>
        <v>0.93499999999999994</v>
      </c>
    </row>
    <row r="4" spans="1:7" x14ac:dyDescent="0.25">
      <c r="A4" s="89">
        <v>2040</v>
      </c>
      <c r="B4" s="20">
        <f>data!D$44</f>
        <v>88.392840922706824</v>
      </c>
      <c r="C4" s="1">
        <f>data!D$45</f>
        <v>35.457446808510639</v>
      </c>
      <c r="D4" s="1">
        <f>data!D$46</f>
        <v>1.3258926138406024</v>
      </c>
      <c r="E4" s="139">
        <f>data!D$47</f>
        <v>26.517852276812047</v>
      </c>
      <c r="F4" s="49">
        <f>data!D$48</f>
        <v>175200</v>
      </c>
      <c r="G4" s="141">
        <f>data!D$49</f>
        <v>0.94</v>
      </c>
    </row>
    <row r="5" spans="1:7" ht="15.75" thickBot="1" x14ac:dyDescent="0.3">
      <c r="A5" s="90">
        <v>2050</v>
      </c>
      <c r="B5" s="21">
        <f>data!E$44</f>
        <v>102.12960312888494</v>
      </c>
      <c r="C5" s="51">
        <f>data!E$45</f>
        <v>35.084210526315786</v>
      </c>
      <c r="D5" s="51">
        <f>data!E$46</f>
        <v>1.5319440469332739</v>
      </c>
      <c r="E5" s="140">
        <f>data!E$47</f>
        <v>30.63888093866548</v>
      </c>
      <c r="F5" s="35">
        <f>data!E$48</f>
        <v>175200</v>
      </c>
      <c r="G5" s="143">
        <f>data!E$49</f>
        <v>0.95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A9F67-6099-434E-80DE-F95B864462DE}">
  <dimension ref="A1:I6"/>
  <sheetViews>
    <sheetView workbookViewId="0">
      <selection activeCell="D37" sqref="D37"/>
    </sheetView>
  </sheetViews>
  <sheetFormatPr defaultRowHeight="15" x14ac:dyDescent="0.25"/>
  <cols>
    <col min="1" max="1" width="11.85546875" customWidth="1"/>
    <col min="2" max="2" width="24.28515625" customWidth="1"/>
    <col min="3" max="3" width="15.28515625" customWidth="1"/>
    <col min="4" max="4" width="17.140625" customWidth="1"/>
    <col min="5" max="5" width="15.5703125" customWidth="1"/>
    <col min="6" max="6" width="31.85546875" customWidth="1"/>
  </cols>
  <sheetData>
    <row r="1" spans="1:9" ht="15.75" thickBot="1" x14ac:dyDescent="0.3">
      <c r="A1" s="47" t="s">
        <v>24</v>
      </c>
      <c r="B1" s="2" t="s">
        <v>51</v>
      </c>
      <c r="C1" s="24" t="s">
        <v>52</v>
      </c>
      <c r="D1" s="24" t="s">
        <v>49</v>
      </c>
      <c r="E1" s="25" t="s">
        <v>50</v>
      </c>
      <c r="F1" s="176"/>
      <c r="G1" s="120"/>
      <c r="H1" s="120"/>
      <c r="I1" s="120"/>
    </row>
    <row r="2" spans="1:9" x14ac:dyDescent="0.25">
      <c r="A2" s="131">
        <v>2030</v>
      </c>
      <c r="B2" s="135">
        <v>1250</v>
      </c>
      <c r="C2" s="132">
        <v>0</v>
      </c>
      <c r="D2" s="132">
        <v>0</v>
      </c>
      <c r="E2" s="133">
        <v>0</v>
      </c>
      <c r="F2" s="177"/>
    </row>
    <row r="3" spans="1:9" ht="15.75" thickBot="1" x14ac:dyDescent="0.3">
      <c r="A3" s="134">
        <v>2040</v>
      </c>
      <c r="B3" s="123">
        <v>1500</v>
      </c>
      <c r="C3" s="124">
        <v>0</v>
      </c>
      <c r="D3" s="124">
        <v>0</v>
      </c>
      <c r="E3" s="125">
        <v>0</v>
      </c>
      <c r="F3" s="178"/>
      <c r="H3" s="121"/>
      <c r="I3" s="121"/>
    </row>
    <row r="4" spans="1:9" x14ac:dyDescent="0.25">
      <c r="F4" s="179"/>
    </row>
    <row r="5" spans="1:9" x14ac:dyDescent="0.25">
      <c r="F5" s="179"/>
    </row>
    <row r="6" spans="1:9" x14ac:dyDescent="0.25">
      <c r="F6" s="17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B709C-310F-4B06-8092-645E4FF5C46B}">
  <dimension ref="A1:F5"/>
  <sheetViews>
    <sheetView workbookViewId="0">
      <selection activeCell="F1" sqref="F1:F4"/>
    </sheetView>
  </sheetViews>
  <sheetFormatPr defaultRowHeight="15" x14ac:dyDescent="0.25"/>
  <cols>
    <col min="1" max="1" width="9.28515625" customWidth="1"/>
    <col min="2" max="2" width="17" customWidth="1"/>
    <col min="3" max="3" width="16.7109375" customWidth="1"/>
    <col min="4" max="4" width="19.7109375" customWidth="1"/>
    <col min="5" max="5" width="20.7109375" customWidth="1"/>
    <col min="6" max="6" width="30.140625" customWidth="1"/>
  </cols>
  <sheetData>
    <row r="1" spans="1:6" ht="15.75" thickBot="1" x14ac:dyDescent="0.3">
      <c r="A1" s="145" t="s">
        <v>24</v>
      </c>
      <c r="B1" s="183" t="s">
        <v>51</v>
      </c>
      <c r="C1" s="184" t="s">
        <v>52</v>
      </c>
      <c r="D1" s="184" t="s">
        <v>49</v>
      </c>
      <c r="E1" s="185" t="s">
        <v>50</v>
      </c>
      <c r="F1" s="176"/>
    </row>
    <row r="2" spans="1:6" x14ac:dyDescent="0.25">
      <c r="A2" s="180">
        <v>2035</v>
      </c>
      <c r="B2" s="135">
        <v>1250</v>
      </c>
      <c r="C2" s="132">
        <v>3510</v>
      </c>
      <c r="D2" s="132">
        <v>0</v>
      </c>
      <c r="E2" s="133">
        <v>600</v>
      </c>
      <c r="F2" s="177"/>
    </row>
    <row r="3" spans="1:6" x14ac:dyDescent="0.25">
      <c r="A3" s="181">
        <v>2040</v>
      </c>
      <c r="B3" s="186">
        <v>3870</v>
      </c>
      <c r="C3" s="122">
        <v>4750</v>
      </c>
      <c r="D3" s="122">
        <v>0</v>
      </c>
      <c r="E3" s="128">
        <v>1250</v>
      </c>
      <c r="F3" s="178"/>
    </row>
    <row r="4" spans="1:6" ht="15.75" thickBot="1" x14ac:dyDescent="0.3">
      <c r="A4" s="182">
        <v>2050</v>
      </c>
      <c r="B4" s="187">
        <v>5650</v>
      </c>
      <c r="C4" s="126">
        <v>8250</v>
      </c>
      <c r="D4" s="126">
        <v>0</v>
      </c>
      <c r="E4" s="127">
        <v>1650</v>
      </c>
      <c r="F4" s="179"/>
    </row>
    <row r="5" spans="1:6" x14ac:dyDescent="0.25">
      <c r="F5" s="17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32F33-263B-455C-A067-0E4C1CE7CE23}">
  <dimension ref="A1:F4"/>
  <sheetViews>
    <sheetView workbookViewId="0">
      <selection activeCell="E1" sqref="B1:E4"/>
    </sheetView>
  </sheetViews>
  <sheetFormatPr defaultRowHeight="15" x14ac:dyDescent="0.25"/>
  <cols>
    <col min="2" max="2" width="23.5703125" customWidth="1"/>
    <col min="3" max="3" width="20.85546875" customWidth="1"/>
    <col min="4" max="4" width="19.42578125" customWidth="1"/>
    <col min="5" max="5" width="16.85546875" customWidth="1"/>
    <col min="6" max="6" width="29" customWidth="1"/>
  </cols>
  <sheetData>
    <row r="1" spans="1:6" ht="15.75" thickBot="1" x14ac:dyDescent="0.3">
      <c r="A1" s="47" t="s">
        <v>24</v>
      </c>
      <c r="B1" s="2" t="s">
        <v>51</v>
      </c>
      <c r="C1" s="24" t="s">
        <v>52</v>
      </c>
      <c r="D1" s="24" t="s">
        <v>49</v>
      </c>
      <c r="E1" s="25" t="s">
        <v>50</v>
      </c>
      <c r="F1" s="176"/>
    </row>
    <row r="2" spans="1:6" x14ac:dyDescent="0.25">
      <c r="A2" s="131">
        <v>2035</v>
      </c>
      <c r="B2" s="135">
        <v>1250</v>
      </c>
      <c r="C2" s="132">
        <v>2260</v>
      </c>
      <c r="D2" s="132">
        <v>0</v>
      </c>
      <c r="E2" s="133">
        <v>1150</v>
      </c>
      <c r="F2" s="177"/>
    </row>
    <row r="3" spans="1:6" x14ac:dyDescent="0.25">
      <c r="A3" s="129">
        <v>2040</v>
      </c>
      <c r="B3" s="186">
        <v>4030</v>
      </c>
      <c r="C3" s="122">
        <v>3220</v>
      </c>
      <c r="D3" s="122">
        <v>0</v>
      </c>
      <c r="E3" s="128">
        <f>AVERAGE(E2,E4)</f>
        <v>2000</v>
      </c>
      <c r="F3" s="178"/>
    </row>
    <row r="4" spans="1:6" ht="15.75" thickBot="1" x14ac:dyDescent="0.3">
      <c r="A4" s="130">
        <v>2050</v>
      </c>
      <c r="B4" s="187">
        <v>6050</v>
      </c>
      <c r="C4" s="126">
        <v>4640</v>
      </c>
      <c r="D4" s="126">
        <v>0</v>
      </c>
      <c r="E4" s="127">
        <v>2850</v>
      </c>
      <c r="F4" s="17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735A-C5CC-4B56-A7BA-B8722993A97F}">
  <dimension ref="A1:F6"/>
  <sheetViews>
    <sheetView workbookViewId="0">
      <selection activeCell="G7" sqref="G7"/>
    </sheetView>
  </sheetViews>
  <sheetFormatPr defaultRowHeight="15" x14ac:dyDescent="0.25"/>
  <cols>
    <col min="1" max="1" width="23.85546875" customWidth="1"/>
    <col min="2" max="2" width="13.7109375" customWidth="1"/>
    <col min="3" max="3" width="24.7109375" customWidth="1"/>
    <col min="4" max="4" width="18.5703125" customWidth="1"/>
    <col min="5" max="5" width="17.140625" customWidth="1"/>
    <col min="6" max="6" width="21.140625" customWidth="1"/>
  </cols>
  <sheetData>
    <row r="1" spans="1:6" ht="15.75" thickBot="1" x14ac:dyDescent="0.3">
      <c r="A1" s="136" t="s">
        <v>24</v>
      </c>
      <c r="B1" s="2" t="s">
        <v>23</v>
      </c>
      <c r="C1" s="24" t="s">
        <v>47</v>
      </c>
      <c r="D1" s="24" t="s">
        <v>48</v>
      </c>
      <c r="E1" s="24" t="s">
        <v>17</v>
      </c>
      <c r="F1" s="25" t="s">
        <v>14</v>
      </c>
    </row>
    <row r="2" spans="1:6" x14ac:dyDescent="0.25">
      <c r="A2" s="119">
        <v>2030</v>
      </c>
      <c r="B2" s="18">
        <f>data!B$16</f>
        <v>674.66666666666663</v>
      </c>
      <c r="C2" s="14">
        <f>data!B$17</f>
        <v>26.986666666666665</v>
      </c>
      <c r="D2" s="14">
        <f>data!B$18</f>
        <v>246.45357686453573</v>
      </c>
      <c r="E2" s="14">
        <f>data!B$19</f>
        <v>80000</v>
      </c>
      <c r="F2" s="19">
        <f>data!B$20</f>
        <v>59.333333333333336</v>
      </c>
    </row>
    <row r="3" spans="1:6" x14ac:dyDescent="0.25">
      <c r="A3" s="89">
        <v>2035</v>
      </c>
      <c r="B3" s="20">
        <f>data!C$16</f>
        <v>550</v>
      </c>
      <c r="C3" s="1">
        <f>data!C$17</f>
        <v>22</v>
      </c>
      <c r="D3" s="1">
        <f>data!C$18</f>
        <v>219.74885844748857</v>
      </c>
      <c r="E3" s="1">
        <f>data!C$19</f>
        <v>87500</v>
      </c>
      <c r="F3" s="3">
        <f>data!C$20</f>
        <v>55.75</v>
      </c>
    </row>
    <row r="4" spans="1:6" x14ac:dyDescent="0.25">
      <c r="A4" s="89">
        <v>2040</v>
      </c>
      <c r="B4" s="20">
        <f>data!D$16</f>
        <v>425.33333333333331</v>
      </c>
      <c r="C4" s="1">
        <f>data!D$17</f>
        <v>17.013333333333332</v>
      </c>
      <c r="D4" s="1">
        <f>data!D$18</f>
        <v>184.50532724505325</v>
      </c>
      <c r="E4" s="1">
        <f>data!D$19</f>
        <v>95000</v>
      </c>
      <c r="F4" s="3">
        <f>data!D$20</f>
        <v>52.166666666666664</v>
      </c>
    </row>
    <row r="5" spans="1:6" ht="15.75" thickBot="1" x14ac:dyDescent="0.3">
      <c r="A5" s="90">
        <v>2050</v>
      </c>
      <c r="B5" s="21">
        <f>data!E$16</f>
        <v>176</v>
      </c>
      <c r="C5" s="51">
        <f>data!E$17</f>
        <v>7.04</v>
      </c>
      <c r="D5" s="51">
        <f>data!E$18</f>
        <v>88.401826484018258</v>
      </c>
      <c r="E5" s="35">
        <f>data!E$19</f>
        <v>110000</v>
      </c>
      <c r="F5" s="4">
        <f>data!E$20</f>
        <v>45</v>
      </c>
    </row>
    <row r="6" spans="1:6" x14ac:dyDescent="0.25">
      <c r="A6" s="5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AE592-21E1-43F1-8C26-DB822F593851}">
  <dimension ref="A1:F5"/>
  <sheetViews>
    <sheetView workbookViewId="0">
      <selection activeCell="E21" sqref="E21"/>
    </sheetView>
  </sheetViews>
  <sheetFormatPr defaultRowHeight="15" x14ac:dyDescent="0.25"/>
  <cols>
    <col min="1" max="2" width="28.140625" customWidth="1"/>
    <col min="3" max="3" width="23.140625" customWidth="1"/>
    <col min="4" max="4" width="23.7109375" customWidth="1"/>
    <col min="5" max="5" width="23.85546875" customWidth="1"/>
    <col min="6" max="6" width="22.28515625" customWidth="1"/>
  </cols>
  <sheetData>
    <row r="1" spans="1:6" ht="15.75" thickBot="1" x14ac:dyDescent="0.3">
      <c r="A1" s="136" t="s">
        <v>24</v>
      </c>
      <c r="B1" s="2" t="s">
        <v>33</v>
      </c>
      <c r="C1" s="24" t="s">
        <v>47</v>
      </c>
      <c r="D1" s="24" t="s">
        <v>48</v>
      </c>
      <c r="E1" s="24" t="s">
        <v>17</v>
      </c>
      <c r="F1" s="25" t="s">
        <v>29</v>
      </c>
    </row>
    <row r="2" spans="1:6" x14ac:dyDescent="0.25">
      <c r="A2" s="119">
        <v>2030</v>
      </c>
      <c r="B2" s="18">
        <f>data!B$37</f>
        <v>10</v>
      </c>
      <c r="C2" s="14">
        <f>data!B$38</f>
        <v>0.2</v>
      </c>
      <c r="D2" s="14">
        <f>data!B$39</f>
        <v>8</v>
      </c>
      <c r="E2" s="42">
        <f>data!B$40</f>
        <v>350400</v>
      </c>
      <c r="F2" s="57">
        <f>data!B$41</f>
        <v>1</v>
      </c>
    </row>
    <row r="3" spans="1:6" x14ac:dyDescent="0.25">
      <c r="A3" s="89">
        <v>2035</v>
      </c>
      <c r="B3" s="20">
        <f>data!C$37</f>
        <v>10.748980524555934</v>
      </c>
      <c r="C3" s="1">
        <f>data!C$38</f>
        <v>0.21497961049111869</v>
      </c>
      <c r="D3" s="1">
        <f>data!C$39</f>
        <v>8.5991844196447484</v>
      </c>
      <c r="E3" s="49">
        <f>data!C$40</f>
        <v>350400</v>
      </c>
      <c r="F3" s="137">
        <f>data!C$41</f>
        <v>1</v>
      </c>
    </row>
    <row r="4" spans="1:6" x14ac:dyDescent="0.25">
      <c r="A4" s="89">
        <v>2040</v>
      </c>
      <c r="B4" s="20">
        <f>data!D$37</f>
        <v>11.554058231728282</v>
      </c>
      <c r="C4" s="1">
        <f>data!D$38</f>
        <v>0.23108116463456566</v>
      </c>
      <c r="D4" s="1">
        <f>data!D$39</f>
        <v>9.2432465853826251</v>
      </c>
      <c r="E4" s="49">
        <f>data!D$40</f>
        <v>350400</v>
      </c>
      <c r="F4" s="137">
        <f>data!D$41</f>
        <v>1</v>
      </c>
    </row>
    <row r="5" spans="1:6" ht="15.75" thickBot="1" x14ac:dyDescent="0.3">
      <c r="A5" s="90">
        <v>2050</v>
      </c>
      <c r="B5" s="21">
        <f>data!E$37</f>
        <v>13.349626162216804</v>
      </c>
      <c r="C5" s="51">
        <f>data!E$38</f>
        <v>0.26699252324433609</v>
      </c>
      <c r="D5" s="51">
        <f>data!E$39</f>
        <v>10.679700929773444</v>
      </c>
      <c r="E5" s="35">
        <f>data!E$40</f>
        <v>350400</v>
      </c>
      <c r="F5" s="55">
        <f>data!E$41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5E3CF-F3E0-45B5-94E6-5023AE65B480}">
  <dimension ref="A1:F5"/>
  <sheetViews>
    <sheetView workbookViewId="0">
      <selection activeCell="D2" sqref="D2"/>
    </sheetView>
  </sheetViews>
  <sheetFormatPr defaultRowHeight="15" x14ac:dyDescent="0.25"/>
  <cols>
    <col min="1" max="1" width="22" customWidth="1"/>
    <col min="2" max="2" width="19.85546875" customWidth="1"/>
    <col min="3" max="3" width="27.7109375" customWidth="1"/>
    <col min="4" max="4" width="23.42578125" customWidth="1"/>
    <col min="5" max="5" width="22.85546875" customWidth="1"/>
    <col min="6" max="6" width="23" customWidth="1"/>
  </cols>
  <sheetData>
    <row r="1" spans="1:6" ht="15.75" thickBot="1" x14ac:dyDescent="0.3">
      <c r="A1" s="136" t="s">
        <v>24</v>
      </c>
      <c r="B1" s="2" t="s">
        <v>33</v>
      </c>
      <c r="C1" s="24" t="s">
        <v>47</v>
      </c>
      <c r="D1" s="24" t="s">
        <v>48</v>
      </c>
      <c r="E1" s="24" t="s">
        <v>17</v>
      </c>
      <c r="F1" s="25" t="s">
        <v>29</v>
      </c>
    </row>
    <row r="2" spans="1:6" x14ac:dyDescent="0.25">
      <c r="A2" s="119">
        <v>2030</v>
      </c>
      <c r="B2" s="18">
        <f>data!B$52</f>
        <v>500</v>
      </c>
      <c r="C2" s="14">
        <f>data!B$53</f>
        <v>10</v>
      </c>
      <c r="D2" s="14">
        <f>data!B$54</f>
        <v>250</v>
      </c>
      <c r="E2" s="42">
        <f>data!B$55</f>
        <v>219000</v>
      </c>
      <c r="F2" s="57">
        <f>data!B$56</f>
        <v>1</v>
      </c>
    </row>
    <row r="3" spans="1:6" x14ac:dyDescent="0.25">
      <c r="A3" s="89">
        <v>2035</v>
      </c>
      <c r="B3" s="20">
        <f>data!C$52</f>
        <v>460.43993695472608</v>
      </c>
      <c r="C3" s="1">
        <f>data!C$53</f>
        <v>9.2087987390945223</v>
      </c>
      <c r="D3" s="1">
        <f>data!C$54</f>
        <v>230.21996847736307</v>
      </c>
      <c r="E3" s="49">
        <f>data!C$55</f>
        <v>219000</v>
      </c>
      <c r="F3" s="137">
        <f>data!C$56</f>
        <v>1</v>
      </c>
    </row>
    <row r="4" spans="1:6" x14ac:dyDescent="0.25">
      <c r="A4" s="89">
        <v>2040</v>
      </c>
      <c r="B4" s="20">
        <f>data!D$52</f>
        <v>424.00987108574446</v>
      </c>
      <c r="C4" s="1">
        <f>data!D$53</f>
        <v>8.4801974217148892</v>
      </c>
      <c r="D4" s="1">
        <f>data!D$54</f>
        <v>212.00493554287223</v>
      </c>
      <c r="E4" s="49">
        <f>data!D$55</f>
        <v>219000</v>
      </c>
      <c r="F4" s="137">
        <f>data!D$56</f>
        <v>1</v>
      </c>
    </row>
    <row r="5" spans="1:6" ht="15.75" thickBot="1" x14ac:dyDescent="0.3">
      <c r="A5" s="90">
        <v>2050</v>
      </c>
      <c r="B5" s="21">
        <f>data!E$52</f>
        <v>359.56874155629924</v>
      </c>
      <c r="C5" s="51">
        <f>data!E$53</f>
        <v>7.1913748311259846</v>
      </c>
      <c r="D5" s="51">
        <f>data!E$54</f>
        <v>179.78437077814962</v>
      </c>
      <c r="E5" s="35">
        <f>data!E$55</f>
        <v>219000</v>
      </c>
      <c r="F5" s="55">
        <f>data!E$56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29F23-E94D-476E-AFD2-A5758D8D303A}">
  <dimension ref="A1:F5"/>
  <sheetViews>
    <sheetView workbookViewId="0">
      <selection activeCell="C2" sqref="C2"/>
    </sheetView>
  </sheetViews>
  <sheetFormatPr defaultRowHeight="15" x14ac:dyDescent="0.25"/>
  <cols>
    <col min="1" max="1" width="20.85546875" customWidth="1"/>
    <col min="2" max="2" width="17.140625" customWidth="1"/>
    <col min="3" max="3" width="25.42578125" customWidth="1"/>
    <col min="4" max="4" width="19.5703125" customWidth="1"/>
    <col min="5" max="5" width="20.85546875" customWidth="1"/>
    <col min="6" max="6" width="25.85546875" customWidth="1"/>
  </cols>
  <sheetData>
    <row r="1" spans="1:6" ht="15.75" thickBot="1" x14ac:dyDescent="0.3">
      <c r="A1" s="136" t="s">
        <v>24</v>
      </c>
      <c r="B1" s="2" t="s">
        <v>23</v>
      </c>
      <c r="C1" s="24" t="s">
        <v>47</v>
      </c>
      <c r="D1" s="24" t="s">
        <v>48</v>
      </c>
      <c r="E1" s="24" t="s">
        <v>17</v>
      </c>
      <c r="F1" s="25" t="s">
        <v>29</v>
      </c>
    </row>
    <row r="2" spans="1:6" x14ac:dyDescent="0.25">
      <c r="A2" s="119">
        <v>2030</v>
      </c>
      <c r="B2" s="18">
        <f>data!B$65</f>
        <v>1475</v>
      </c>
      <c r="C2" s="14">
        <f>data!B$66</f>
        <v>59</v>
      </c>
      <c r="D2" s="14">
        <f>data!B$67</f>
        <v>505.13698630136986</v>
      </c>
      <c r="E2" s="14">
        <f>data!B$68</f>
        <v>75000</v>
      </c>
      <c r="F2" s="57">
        <f>data!B$69</f>
        <v>0.51</v>
      </c>
    </row>
    <row r="3" spans="1:6" x14ac:dyDescent="0.25">
      <c r="A3" s="89">
        <v>2035</v>
      </c>
      <c r="B3" s="20">
        <f>data!C$65</f>
        <v>1261.8854589622417</v>
      </c>
      <c r="C3" s="1">
        <f>data!C$66</f>
        <v>50.475418358489669</v>
      </c>
      <c r="D3" s="1">
        <f>data!C$67</f>
        <v>432.15255443912389</v>
      </c>
      <c r="E3" s="1">
        <f>data!C$68</f>
        <v>92307.692307692312</v>
      </c>
      <c r="F3" s="137">
        <f>data!C$69</f>
        <v>0.52346153846153853</v>
      </c>
    </row>
    <row r="4" spans="1:6" x14ac:dyDescent="0.25">
      <c r="A4" s="89">
        <v>2040</v>
      </c>
      <c r="B4" s="20">
        <f>data!D$65</f>
        <v>1079.5626518917611</v>
      </c>
      <c r="C4" s="1">
        <f>data!D$66</f>
        <v>43.182506075670446</v>
      </c>
      <c r="D4" s="1">
        <f>data!D$67</f>
        <v>369.71323694923325</v>
      </c>
      <c r="E4" s="1">
        <f>data!D$68</f>
        <v>109615.38461538461</v>
      </c>
      <c r="F4" s="137">
        <f>data!D$69</f>
        <v>0.53692307692307695</v>
      </c>
    </row>
    <row r="5" spans="1:6" ht="15.75" thickBot="1" x14ac:dyDescent="0.3">
      <c r="A5" s="90">
        <v>2050</v>
      </c>
      <c r="B5" s="21">
        <f>data!E$65</f>
        <v>790.13933515903148</v>
      </c>
      <c r="C5" s="51">
        <f>data!E$66</f>
        <v>31.605573406361259</v>
      </c>
      <c r="D5" s="51">
        <f>data!E$67</f>
        <v>270.59566272569572</v>
      </c>
      <c r="E5" s="35">
        <f>data!E$68</f>
        <v>144230.76923076925</v>
      </c>
      <c r="F5" s="55">
        <f>data!E$69</f>
        <v>0.56384615384615389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63B5-4D01-4B35-8775-727FB9E646BC}">
  <dimension ref="A1:G5"/>
  <sheetViews>
    <sheetView workbookViewId="0">
      <selection activeCell="K12" sqref="K12"/>
    </sheetView>
  </sheetViews>
  <sheetFormatPr defaultRowHeight="15" x14ac:dyDescent="0.25"/>
  <cols>
    <col min="1" max="1" width="25" customWidth="1"/>
    <col min="2" max="2" width="19.42578125" customWidth="1"/>
    <col min="3" max="3" width="24.42578125" customWidth="1"/>
    <col min="4" max="4" width="24.7109375" customWidth="1"/>
    <col min="5" max="5" width="18.7109375" customWidth="1"/>
    <col min="6" max="6" width="24.28515625" customWidth="1"/>
    <col min="7" max="7" width="25.42578125" customWidth="1"/>
  </cols>
  <sheetData>
    <row r="1" spans="1:7" ht="15.75" thickBot="1" x14ac:dyDescent="0.3">
      <c r="A1" s="136" t="s">
        <v>24</v>
      </c>
      <c r="B1" s="2" t="s">
        <v>23</v>
      </c>
      <c r="C1" s="12" t="s">
        <v>35</v>
      </c>
      <c r="D1" s="24" t="s">
        <v>47</v>
      </c>
      <c r="E1" s="24" t="s">
        <v>48</v>
      </c>
      <c r="F1" s="24" t="s">
        <v>17</v>
      </c>
      <c r="G1" s="25" t="s">
        <v>29</v>
      </c>
    </row>
    <row r="2" spans="1:7" x14ac:dyDescent="0.25">
      <c r="A2" s="119">
        <v>2030</v>
      </c>
      <c r="B2" s="18">
        <f>data!B$29</f>
        <v>76.503717698058423</v>
      </c>
      <c r="C2" s="14">
        <f>data!B$30</f>
        <v>2.2000000000000002</v>
      </c>
      <c r="D2" s="14">
        <f>data!B$31</f>
        <v>1.1475557654708763</v>
      </c>
      <c r="E2" s="138">
        <f>data!B$32</f>
        <v>22.951115309417528</v>
      </c>
      <c r="F2" s="68">
        <f>data!B$33</f>
        <v>175200</v>
      </c>
      <c r="G2" s="142">
        <f>data!B$34</f>
        <v>0.93</v>
      </c>
    </row>
    <row r="3" spans="1:7" x14ac:dyDescent="0.25">
      <c r="A3" s="89">
        <v>2035</v>
      </c>
      <c r="B3" s="20">
        <f>data!C$29</f>
        <v>82.233697159255527</v>
      </c>
      <c r="C3" s="1">
        <f>data!C$30</f>
        <v>2.0398763052043751</v>
      </c>
      <c r="D3" s="1">
        <f>data!C$31</f>
        <v>1.2335054573888329</v>
      </c>
      <c r="E3" s="139">
        <f>data!C$32</f>
        <v>24.670109147776657</v>
      </c>
      <c r="F3" s="49">
        <f>data!C$33</f>
        <v>175200</v>
      </c>
      <c r="G3" s="141">
        <f>data!C$34</f>
        <v>0.93499999999999994</v>
      </c>
    </row>
    <row r="4" spans="1:7" x14ac:dyDescent="0.25">
      <c r="A4" s="89">
        <v>2040</v>
      </c>
      <c r="B4" s="20">
        <f>data!D$29</f>
        <v>88.392840922706824</v>
      </c>
      <c r="C4" s="1">
        <f>data!D$30</f>
        <v>1.8914069729701148</v>
      </c>
      <c r="D4" s="1">
        <f>data!D$31</f>
        <v>1.3258926138406024</v>
      </c>
      <c r="E4" s="139">
        <f>data!D$32</f>
        <v>26.517852276812047</v>
      </c>
      <c r="F4" s="49">
        <f>data!D$33</f>
        <v>175200</v>
      </c>
      <c r="G4" s="141">
        <f>data!D$34</f>
        <v>0.94</v>
      </c>
    </row>
    <row r="5" spans="1:7" ht="15.75" thickBot="1" x14ac:dyDescent="0.3">
      <c r="A5" s="90">
        <v>2050</v>
      </c>
      <c r="B5" s="21">
        <f>data!E$29</f>
        <v>102.12960312888494</v>
      </c>
      <c r="C5" s="51">
        <f>data!E$30</f>
        <v>1.6261001533636241</v>
      </c>
      <c r="D5" s="51">
        <f>data!E$31</f>
        <v>1.5319440469332739</v>
      </c>
      <c r="E5" s="140">
        <f>data!E$32</f>
        <v>30.63888093866548</v>
      </c>
      <c r="F5" s="35">
        <f>data!E$33</f>
        <v>175200</v>
      </c>
      <c r="G5" s="143">
        <f>data!E$34</f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data</vt:lpstr>
      <vt:lpstr>NT Installed Capacity</vt:lpstr>
      <vt:lpstr>GA Installed Capacity</vt:lpstr>
      <vt:lpstr>DE Installed Capacity</vt:lpstr>
      <vt:lpstr>Electrolyzer</vt:lpstr>
      <vt:lpstr>Storage Salt Caverns</vt:lpstr>
      <vt:lpstr>Storage Pressurised Tanks</vt:lpstr>
      <vt:lpstr>Fuel Cells</vt:lpstr>
      <vt:lpstr>Compressors Reciprocating</vt:lpstr>
      <vt:lpstr>Compressor Reciprocating Piston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Carlota Alegria</dc:creator>
  <cp:lastModifiedBy>Carlota Alegria</cp:lastModifiedBy>
  <dcterms:created xsi:type="dcterms:W3CDTF">2015-06-05T18:17:20Z</dcterms:created>
  <dcterms:modified xsi:type="dcterms:W3CDTF">2025-09-21T19:49:46Z</dcterms:modified>
</cp:coreProperties>
</file>