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P:\----------My stuff----------\Personal Stuff\"/>
    </mc:Choice>
  </mc:AlternateContent>
  <xr:revisionPtr revIDLastSave="0" documentId="11_8DE25A4C94CA3A8E2B9EA95FECCB5E56A13B565B" xr6:coauthVersionLast="43" xr6:coauthVersionMax="43" xr10:uidLastSave="{00000000-0000-0000-0000-000000000000}"/>
  <workbookProtection workbookAlgorithmName="SHA-512" workbookHashValue="eBg7p+mNiZm5MLMIheEwatcyEVLphxRX/RxP7j+mkXilnaiRwHVMeg89Zzx7SB2v9ev6QCsN2FQsJgOf5BWtuA==" workbookSaltValue="pU5uEVyAQLer9suxFnewnw==" workbookSpinCount="100000" lockStructure="1"/>
  <bookViews>
    <workbookView xWindow="435" yWindow="210" windowWidth="15735" windowHeight="8940" firstSheet="1" activeTab="1" xr2:uid="{00000000-000D-0000-FFFF-FFFF00000000}"/>
  </bookViews>
  <sheets>
    <sheet name="Sheet1" sheetId="1" state="hidden" r:id="rId1"/>
    <sheet name="Benefit Chart" sheetId="2" r:id="rId2"/>
    <sheet name="FRA chart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6" i="1" l="1"/>
  <c r="M43" i="1"/>
  <c r="M42" i="1"/>
  <c r="M41" i="1"/>
  <c r="M40" i="1"/>
  <c r="M39" i="1"/>
  <c r="M38" i="1"/>
  <c r="M37" i="1"/>
  <c r="M36" i="1"/>
  <c r="P4" i="1" l="1"/>
  <c r="E57" i="2" l="1"/>
  <c r="M15" i="1" l="1"/>
  <c r="M17" i="1" l="1"/>
  <c r="M18" i="1"/>
  <c r="M19" i="1"/>
  <c r="M20" i="1"/>
  <c r="M21" i="1"/>
  <c r="M16" i="1"/>
  <c r="I17" i="1"/>
  <c r="L15" i="1" l="1"/>
  <c r="L17" i="1" s="1"/>
  <c r="H3" i="1" l="1"/>
  <c r="H5" i="1" l="1"/>
  <c r="J3" i="1" s="1"/>
  <c r="G6" i="2" s="1"/>
  <c r="I18" i="1"/>
  <c r="I3" i="1" l="1"/>
  <c r="G2" i="2" s="1"/>
  <c r="F5" i="1"/>
  <c r="C114" i="1" s="1"/>
  <c r="G5" i="1"/>
  <c r="K50" i="1"/>
  <c r="K51" i="1" s="1"/>
  <c r="K52" i="1" s="1"/>
  <c r="L51" i="1"/>
  <c r="L50" i="1"/>
  <c r="L52" i="1" l="1"/>
  <c r="D114" i="1"/>
  <c r="E107" i="1"/>
  <c r="E117" i="1"/>
  <c r="E109" i="1"/>
  <c r="E106" i="1"/>
  <c r="E113" i="1"/>
  <c r="E87" i="1"/>
  <c r="E122" i="1"/>
  <c r="E65" i="1"/>
  <c r="E115" i="1"/>
  <c r="E123" i="1"/>
  <c r="E91" i="1"/>
  <c r="E57" i="1"/>
  <c r="E84" i="1"/>
  <c r="E66" i="1"/>
  <c r="E71" i="1"/>
  <c r="E85" i="1"/>
  <c r="E93" i="1"/>
  <c r="E101" i="1"/>
  <c r="E59" i="1"/>
  <c r="E118" i="1"/>
  <c r="E88" i="1"/>
  <c r="E104" i="1"/>
  <c r="E70" i="1"/>
  <c r="E73" i="1"/>
  <c r="E63" i="1"/>
  <c r="E112" i="1"/>
  <c r="E120" i="1"/>
  <c r="E82" i="1"/>
  <c r="E90" i="1"/>
  <c r="E56" i="1"/>
  <c r="E72" i="1"/>
  <c r="E69" i="1"/>
  <c r="E95" i="1"/>
  <c r="E92" i="1"/>
  <c r="E125" i="1"/>
  <c r="E74" i="1"/>
  <c r="E121" i="1"/>
  <c r="E103" i="1"/>
  <c r="E58" i="1"/>
  <c r="E111" i="1"/>
  <c r="E119" i="1"/>
  <c r="E83" i="1"/>
  <c r="E99" i="1"/>
  <c r="E114" i="1"/>
  <c r="E100" i="1"/>
  <c r="E55" i="1"/>
  <c r="E81" i="1"/>
  <c r="E89" i="1"/>
  <c r="E97" i="1"/>
  <c r="G101" i="2" s="1"/>
  <c r="E105" i="1"/>
  <c r="E110" i="1"/>
  <c r="E126" i="1"/>
  <c r="E96" i="1"/>
  <c r="E62" i="1"/>
  <c r="E78" i="1"/>
  <c r="E79" i="1"/>
  <c r="E108" i="1"/>
  <c r="E116" i="1"/>
  <c r="E124" i="1"/>
  <c r="E86" i="1"/>
  <c r="E94" i="1"/>
  <c r="G98" i="2" s="1"/>
  <c r="E102" i="1"/>
  <c r="E60" i="1"/>
  <c r="E68" i="1"/>
  <c r="E76" i="1"/>
  <c r="E77" i="1"/>
  <c r="E61" i="1"/>
  <c r="E67" i="1"/>
  <c r="G71" i="2" s="1"/>
  <c r="E98" i="1"/>
  <c r="G102" i="2" s="1"/>
  <c r="E64" i="1"/>
  <c r="E80" i="1"/>
  <c r="E75" i="1"/>
  <c r="M52" i="1"/>
  <c r="G123" i="2" l="1"/>
  <c r="G120" i="2"/>
  <c r="G109" i="2"/>
  <c r="G128" i="2"/>
  <c r="G93" i="2"/>
  <c r="G84" i="2"/>
  <c r="G99" i="2"/>
  <c r="G80" i="2"/>
  <c r="G79" i="2"/>
  <c r="G64" i="2"/>
  <c r="G63" i="2"/>
  <c r="G112" i="2"/>
  <c r="G68" i="2"/>
  <c r="G90" i="2"/>
  <c r="G115" i="2"/>
  <c r="G78" i="2"/>
  <c r="G96" i="2"/>
  <c r="G121" i="2"/>
  <c r="G82" i="2"/>
  <c r="G100" i="2"/>
  <c r="G114" i="2"/>
  <c r="G103" i="2"/>
  <c r="G125" i="2"/>
  <c r="G67" i="2"/>
  <c r="G92" i="2"/>
  <c r="G117" i="2"/>
  <c r="G81" i="2"/>
  <c r="G66" i="2"/>
  <c r="G73" i="2"/>
  <c r="G74" i="2"/>
  <c r="G95" i="2"/>
  <c r="G85" i="2"/>
  <c r="G104" i="2"/>
  <c r="G129" i="2"/>
  <c r="G76" i="2"/>
  <c r="G94" i="2"/>
  <c r="G124" i="2"/>
  <c r="G62" i="2"/>
  <c r="G97" i="2"/>
  <c r="G75" i="2"/>
  <c r="G88" i="2"/>
  <c r="G119" i="2"/>
  <c r="G126" i="2"/>
  <c r="G113" i="2"/>
  <c r="G111" i="2"/>
  <c r="G72" i="2"/>
  <c r="G106" i="2"/>
  <c r="G83" i="2"/>
  <c r="G118" i="2"/>
  <c r="G87" i="2"/>
  <c r="G107" i="2"/>
  <c r="G86" i="2"/>
  <c r="G116" i="2"/>
  <c r="G77" i="2"/>
  <c r="G108" i="2"/>
  <c r="G122" i="2"/>
  <c r="G105" i="2"/>
  <c r="G89" i="2"/>
  <c r="G70" i="2"/>
  <c r="G127" i="2"/>
  <c r="G69" i="2"/>
  <c r="G91" i="2"/>
  <c r="G110" i="2"/>
  <c r="J15" i="1"/>
  <c r="L7" i="1"/>
  <c r="L8" i="1"/>
  <c r="L9" i="1"/>
  <c r="L10" i="1"/>
  <c r="L5" i="1"/>
  <c r="L6" i="1"/>
  <c r="N3" i="1" l="1"/>
  <c r="H7" i="1"/>
  <c r="C96" i="1"/>
  <c r="E100" i="2" s="1"/>
  <c r="D87" i="1"/>
  <c r="F91" i="2" s="1"/>
  <c r="D68" i="1"/>
  <c r="F72" i="2" s="1"/>
  <c r="D55" i="1"/>
  <c r="F58" i="2" s="1"/>
  <c r="N5" i="1" l="1"/>
  <c r="F54" i="1" s="1"/>
  <c r="C57" i="2" s="1"/>
  <c r="B57" i="2" s="1"/>
  <c r="D76" i="1"/>
  <c r="F80" i="2" s="1"/>
  <c r="D60" i="1"/>
  <c r="F63" i="2" s="1"/>
  <c r="D98" i="1"/>
  <c r="F102" i="2" s="1"/>
  <c r="D80" i="1"/>
  <c r="F84" i="2" s="1"/>
  <c r="D72" i="1"/>
  <c r="F76" i="2" s="1"/>
  <c r="D64" i="1"/>
  <c r="F68" i="2" s="1"/>
  <c r="D56" i="1"/>
  <c r="F59" i="2" s="1"/>
  <c r="D91" i="1"/>
  <c r="F95" i="2" s="1"/>
  <c r="D94" i="1"/>
  <c r="F98" i="2" s="1"/>
  <c r="C51" i="1"/>
  <c r="E54" i="2" s="1"/>
  <c r="D82" i="1"/>
  <c r="F86" i="2" s="1"/>
  <c r="D78" i="1"/>
  <c r="F82" i="2" s="1"/>
  <c r="D74" i="1"/>
  <c r="F78" i="2" s="1"/>
  <c r="D70" i="1"/>
  <c r="F74" i="2" s="1"/>
  <c r="D66" i="1"/>
  <c r="F70" i="2" s="1"/>
  <c r="D62" i="1"/>
  <c r="F66" i="2" s="1"/>
  <c r="D58" i="1"/>
  <c r="F61" i="2" s="1"/>
  <c r="D89" i="1"/>
  <c r="F93" i="2" s="1"/>
  <c r="D85" i="1"/>
  <c r="F89" i="2" s="1"/>
  <c r="D100" i="1"/>
  <c r="F104" i="2" s="1"/>
  <c r="D96" i="1"/>
  <c r="F100" i="2" s="1"/>
  <c r="D92" i="1"/>
  <c r="F96" i="2" s="1"/>
  <c r="C47" i="1"/>
  <c r="E50" i="2" s="1"/>
  <c r="C43" i="1"/>
  <c r="E46" i="2" s="1"/>
  <c r="C39" i="1"/>
  <c r="E42" i="2" s="1"/>
  <c r="C35" i="1"/>
  <c r="E38" i="2" s="1"/>
  <c r="C31" i="1"/>
  <c r="E34" i="2" s="1"/>
  <c r="C27" i="1"/>
  <c r="E30" i="2" s="1"/>
  <c r="C23" i="1"/>
  <c r="E26" i="2" s="1"/>
  <c r="C19" i="1"/>
  <c r="E22" i="2" s="1"/>
  <c r="C15" i="1"/>
  <c r="C11" i="1"/>
  <c r="C7" i="1"/>
  <c r="C71" i="1"/>
  <c r="E75" i="2" s="1"/>
  <c r="C67" i="1"/>
  <c r="E71" i="2" s="1"/>
  <c r="C63" i="1"/>
  <c r="E67" i="2" s="1"/>
  <c r="C59" i="1"/>
  <c r="E62" i="2" s="1"/>
  <c r="C77" i="1"/>
  <c r="E81" i="2" s="1"/>
  <c r="C90" i="1"/>
  <c r="E94" i="2" s="1"/>
  <c r="C83" i="1"/>
  <c r="E87" i="2" s="1"/>
  <c r="C100" i="1"/>
  <c r="E104" i="2" s="1"/>
  <c r="C92" i="1"/>
  <c r="E96" i="2" s="1"/>
  <c r="C53" i="1"/>
  <c r="E56" i="2" s="1"/>
  <c r="C49" i="1"/>
  <c r="E52" i="2" s="1"/>
  <c r="C45" i="1"/>
  <c r="E48" i="2" s="1"/>
  <c r="C41" i="1"/>
  <c r="E44" i="2" s="1"/>
  <c r="C37" i="1"/>
  <c r="E40" i="2" s="1"/>
  <c r="C33" i="1"/>
  <c r="E36" i="2" s="1"/>
  <c r="C29" i="1"/>
  <c r="E32" i="2" s="1"/>
  <c r="C25" i="1"/>
  <c r="E28" i="2" s="1"/>
  <c r="C21" i="1"/>
  <c r="E24" i="2" s="1"/>
  <c r="C17" i="1"/>
  <c r="C13" i="1"/>
  <c r="C9" i="1"/>
  <c r="C73" i="1"/>
  <c r="E77" i="2" s="1"/>
  <c r="C69" i="1"/>
  <c r="E73" i="2" s="1"/>
  <c r="C65" i="1"/>
  <c r="E69" i="2" s="1"/>
  <c r="C61" i="1"/>
  <c r="E64" i="2" s="1"/>
  <c r="C57" i="1"/>
  <c r="E60" i="2" s="1"/>
  <c r="C75" i="1"/>
  <c r="E79" i="2" s="1"/>
  <c r="C87" i="1"/>
  <c r="E91" i="2" s="1"/>
  <c r="C79" i="1"/>
  <c r="E83" i="2" s="1"/>
  <c r="D103" i="1"/>
  <c r="D105" i="1"/>
  <c r="D107" i="1"/>
  <c r="D109" i="1"/>
  <c r="D111" i="1"/>
  <c r="D113" i="1"/>
  <c r="D102" i="1"/>
  <c r="D104" i="1"/>
  <c r="D106" i="1"/>
  <c r="D108" i="1"/>
  <c r="D110" i="1"/>
  <c r="D112" i="1"/>
  <c r="D54" i="1"/>
  <c r="F57" i="2" s="1"/>
  <c r="D83" i="1"/>
  <c r="F87" i="2" s="1"/>
  <c r="D81" i="1"/>
  <c r="F85" i="2" s="1"/>
  <c r="D79" i="1"/>
  <c r="F83" i="2" s="1"/>
  <c r="D77" i="1"/>
  <c r="F81" i="2" s="1"/>
  <c r="D75" i="1"/>
  <c r="F79" i="2" s="1"/>
  <c r="D73" i="1"/>
  <c r="F77" i="2" s="1"/>
  <c r="D71" i="1"/>
  <c r="F75" i="2" s="1"/>
  <c r="D69" i="1"/>
  <c r="F73" i="2" s="1"/>
  <c r="D67" i="1"/>
  <c r="F71" i="2" s="1"/>
  <c r="D65" i="1"/>
  <c r="F69" i="2" s="1"/>
  <c r="D63" i="1"/>
  <c r="F67" i="2" s="1"/>
  <c r="D61" i="1"/>
  <c r="F64" i="2" s="1"/>
  <c r="D59" i="1"/>
  <c r="F62" i="2" s="1"/>
  <c r="D57" i="1"/>
  <c r="F60" i="2" s="1"/>
  <c r="D90" i="1"/>
  <c r="F94" i="2" s="1"/>
  <c r="D88" i="1"/>
  <c r="F92" i="2" s="1"/>
  <c r="D86" i="1"/>
  <c r="F90" i="2" s="1"/>
  <c r="D84" i="1"/>
  <c r="F88" i="2" s="1"/>
  <c r="D101" i="1"/>
  <c r="F105" i="2" s="1"/>
  <c r="D99" i="1"/>
  <c r="F103" i="2" s="1"/>
  <c r="D97" i="1"/>
  <c r="F101" i="2" s="1"/>
  <c r="D95" i="1"/>
  <c r="F99" i="2" s="1"/>
  <c r="D93" i="1"/>
  <c r="F97" i="2" s="1"/>
  <c r="E54" i="1"/>
  <c r="C93" i="1"/>
  <c r="E97" i="2" s="1"/>
  <c r="C104" i="1"/>
  <c r="C106" i="1"/>
  <c r="C108" i="1"/>
  <c r="C110" i="1"/>
  <c r="C112" i="1"/>
  <c r="C102" i="1"/>
  <c r="C103" i="1"/>
  <c r="C105" i="1"/>
  <c r="C107" i="1"/>
  <c r="C109" i="1"/>
  <c r="C111" i="1"/>
  <c r="C113" i="1"/>
  <c r="C6" i="1"/>
  <c r="C52" i="1"/>
  <c r="E55" i="2" s="1"/>
  <c r="C50" i="1"/>
  <c r="E53" i="2" s="1"/>
  <c r="C48" i="1"/>
  <c r="E51" i="2" s="1"/>
  <c r="C46" i="1"/>
  <c r="E49" i="2" s="1"/>
  <c r="C44" i="1"/>
  <c r="E47" i="2" s="1"/>
  <c r="C42" i="1"/>
  <c r="E45" i="2" s="1"/>
  <c r="C40" i="1"/>
  <c r="E43" i="2" s="1"/>
  <c r="C38" i="1"/>
  <c r="E41" i="2" s="1"/>
  <c r="C36" i="1"/>
  <c r="E39" i="2" s="1"/>
  <c r="C34" i="1"/>
  <c r="E37" i="2" s="1"/>
  <c r="C32" i="1"/>
  <c r="E35" i="2" s="1"/>
  <c r="C30" i="1"/>
  <c r="E33" i="2" s="1"/>
  <c r="C28" i="1"/>
  <c r="E31" i="2" s="1"/>
  <c r="C26" i="1"/>
  <c r="E29" i="2" s="1"/>
  <c r="C24" i="1"/>
  <c r="E27" i="2" s="1"/>
  <c r="C22" i="1"/>
  <c r="E25" i="2" s="1"/>
  <c r="C20" i="1"/>
  <c r="E23" i="2" s="1"/>
  <c r="C18" i="1"/>
  <c r="E21" i="2" s="1"/>
  <c r="C16" i="1"/>
  <c r="C14" i="1"/>
  <c r="C12" i="1"/>
  <c r="C10" i="1"/>
  <c r="C8" i="1"/>
  <c r="C55" i="1"/>
  <c r="C72" i="1"/>
  <c r="E76" i="2" s="1"/>
  <c r="C70" i="1"/>
  <c r="E74" i="2" s="1"/>
  <c r="C68" i="1"/>
  <c r="E72" i="2" s="1"/>
  <c r="C66" i="1"/>
  <c r="E70" i="2" s="1"/>
  <c r="C64" i="1"/>
  <c r="E68" i="2" s="1"/>
  <c r="C62" i="1"/>
  <c r="E66" i="2" s="1"/>
  <c r="C60" i="1"/>
  <c r="E63" i="2" s="1"/>
  <c r="C58" i="1"/>
  <c r="E61" i="2" s="1"/>
  <c r="C56" i="1"/>
  <c r="E59" i="2" s="1"/>
  <c r="C76" i="1"/>
  <c r="E80" i="2" s="1"/>
  <c r="C74" i="1"/>
  <c r="E78" i="2" s="1"/>
  <c r="C89" i="1"/>
  <c r="E93" i="2" s="1"/>
  <c r="C85" i="1"/>
  <c r="E89" i="2" s="1"/>
  <c r="C81" i="1"/>
  <c r="E85" i="2" s="1"/>
  <c r="C91" i="1"/>
  <c r="E95" i="2" s="1"/>
  <c r="C98" i="1"/>
  <c r="E102" i="2" s="1"/>
  <c r="C94" i="1"/>
  <c r="E98" i="2" s="1"/>
  <c r="C88" i="1"/>
  <c r="E92" i="2" s="1"/>
  <c r="C86" i="1"/>
  <c r="E90" i="2" s="1"/>
  <c r="C84" i="1"/>
  <c r="E88" i="2" s="1"/>
  <c r="C82" i="1"/>
  <c r="E86" i="2" s="1"/>
  <c r="C80" i="1"/>
  <c r="E84" i="2" s="1"/>
  <c r="C78" i="1"/>
  <c r="E82" i="2" s="1"/>
  <c r="C101" i="1"/>
  <c r="E105" i="2" s="1"/>
  <c r="C99" i="1"/>
  <c r="E103" i="2" s="1"/>
  <c r="C97" i="1"/>
  <c r="E101" i="2" s="1"/>
  <c r="C95" i="1"/>
  <c r="E99" i="2" s="1"/>
  <c r="G60" i="2" l="1"/>
  <c r="G61" i="2"/>
  <c r="G58" i="2"/>
  <c r="G59" i="2"/>
  <c r="G57" i="2"/>
  <c r="G45" i="2" s="1"/>
  <c r="F26" i="2"/>
  <c r="F23" i="2"/>
  <c r="H55" i="1"/>
  <c r="I55" i="1" s="1"/>
  <c r="E58" i="2"/>
  <c r="F41" i="2"/>
  <c r="F43" i="2"/>
  <c r="F45" i="2"/>
  <c r="F47" i="2"/>
  <c r="F49" i="2"/>
  <c r="F51" i="2"/>
  <c r="F53" i="2"/>
  <c r="F55" i="2"/>
  <c r="F21" i="2"/>
  <c r="F25" i="2"/>
  <c r="F27" i="2"/>
  <c r="F29" i="2"/>
  <c r="F31" i="2"/>
  <c r="F33" i="2"/>
  <c r="F35" i="2"/>
  <c r="F37" i="2"/>
  <c r="F39" i="2"/>
  <c r="F42" i="2"/>
  <c r="F44" i="2"/>
  <c r="F46" i="2"/>
  <c r="F48" i="2"/>
  <c r="F50" i="2"/>
  <c r="F52" i="2"/>
  <c r="F54" i="2"/>
  <c r="F56" i="2"/>
  <c r="F22" i="2"/>
  <c r="F24" i="2"/>
  <c r="F28" i="2"/>
  <c r="F30" i="2"/>
  <c r="F32" i="2"/>
  <c r="F34" i="2"/>
  <c r="F36" i="2"/>
  <c r="F38" i="2"/>
  <c r="F40" i="2"/>
  <c r="H71" i="1"/>
  <c r="H75" i="1"/>
  <c r="H79" i="1"/>
  <c r="H83" i="1"/>
  <c r="H69" i="1"/>
  <c r="H73" i="1"/>
  <c r="H77" i="1"/>
  <c r="H90" i="1"/>
  <c r="H67" i="1"/>
  <c r="H84" i="1"/>
  <c r="H88" i="1"/>
  <c r="H81" i="1"/>
  <c r="H89" i="1"/>
  <c r="H70" i="1"/>
  <c r="H78" i="1"/>
  <c r="H72" i="1"/>
  <c r="H76" i="1"/>
  <c r="H87" i="1"/>
  <c r="H86" i="1"/>
  <c r="H85" i="1"/>
  <c r="H66" i="1"/>
  <c r="H74" i="1"/>
  <c r="H82" i="1"/>
  <c r="H80" i="1"/>
  <c r="H68" i="1"/>
  <c r="H57" i="1"/>
  <c r="H61" i="1"/>
  <c r="H65" i="1"/>
  <c r="H62" i="1"/>
  <c r="H56" i="1"/>
  <c r="H59" i="1"/>
  <c r="H63" i="1"/>
  <c r="H58" i="1"/>
  <c r="H64" i="1"/>
  <c r="H60" i="1"/>
  <c r="I5" i="1"/>
  <c r="G4" i="2" s="1"/>
  <c r="F77" i="1"/>
  <c r="C81" i="2" s="1"/>
  <c r="F55" i="1"/>
  <c r="F106" i="1"/>
  <c r="C110" i="2" s="1"/>
  <c r="F76" i="1"/>
  <c r="C80" i="2" s="1"/>
  <c r="F63" i="1"/>
  <c r="C67" i="2" s="1"/>
  <c r="F75" i="1"/>
  <c r="C79" i="2" s="1"/>
  <c r="F69" i="1"/>
  <c r="C73" i="2" s="1"/>
  <c r="F59" i="1"/>
  <c r="F125" i="1"/>
  <c r="C129" i="2" s="1"/>
  <c r="F70" i="1"/>
  <c r="C74" i="2" s="1"/>
  <c r="F66" i="1"/>
  <c r="C70" i="2" s="1"/>
  <c r="F61" i="1"/>
  <c r="F104" i="1"/>
  <c r="C108" i="2" s="1"/>
  <c r="F85" i="1"/>
  <c r="C89" i="2" s="1"/>
  <c r="F62" i="1"/>
  <c r="F58" i="1"/>
  <c r="F105" i="1"/>
  <c r="C109" i="2" s="1"/>
  <c r="F98" i="1"/>
  <c r="C102" i="2" s="1"/>
  <c r="F89" i="1"/>
  <c r="C93" i="2" s="1"/>
  <c r="F121" i="1"/>
  <c r="C125" i="2" s="1"/>
  <c r="F101" i="1"/>
  <c r="C105" i="2" s="1"/>
  <c r="F97" i="1"/>
  <c r="C101" i="2" s="1"/>
  <c r="F93" i="1"/>
  <c r="C97" i="2" s="1"/>
  <c r="F87" i="1"/>
  <c r="C91" i="2" s="1"/>
  <c r="F79" i="1"/>
  <c r="C83" i="2" s="1"/>
  <c r="F117" i="1"/>
  <c r="C121" i="2" s="1"/>
  <c r="F36" i="1"/>
  <c r="F88" i="1"/>
  <c r="C92" i="2" s="1"/>
  <c r="F84" i="1"/>
  <c r="C88" i="2" s="1"/>
  <c r="F80" i="1"/>
  <c r="C84" i="2" s="1"/>
  <c r="F124" i="1"/>
  <c r="C128" i="2" s="1"/>
  <c r="F119" i="1"/>
  <c r="C123" i="2" s="1"/>
  <c r="F110" i="1"/>
  <c r="C114" i="2" s="1"/>
  <c r="F41" i="1"/>
  <c r="F120" i="1"/>
  <c r="C124" i="2" s="1"/>
  <c r="F116" i="1"/>
  <c r="C120" i="2" s="1"/>
  <c r="F112" i="1"/>
  <c r="C116" i="2" s="1"/>
  <c r="F51" i="1"/>
  <c r="F43" i="1"/>
  <c r="F32" i="1"/>
  <c r="F111" i="1"/>
  <c r="C115" i="2" s="1"/>
  <c r="F107" i="1"/>
  <c r="C111" i="2" s="1"/>
  <c r="F50" i="1"/>
  <c r="F46" i="1"/>
  <c r="F42" i="1"/>
  <c r="F38" i="1"/>
  <c r="F28" i="1"/>
  <c r="F12" i="1"/>
  <c r="C15" i="2" s="1"/>
  <c r="F26" i="1"/>
  <c r="F18" i="1"/>
  <c r="F9" i="1"/>
  <c r="C12" i="2" s="1"/>
  <c r="F35" i="1"/>
  <c r="F31" i="1"/>
  <c r="F27" i="1"/>
  <c r="F23" i="1"/>
  <c r="F19" i="1"/>
  <c r="F15" i="1"/>
  <c r="C18" i="2" s="1"/>
  <c r="F11" i="1"/>
  <c r="C14" i="2" s="1"/>
  <c r="F10" i="1"/>
  <c r="C13" i="2" s="1"/>
  <c r="F67" i="1"/>
  <c r="C71" i="2" s="1"/>
  <c r="F74" i="1"/>
  <c r="C78" i="2" s="1"/>
  <c r="F78" i="1"/>
  <c r="C82" i="2" s="1"/>
  <c r="F71" i="1"/>
  <c r="C75" i="2" s="1"/>
  <c r="F92" i="1"/>
  <c r="C96" i="2" s="1"/>
  <c r="F73" i="1"/>
  <c r="C77" i="2" s="1"/>
  <c r="F65" i="1"/>
  <c r="C69" i="2" s="1"/>
  <c r="F100" i="1"/>
  <c r="C104" i="2" s="1"/>
  <c r="F72" i="1"/>
  <c r="C76" i="2" s="1"/>
  <c r="F68" i="1"/>
  <c r="C72" i="2" s="1"/>
  <c r="F64" i="1"/>
  <c r="C68" i="2" s="1"/>
  <c r="F57" i="1"/>
  <c r="F96" i="1"/>
  <c r="C100" i="2" s="1"/>
  <c r="F113" i="1"/>
  <c r="C117" i="2" s="1"/>
  <c r="F60" i="1"/>
  <c r="F56" i="1"/>
  <c r="F102" i="1"/>
  <c r="C106" i="2" s="1"/>
  <c r="F94" i="1"/>
  <c r="C98" i="2" s="1"/>
  <c r="F81" i="1"/>
  <c r="C85" i="2" s="1"/>
  <c r="F45" i="1"/>
  <c r="F103" i="1"/>
  <c r="C107" i="2" s="1"/>
  <c r="F99" i="1"/>
  <c r="C103" i="2" s="1"/>
  <c r="F95" i="1"/>
  <c r="C99" i="2" s="1"/>
  <c r="F91" i="1"/>
  <c r="C95" i="2" s="1"/>
  <c r="F83" i="1"/>
  <c r="C87" i="2" s="1"/>
  <c r="F123" i="1"/>
  <c r="C127" i="2" s="1"/>
  <c r="F53" i="1"/>
  <c r="F90" i="1"/>
  <c r="C94" i="2" s="1"/>
  <c r="F86" i="1"/>
  <c r="C90" i="2" s="1"/>
  <c r="F82" i="1"/>
  <c r="C86" i="2" s="1"/>
  <c r="F126" i="1"/>
  <c r="F122" i="1"/>
  <c r="C126" i="2" s="1"/>
  <c r="F115" i="1"/>
  <c r="C119" i="2" s="1"/>
  <c r="F49" i="1"/>
  <c r="F24" i="1"/>
  <c r="F118" i="1"/>
  <c r="C122" i="2" s="1"/>
  <c r="F114" i="1"/>
  <c r="C118" i="2" s="1"/>
  <c r="F108" i="1"/>
  <c r="C112" i="2" s="1"/>
  <c r="F47" i="1"/>
  <c r="F39" i="1"/>
  <c r="C42" i="2" s="1"/>
  <c r="F16" i="1"/>
  <c r="C19" i="2" s="1"/>
  <c r="F109" i="1"/>
  <c r="C113" i="2" s="1"/>
  <c r="F52" i="1"/>
  <c r="F48" i="1"/>
  <c r="F44" i="1"/>
  <c r="F40" i="1"/>
  <c r="F34" i="1"/>
  <c r="F20" i="1"/>
  <c r="F30" i="1"/>
  <c r="F22" i="1"/>
  <c r="F14" i="1"/>
  <c r="C17" i="2" s="1"/>
  <c r="F37" i="1"/>
  <c r="F33" i="1"/>
  <c r="F29" i="1"/>
  <c r="F25" i="1"/>
  <c r="F21" i="1"/>
  <c r="F17" i="1"/>
  <c r="C20" i="2" s="1"/>
  <c r="F13" i="1"/>
  <c r="C16" i="2" s="1"/>
  <c r="F7" i="1"/>
  <c r="C10" i="2" s="1"/>
  <c r="F8" i="1"/>
  <c r="C11" i="2" s="1"/>
  <c r="F6" i="1"/>
  <c r="C9" i="2" s="1"/>
  <c r="B9" i="2" s="1"/>
  <c r="G24" i="2" l="1"/>
  <c r="G43" i="2"/>
  <c r="G27" i="2"/>
  <c r="G39" i="2"/>
  <c r="G56" i="2"/>
  <c r="G55" i="2"/>
  <c r="G51" i="2"/>
  <c r="G32" i="2"/>
  <c r="G47" i="2"/>
  <c r="G28" i="2"/>
  <c r="G31" i="2"/>
  <c r="G35" i="2"/>
  <c r="G52" i="2"/>
  <c r="G23" i="2"/>
  <c r="G38" i="2"/>
  <c r="G48" i="2"/>
  <c r="G54" i="2"/>
  <c r="G50" i="2"/>
  <c r="G46" i="2"/>
  <c r="G30" i="2"/>
  <c r="G26" i="2"/>
  <c r="G34" i="2"/>
  <c r="G41" i="2"/>
  <c r="G37" i="2"/>
  <c r="G33" i="2"/>
  <c r="G53" i="2"/>
  <c r="G49" i="2"/>
  <c r="G22" i="2"/>
  <c r="G29" i="2"/>
  <c r="G25" i="2"/>
  <c r="G42" i="2"/>
  <c r="G21" i="2"/>
  <c r="G44" i="2"/>
  <c r="G40" i="2"/>
  <c r="G36" i="2"/>
  <c r="G9" i="2"/>
  <c r="F9" i="2"/>
  <c r="C28" i="2"/>
  <c r="B28" i="2" s="1"/>
  <c r="C36" i="2"/>
  <c r="B36" i="2" s="1"/>
  <c r="C33" i="2"/>
  <c r="B33" i="2" s="1"/>
  <c r="C37" i="2"/>
  <c r="B37" i="2" s="1"/>
  <c r="C47" i="2"/>
  <c r="B47" i="2" s="1"/>
  <c r="C55" i="2"/>
  <c r="B55" i="2" s="1"/>
  <c r="C50" i="2"/>
  <c r="B50" i="2" s="1"/>
  <c r="C27" i="2"/>
  <c r="B27" i="2" s="1"/>
  <c r="B118" i="2"/>
  <c r="F118" i="2" s="1"/>
  <c r="C56" i="2"/>
  <c r="B56" i="2" s="1"/>
  <c r="B106" i="2"/>
  <c r="F106" i="2" s="1"/>
  <c r="C63" i="2"/>
  <c r="B63" i="2" s="1"/>
  <c r="B99" i="2"/>
  <c r="B68" i="2"/>
  <c r="C22" i="2"/>
  <c r="B22" i="2" s="1"/>
  <c r="C30" i="2"/>
  <c r="B30" i="2" s="1"/>
  <c r="C38" i="2"/>
  <c r="B38" i="2" s="1"/>
  <c r="C21" i="2"/>
  <c r="B21" i="2" s="1"/>
  <c r="C41" i="2"/>
  <c r="B41" i="2" s="1"/>
  <c r="C49" i="2"/>
  <c r="B49" i="2" s="1"/>
  <c r="C35" i="2"/>
  <c r="B35" i="2" s="1"/>
  <c r="C54" i="2"/>
  <c r="B54" i="2" s="1"/>
  <c r="B119" i="2"/>
  <c r="C44" i="2"/>
  <c r="B44" i="2" s="1"/>
  <c r="B122" i="2"/>
  <c r="B84" i="2"/>
  <c r="B120" i="2"/>
  <c r="B91" i="2"/>
  <c r="B90" i="2"/>
  <c r="B100" i="2"/>
  <c r="B92" i="2"/>
  <c r="C66" i="2"/>
  <c r="B66" i="2" s="1"/>
  <c r="B70" i="2"/>
  <c r="B69" i="2"/>
  <c r="B129" i="2"/>
  <c r="B72" i="2"/>
  <c r="B67" i="2"/>
  <c r="B81" i="2"/>
  <c r="B80" i="2"/>
  <c r="C24" i="2"/>
  <c r="B24" i="2" s="1"/>
  <c r="C32" i="2"/>
  <c r="B32" i="2" s="1"/>
  <c r="C40" i="2"/>
  <c r="B40" i="2" s="1"/>
  <c r="C25" i="2"/>
  <c r="B25" i="2" s="1"/>
  <c r="C23" i="2"/>
  <c r="B23" i="2" s="1"/>
  <c r="C43" i="2"/>
  <c r="B43" i="2" s="1"/>
  <c r="C51" i="2"/>
  <c r="B51" i="2" s="1"/>
  <c r="B112" i="2"/>
  <c r="B121" i="2"/>
  <c r="C52" i="2"/>
  <c r="B52" i="2" s="1"/>
  <c r="B125" i="2"/>
  <c r="B86" i="2"/>
  <c r="B85" i="2"/>
  <c r="B93" i="2"/>
  <c r="B126" i="2"/>
  <c r="B95" i="2"/>
  <c r="B94" i="2"/>
  <c r="B102" i="2"/>
  <c r="C48" i="2"/>
  <c r="B48" i="2" s="1"/>
  <c r="B98" i="2"/>
  <c r="B97" i="2"/>
  <c r="C59" i="2"/>
  <c r="B59" i="2" s="1"/>
  <c r="C60" i="2"/>
  <c r="B60" i="2" s="1"/>
  <c r="B71" i="2"/>
  <c r="B103" i="2"/>
  <c r="B76" i="2"/>
  <c r="B75" i="2"/>
  <c r="B74" i="2"/>
  <c r="B77" i="2"/>
  <c r="C26" i="2"/>
  <c r="B26" i="2" s="1"/>
  <c r="C34" i="2"/>
  <c r="B34" i="2" s="1"/>
  <c r="C29" i="2"/>
  <c r="B29" i="2" s="1"/>
  <c r="C31" i="2"/>
  <c r="B31" i="2" s="1"/>
  <c r="C45" i="2"/>
  <c r="B45" i="2" s="1"/>
  <c r="C53" i="2"/>
  <c r="B53" i="2" s="1"/>
  <c r="C46" i="2"/>
  <c r="B46" i="2" s="1"/>
  <c r="B123" i="2"/>
  <c r="B128" i="2"/>
  <c r="B127" i="2"/>
  <c r="B87" i="2"/>
  <c r="C39" i="2"/>
  <c r="B39" i="2" s="1"/>
  <c r="B83" i="2"/>
  <c r="B82" i="2"/>
  <c r="B96" i="2"/>
  <c r="B105" i="2"/>
  <c r="B104" i="2"/>
  <c r="B124" i="2"/>
  <c r="B101" i="2"/>
  <c r="C61" i="2"/>
  <c r="B61" i="2" s="1"/>
  <c r="B89" i="2"/>
  <c r="B88" i="2"/>
  <c r="C64" i="2"/>
  <c r="B64" i="2" s="1"/>
  <c r="B73" i="2"/>
  <c r="C62" i="2"/>
  <c r="B62" i="2" s="1"/>
  <c r="B78" i="2"/>
  <c r="B79" i="2"/>
  <c r="C58" i="2"/>
  <c r="B58" i="2" s="1"/>
  <c r="B117" i="2"/>
  <c r="B115" i="2"/>
  <c r="B116" i="2"/>
  <c r="F116" i="2" s="1"/>
  <c r="B114" i="2"/>
  <c r="B111" i="2"/>
  <c r="F111" i="2" s="1"/>
  <c r="B109" i="2"/>
  <c r="F109" i="2" s="1"/>
  <c r="B108" i="2"/>
  <c r="F108" i="2" s="1"/>
  <c r="B110" i="2"/>
  <c r="F110" i="2" s="1"/>
  <c r="B113" i="2"/>
  <c r="E106" i="2"/>
  <c r="B11" i="2"/>
  <c r="B16" i="2"/>
  <c r="B13" i="2"/>
  <c r="B18" i="2"/>
  <c r="B12" i="2"/>
  <c r="E9" i="2"/>
  <c r="B15" i="2"/>
  <c r="B107" i="2"/>
  <c r="F107" i="2" s="1"/>
  <c r="B42" i="2"/>
  <c r="B17" i="2"/>
  <c r="B14" i="2"/>
  <c r="B19" i="2"/>
  <c r="B10" i="2"/>
  <c r="I87" i="1"/>
  <c r="I90" i="1"/>
  <c r="I89" i="1"/>
  <c r="I88" i="1"/>
  <c r="I64" i="1"/>
  <c r="I63" i="1"/>
  <c r="I56" i="1"/>
  <c r="I65" i="1"/>
  <c r="I57" i="1"/>
  <c r="I80" i="1"/>
  <c r="I74" i="1"/>
  <c r="I85" i="1"/>
  <c r="I72" i="1"/>
  <c r="I70" i="1"/>
  <c r="I81" i="1"/>
  <c r="I84" i="1"/>
  <c r="I73" i="1"/>
  <c r="I83" i="1"/>
  <c r="I75" i="1"/>
  <c r="I60" i="1"/>
  <c r="I58" i="1"/>
  <c r="I59" i="1"/>
  <c r="I62" i="1"/>
  <c r="I61" i="1"/>
  <c r="I68" i="1"/>
  <c r="I82" i="1"/>
  <c r="I66" i="1"/>
  <c r="I86" i="1"/>
  <c r="I76" i="1"/>
  <c r="I78" i="1"/>
  <c r="I67" i="1"/>
  <c r="I77" i="1"/>
  <c r="I69" i="1"/>
  <c r="I79" i="1"/>
  <c r="I71" i="1"/>
  <c r="E113" i="2" l="1"/>
  <c r="F113" i="2"/>
  <c r="E108" i="2"/>
  <c r="E111" i="2"/>
  <c r="E112" i="2"/>
  <c r="F112" i="2"/>
  <c r="E110" i="2"/>
  <c r="E109" i="2"/>
  <c r="E114" i="2"/>
  <c r="F114" i="2"/>
  <c r="E115" i="2"/>
  <c r="F115" i="2"/>
  <c r="E117" i="2"/>
  <c r="F117" i="2"/>
  <c r="E116" i="2"/>
  <c r="E12" i="2"/>
  <c r="G12" i="2"/>
  <c r="F12" i="2"/>
  <c r="E11" i="2"/>
  <c r="G11" i="2"/>
  <c r="F11" i="2"/>
  <c r="E19" i="2"/>
  <c r="G19" i="2"/>
  <c r="F19" i="2"/>
  <c r="E17" i="2"/>
  <c r="G17" i="2"/>
  <c r="F17" i="2"/>
  <c r="E18" i="2"/>
  <c r="G18" i="2"/>
  <c r="F18" i="2"/>
  <c r="E16" i="2"/>
  <c r="G16" i="2"/>
  <c r="F16" i="2"/>
  <c r="E10" i="2"/>
  <c r="G10" i="2"/>
  <c r="F10" i="2"/>
  <c r="E14" i="2"/>
  <c r="G14" i="2"/>
  <c r="F14" i="2"/>
  <c r="E15" i="2"/>
  <c r="G15" i="2"/>
  <c r="F15" i="2"/>
  <c r="E13" i="2"/>
  <c r="G13" i="2"/>
  <c r="F13" i="2"/>
  <c r="E118" i="2"/>
  <c r="E107" i="2"/>
  <c r="B20" i="2"/>
  <c r="G20" i="2" l="1"/>
  <c r="F20" i="2"/>
  <c r="E20" i="2"/>
</calcChain>
</file>

<file path=xl/sharedStrings.xml><?xml version="1.0" encoding="utf-8"?>
<sst xmlns="http://schemas.openxmlformats.org/spreadsheetml/2006/main" count="72" uniqueCount="68">
  <si>
    <t>Calculator Engine -DO NOT TOUCH!</t>
  </si>
  <si>
    <t>Age 62</t>
  </si>
  <si>
    <t>Age 70</t>
  </si>
  <si>
    <t>PIA</t>
  </si>
  <si>
    <t>Aux PIA</t>
  </si>
  <si>
    <t>DOB</t>
  </si>
  <si>
    <t>FRA</t>
  </si>
  <si>
    <t>RFs/DRCs</t>
  </si>
  <si>
    <t>RIB</t>
  </si>
  <si>
    <t>Aux</t>
  </si>
  <si>
    <t>Widow</t>
  </si>
  <si>
    <t>Widow Potential RFs:</t>
  </si>
  <si>
    <t>Actual DOB</t>
  </si>
  <si>
    <t>SSA DOB</t>
  </si>
  <si>
    <t>Widow FRA 1955 and 1961</t>
  </si>
  <si>
    <t>Widow FRA 1956-1960</t>
  </si>
  <si>
    <t>Age 62 = +1year</t>
  </si>
  <si>
    <t>Current DOB</t>
  </si>
  <si>
    <t>B</t>
  </si>
  <si>
    <t>A</t>
  </si>
  <si>
    <t>AUX PIA</t>
  </si>
  <si>
    <t>OB</t>
  </si>
  <si>
    <t>A PIA</t>
  </si>
  <si>
    <t>RF</t>
  </si>
  <si>
    <t>Rate</t>
  </si>
  <si>
    <t>LEMBA</t>
  </si>
  <si>
    <t>DE MBA</t>
  </si>
  <si>
    <t>Your Date of Birth</t>
  </si>
  <si>
    <t>You turn 62</t>
  </si>
  <si>
    <t>Calculator Created by Jonathan Carlson - BA/SR FO 632</t>
  </si>
  <si>
    <t>Your Full Benefit (PIA)</t>
  </si>
  <si>
    <t>Your FRA is</t>
  </si>
  <si>
    <t>Your Spouse's Full Benefit (PIA)</t>
  </si>
  <si>
    <t>You turn 70</t>
  </si>
  <si>
    <t>Begin</t>
  </si>
  <si>
    <t>Retirement</t>
  </si>
  <si>
    <t>Spousal</t>
  </si>
  <si>
    <r>
      <t>Widow</t>
    </r>
    <r>
      <rPr>
        <b/>
        <sz val="12"/>
        <color theme="1"/>
        <rFont val="Calibri"/>
        <family val="2"/>
        <scheme val="minor"/>
      </rPr>
      <t>(er)</t>
    </r>
  </si>
  <si>
    <t>Full Retirment</t>
  </si>
  <si>
    <t>Age (FRA)</t>
  </si>
  <si>
    <t>Continues on</t>
  </si>
  <si>
    <t>other side</t>
  </si>
  <si>
    <t>Begin Date:</t>
  </si>
  <si>
    <t>Retirement Benefit:</t>
  </si>
  <si>
    <t>Spousal Benefit:</t>
  </si>
  <si>
    <t>Widow(er) Benefit:</t>
  </si>
  <si>
    <t>&lt;link href="/framework/css/noscript.css" rel="stylesheet" media="all" /&gt;</t>
  </si>
  <si>
    <t>Year of Birth 1.</t>
  </si>
  <si>
    <t xml:space="preserve">Full (normal) Retirement Age </t>
  </si>
  <si>
    <t>Months between age 62 and full retirement age 2.</t>
  </si>
  <si>
    <t>At Age 62 3.</t>
  </si>
  <si>
    <t xml:space="preserve">A $1000 retirement benefit would be reduced to </t>
  </si>
  <si>
    <t>The retirement benefit is reduced by 4.</t>
  </si>
  <si>
    <t>A $500 spouse's benefit would be reduced to</t>
  </si>
  <si>
    <t>The spouse's benefit is reduced by 5.</t>
  </si>
  <si>
    <t>1937 or earlier</t>
  </si>
  <si>
    <t>65 and 2 months</t>
  </si>
  <si>
    <t>65 and 4 months</t>
  </si>
  <si>
    <t>65 and 6 months</t>
  </si>
  <si>
    <t>65 and 8 months</t>
  </si>
  <si>
    <t>65 and 10 months</t>
  </si>
  <si>
    <t>1943-1954</t>
  </si>
  <si>
    <t>66 and 2 months</t>
  </si>
  <si>
    <t>66 and 4 months</t>
  </si>
  <si>
    <t>66 and 6 months</t>
  </si>
  <si>
    <t>66 and 8 months</t>
  </si>
  <si>
    <t>66 and 10 months</t>
  </si>
  <si>
    <t>1960 and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</si>
</sst>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\-yy;@"/>
    <numFmt numFmtId="165" formatCode="[$-409]mmmm\-yy;@"/>
    <numFmt numFmtId="166" formatCode="&quot;$&quot;#,##0.00"/>
    <numFmt numFmtId="167" formatCode="[$-409]d\-mmm\-yy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sz val="11"/>
      <color theme="1"/>
      <name val="KaiTi"/>
      <family val="3"/>
    </font>
    <font>
      <sz val="11"/>
      <color theme="0"/>
      <name val="KaiTi"/>
      <family val="3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6" fillId="0" borderId="0" xfId="2" applyAlignment="1">
      <alignment vertical="center" wrapText="1"/>
    </xf>
    <xf numFmtId="0" fontId="5" fillId="0" borderId="0" xfId="0" applyFont="1" applyAlignment="1">
      <alignment horizontal="center" vertical="center" wrapText="1"/>
    </xf>
    <xf numFmtId="6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0" fillId="0" borderId="0" xfId="0" applyProtection="1">
      <protection hidden="1"/>
    </xf>
    <xf numFmtId="0" fontId="0" fillId="4" borderId="0" xfId="0" applyFill="1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1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44" fontId="0" fillId="0" borderId="1" xfId="1" applyFont="1" applyBorder="1" applyProtection="1">
      <protection hidden="1"/>
    </xf>
    <xf numFmtId="14" fontId="0" fillId="0" borderId="1" xfId="0" applyNumberFormat="1" applyBorder="1" applyProtection="1">
      <protection hidden="1"/>
    </xf>
    <xf numFmtId="164" fontId="0" fillId="0" borderId="1" xfId="0" applyNumberFormat="1" applyBorder="1" applyProtection="1">
      <protection hidden="1"/>
    </xf>
    <xf numFmtId="14" fontId="0" fillId="0" borderId="0" xfId="0" applyNumberFormat="1" applyProtection="1">
      <protection hidden="1"/>
    </xf>
    <xf numFmtId="44" fontId="0" fillId="0" borderId="0" xfId="0" applyNumberFormat="1" applyProtection="1">
      <protection hidden="1"/>
    </xf>
    <xf numFmtId="0" fontId="0" fillId="0" borderId="0" xfId="0" applyAlignment="1" applyProtection="1">
      <alignment wrapText="1"/>
      <protection hidden="1"/>
    </xf>
    <xf numFmtId="0" fontId="0" fillId="2" borderId="0" xfId="0" applyFill="1" applyAlignment="1" applyProtection="1">
      <alignment horizontal="right"/>
      <protection hidden="1"/>
    </xf>
    <xf numFmtId="44" fontId="0" fillId="2" borderId="0" xfId="1" applyFont="1" applyFill="1" applyProtection="1">
      <protection hidden="1"/>
    </xf>
    <xf numFmtId="164" fontId="0" fillId="2" borderId="0" xfId="0" applyNumberFormat="1" applyFill="1" applyProtection="1">
      <protection hidden="1"/>
    </xf>
    <xf numFmtId="44" fontId="0" fillId="0" borderId="0" xfId="1" applyFont="1" applyProtection="1">
      <protection hidden="1"/>
    </xf>
    <xf numFmtId="165" fontId="2" fillId="4" borderId="0" xfId="0" applyNumberFormat="1" applyFont="1" applyFill="1" applyAlignment="1" applyProtection="1">
      <alignment horizontal="left"/>
      <protection hidden="1"/>
    </xf>
    <xf numFmtId="0" fontId="2" fillId="4" borderId="0" xfId="0" applyFont="1" applyFill="1" applyProtection="1">
      <protection hidden="1"/>
    </xf>
    <xf numFmtId="0" fontId="2" fillId="0" borderId="0" xfId="0" applyFont="1" applyBorder="1" applyProtection="1">
      <protection hidden="1"/>
    </xf>
    <xf numFmtId="0" fontId="0" fillId="4" borderId="0" xfId="0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0" fontId="0" fillId="0" borderId="5" xfId="0" applyBorder="1" applyProtection="1">
      <protection hidden="1"/>
    </xf>
    <xf numFmtId="164" fontId="0" fillId="0" borderId="6" xfId="0" applyNumberFormat="1" applyBorder="1" applyProtection="1">
      <protection hidden="1"/>
    </xf>
    <xf numFmtId="0" fontId="0" fillId="0" borderId="2" xfId="0" applyBorder="1" applyProtection="1">
      <protection hidden="1"/>
    </xf>
    <xf numFmtId="164" fontId="0" fillId="0" borderId="3" xfId="0" applyNumberFormat="1" applyBorder="1" applyProtection="1">
      <protection hidden="1"/>
    </xf>
    <xf numFmtId="14" fontId="2" fillId="0" borderId="0" xfId="0" applyNumberFormat="1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0" fillId="4" borderId="0" xfId="0" applyFont="1" applyFill="1" applyAlignment="1" applyProtection="1">
      <alignment horizontal="right" vertical="center"/>
      <protection hidden="1"/>
    </xf>
    <xf numFmtId="14" fontId="0" fillId="4" borderId="1" xfId="0" applyNumberFormat="1" applyFill="1" applyBorder="1" applyAlignment="1" applyProtection="1">
      <alignment horizontal="center"/>
      <protection locked="0"/>
    </xf>
    <xf numFmtId="166" fontId="0" fillId="4" borderId="1" xfId="1" applyNumberFormat="1" applyFont="1" applyFill="1" applyBorder="1" applyAlignment="1" applyProtection="1">
      <alignment horizontal="center"/>
      <protection locked="0"/>
    </xf>
    <xf numFmtId="14" fontId="0" fillId="4" borderId="7" xfId="0" applyNumberFormat="1" applyFill="1" applyBorder="1" applyAlignment="1" applyProtection="1">
      <alignment horizontal="center"/>
      <protection hidden="1"/>
    </xf>
    <xf numFmtId="166" fontId="0" fillId="4" borderId="7" xfId="1" applyNumberFormat="1" applyFont="1" applyFill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0" borderId="13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1" fontId="0" fillId="0" borderId="16" xfId="0" applyNumberFormat="1" applyBorder="1" applyProtection="1">
      <protection hidden="1"/>
    </xf>
    <xf numFmtId="0" fontId="0" fillId="0" borderId="17" xfId="0" applyBorder="1" applyProtection="1">
      <protection hidden="1"/>
    </xf>
    <xf numFmtId="0" fontId="0" fillId="0" borderId="16" xfId="0" applyBorder="1" applyProtection="1">
      <protection hidden="1"/>
    </xf>
    <xf numFmtId="14" fontId="0" fillId="0" borderId="0" xfId="0" applyNumberFormat="1" applyBorder="1" applyProtection="1">
      <protection hidden="1"/>
    </xf>
    <xf numFmtId="1" fontId="0" fillId="0" borderId="0" xfId="0" applyNumberFormat="1" applyBorder="1" applyProtection="1">
      <protection hidden="1"/>
    </xf>
    <xf numFmtId="0" fontId="0" fillId="0" borderId="18" xfId="0" applyBorder="1" applyProtection="1">
      <protection hidden="1"/>
    </xf>
    <xf numFmtId="14" fontId="0" fillId="0" borderId="19" xfId="0" applyNumberFormat="1" applyBorder="1" applyProtection="1">
      <protection hidden="1"/>
    </xf>
    <xf numFmtId="1" fontId="0" fillId="0" borderId="19" xfId="0" applyNumberFormat="1" applyBorder="1" applyProtection="1">
      <protection hidden="1"/>
    </xf>
    <xf numFmtId="0" fontId="0" fillId="0" borderId="19" xfId="0" applyBorder="1" applyProtection="1">
      <protection hidden="1"/>
    </xf>
    <xf numFmtId="0" fontId="0" fillId="0" borderId="6" xfId="0" applyBorder="1" applyProtection="1">
      <protection hidden="1"/>
    </xf>
    <xf numFmtId="166" fontId="11" fillId="0" borderId="4" xfId="0" applyNumberFormat="1" applyFont="1" applyFill="1" applyBorder="1" applyAlignment="1" applyProtection="1">
      <alignment horizontal="center" vertical="center"/>
      <protection hidden="1"/>
    </xf>
    <xf numFmtId="166" fontId="11" fillId="0" borderId="8" xfId="0" applyNumberFormat="1" applyFont="1" applyFill="1" applyBorder="1" applyAlignment="1" applyProtection="1">
      <alignment horizontal="center" vertical="center"/>
      <protection hidden="1"/>
    </xf>
    <xf numFmtId="166" fontId="11" fillId="3" borderId="8" xfId="0" applyNumberFormat="1" applyFont="1" applyFill="1" applyBorder="1" applyAlignment="1" applyProtection="1">
      <alignment horizontal="center" vertical="center"/>
      <protection hidden="1"/>
    </xf>
    <xf numFmtId="166" fontId="12" fillId="5" borderId="8" xfId="0" applyNumberFormat="1" applyFont="1" applyFill="1" applyBorder="1" applyAlignment="1" applyProtection="1">
      <alignment horizontal="center" vertical="center"/>
      <protection hidden="1"/>
    </xf>
    <xf numFmtId="167" fontId="11" fillId="0" borderId="11" xfId="0" applyNumberFormat="1" applyFont="1" applyFill="1" applyBorder="1" applyAlignment="1" applyProtection="1">
      <alignment horizontal="right" vertical="center"/>
      <protection hidden="1"/>
    </xf>
    <xf numFmtId="164" fontId="0" fillId="0" borderId="8" xfId="0" applyNumberFormat="1" applyFont="1" applyFill="1" applyBorder="1" applyAlignment="1" applyProtection="1">
      <alignment horizontal="right" vertical="center"/>
      <protection hidden="1"/>
    </xf>
    <xf numFmtId="167" fontId="11" fillId="3" borderId="11" xfId="0" applyNumberFormat="1" applyFont="1" applyFill="1" applyBorder="1" applyAlignment="1" applyProtection="1">
      <alignment horizontal="right" vertical="center"/>
      <protection hidden="1"/>
    </xf>
    <xf numFmtId="164" fontId="0" fillId="3" borderId="8" xfId="0" applyNumberFormat="1" applyFont="1" applyFill="1" applyBorder="1" applyAlignment="1" applyProtection="1">
      <alignment horizontal="right" vertical="center"/>
      <protection hidden="1"/>
    </xf>
    <xf numFmtId="167" fontId="12" fillId="5" borderId="11" xfId="0" applyNumberFormat="1" applyFont="1" applyFill="1" applyBorder="1" applyAlignment="1" applyProtection="1">
      <alignment horizontal="right" vertical="center"/>
      <protection hidden="1"/>
    </xf>
    <xf numFmtId="164" fontId="7" fillId="5" borderId="8" xfId="0" applyNumberFormat="1" applyFont="1" applyFill="1" applyBorder="1" applyAlignment="1" applyProtection="1">
      <alignment horizontal="right" vertical="center"/>
      <protection hidden="1"/>
    </xf>
    <xf numFmtId="164" fontId="0" fillId="0" borderId="9" xfId="0" applyNumberFormat="1" applyFont="1" applyFill="1" applyBorder="1" applyAlignment="1" applyProtection="1">
      <alignment horizontal="right" vertical="center"/>
      <protection hidden="1"/>
    </xf>
    <xf numFmtId="166" fontId="11" fillId="0" borderId="10" xfId="0" applyNumberFormat="1" applyFont="1" applyFill="1" applyBorder="1" applyAlignment="1" applyProtection="1">
      <alignment horizontal="right" vertical="center"/>
      <protection hidden="1"/>
    </xf>
    <xf numFmtId="166" fontId="11" fillId="3" borderId="10" xfId="0" applyNumberFormat="1" applyFont="1" applyFill="1" applyBorder="1" applyAlignment="1" applyProtection="1">
      <alignment horizontal="right" vertical="center"/>
      <protection hidden="1"/>
    </xf>
    <xf numFmtId="166" fontId="12" fillId="5" borderId="10" xfId="0" applyNumberFormat="1" applyFont="1" applyFill="1" applyBorder="1" applyAlignment="1" applyProtection="1">
      <alignment horizontal="right" vertical="center"/>
      <protection hidden="1"/>
    </xf>
    <xf numFmtId="0" fontId="0" fillId="0" borderId="0" xfId="0" applyFont="1" applyProtection="1"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vertical="center"/>
      <protection hidden="1"/>
    </xf>
    <xf numFmtId="166" fontId="11" fillId="3" borderId="4" xfId="0" applyNumberFormat="1" applyFont="1" applyFill="1" applyBorder="1" applyAlignment="1" applyProtection="1">
      <alignment horizontal="center" vertical="center"/>
      <protection hidden="1"/>
    </xf>
    <xf numFmtId="167" fontId="11" fillId="0" borderId="11" xfId="0" applyNumberFormat="1" applyFont="1" applyFill="1" applyBorder="1" applyAlignment="1" applyProtection="1">
      <alignment vertical="center"/>
      <protection hidden="1"/>
    </xf>
    <xf numFmtId="1" fontId="2" fillId="0" borderId="0" xfId="0" applyNumberFormat="1" applyFont="1" applyAlignment="1" applyProtection="1">
      <alignment horizontal="right"/>
      <protection hidden="1"/>
    </xf>
    <xf numFmtId="1" fontId="2" fillId="0" borderId="0" xfId="0" applyNumberFormat="1" applyFont="1" applyProtection="1">
      <protection hidden="1"/>
    </xf>
    <xf numFmtId="1" fontId="2" fillId="0" borderId="0" xfId="0" applyNumberFormat="1" applyFont="1" applyBorder="1" applyProtection="1">
      <protection hidden="1"/>
    </xf>
    <xf numFmtId="14" fontId="2" fillId="0" borderId="0" xfId="0" applyNumberFormat="1" applyFont="1" applyBorder="1" applyProtection="1">
      <protection hidden="1"/>
    </xf>
    <xf numFmtId="17" fontId="2" fillId="0" borderId="0" xfId="0" applyNumberFormat="1" applyFont="1" applyProtection="1">
      <protection hidden="1"/>
    </xf>
    <xf numFmtId="166" fontId="11" fillId="3" borderId="23" xfId="0" applyNumberFormat="1" applyFont="1" applyFill="1" applyBorder="1" applyAlignment="1" applyProtection="1">
      <alignment horizontal="right" vertical="center"/>
      <protection hidden="1"/>
    </xf>
    <xf numFmtId="167" fontId="11" fillId="3" borderId="24" xfId="0" applyNumberFormat="1" applyFont="1" applyFill="1" applyBorder="1" applyAlignment="1" applyProtection="1">
      <alignment vertical="center"/>
      <protection hidden="1"/>
    </xf>
    <xf numFmtId="164" fontId="0" fillId="3" borderId="4" xfId="0" applyNumberFormat="1" applyFont="1" applyFill="1" applyBorder="1" applyAlignment="1" applyProtection="1">
      <alignment horizontal="right" vertical="center"/>
      <protection hidden="1"/>
    </xf>
    <xf numFmtId="0" fontId="13" fillId="0" borderId="25" xfId="0" applyFont="1" applyFill="1" applyBorder="1" applyAlignment="1" applyProtection="1">
      <alignment horizontal="right" vertical="center" wrapText="1"/>
      <protection hidden="1"/>
    </xf>
    <xf numFmtId="165" fontId="15" fillId="5" borderId="21" xfId="0" applyNumberFormat="1" applyFont="1" applyFill="1" applyBorder="1" applyAlignment="1" applyProtection="1">
      <alignment horizontal="right" vertical="center"/>
      <protection hidden="1"/>
    </xf>
    <xf numFmtId="165" fontId="7" fillId="5" borderId="20" xfId="0" applyNumberFormat="1" applyFont="1" applyFill="1" applyBorder="1" applyAlignment="1" applyProtection="1">
      <alignment horizontal="center" vertical="center"/>
      <protection hidden="1"/>
    </xf>
    <xf numFmtId="166" fontId="0" fillId="4" borderId="0" xfId="1" applyNumberFormat="1" applyFont="1" applyFill="1" applyBorder="1" applyAlignment="1" applyProtection="1">
      <alignment horizontal="center"/>
      <protection hidden="1"/>
    </xf>
    <xf numFmtId="0" fontId="16" fillId="0" borderId="0" xfId="0" applyFont="1" applyAlignment="1" applyProtection="1">
      <alignment horizontal="right"/>
      <protection hidden="1"/>
    </xf>
    <xf numFmtId="0" fontId="2" fillId="4" borderId="0" xfId="0" applyFont="1" applyFill="1" applyAlignment="1" applyProtection="1">
      <alignment horizontal="right"/>
      <protection hidden="1"/>
    </xf>
    <xf numFmtId="0" fontId="2" fillId="4" borderId="0" xfId="0" applyFont="1" applyFill="1" applyBorder="1" applyAlignment="1" applyProtection="1">
      <alignment horizontal="right"/>
      <protection hidden="1"/>
    </xf>
    <xf numFmtId="0" fontId="8" fillId="0" borderId="22" xfId="0" applyFont="1" applyFill="1" applyBorder="1" applyAlignment="1" applyProtection="1">
      <alignment horizontal="center" vertical="center" wrapText="1"/>
      <protection hidden="1"/>
    </xf>
    <xf numFmtId="0" fontId="2" fillId="4" borderId="0" xfId="0" applyFont="1" applyFill="1" applyAlignment="1" applyProtection="1">
      <alignment horizontal="right" wrapText="1"/>
      <protection hidden="1"/>
    </xf>
    <xf numFmtId="0" fontId="2" fillId="4" borderId="0" xfId="0" applyFont="1" applyFill="1" applyBorder="1" applyAlignment="1" applyProtection="1">
      <alignment horizontal="right" wrapText="1"/>
      <protection hidden="1"/>
    </xf>
    <xf numFmtId="0" fontId="6" fillId="0" borderId="0" xfId="2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2" xfId="0" applyFont="1" applyBorder="1" applyAlignment="1" applyProtection="1">
      <alignment horizontal="center" vertical="center" textRotation="180"/>
      <protection hidden="1"/>
    </xf>
    <xf numFmtId="0" fontId="2" fillId="4" borderId="0" xfId="0" applyFont="1" applyFill="1" applyAlignment="1" applyProtection="1">
      <alignment horizontal="right"/>
      <protection hidden="1"/>
    </xf>
    <xf numFmtId="0" fontId="2" fillId="4" borderId="0" xfId="0" applyFont="1" applyFill="1" applyBorder="1" applyAlignment="1" applyProtection="1">
      <alignment horizontal="right"/>
      <protection hidden="1"/>
    </xf>
    <xf numFmtId="0" fontId="8" fillId="0" borderId="26" xfId="0" applyFont="1" applyFill="1" applyBorder="1" applyAlignment="1" applyProtection="1">
      <alignment horizontal="center" vertical="center" wrapText="1"/>
      <protection hidden="1"/>
    </xf>
    <xf numFmtId="0" fontId="8" fillId="0" borderId="22" xfId="0" applyFont="1" applyFill="1" applyBorder="1" applyAlignment="1" applyProtection="1">
      <alignment horizontal="center" vertical="center" wrapText="1"/>
      <protection hidden="1"/>
    </xf>
    <xf numFmtId="165" fontId="7" fillId="5" borderId="12" xfId="0" applyNumberFormat="1" applyFont="1" applyFill="1" applyBorder="1" applyAlignment="1" applyProtection="1">
      <alignment horizontal="center" vertical="center"/>
      <protection hidden="1"/>
    </xf>
    <xf numFmtId="165" fontId="7" fillId="5" borderId="0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right" vertical="top" textRotation="90"/>
      <protection hidden="1"/>
    </xf>
    <xf numFmtId="0" fontId="2" fillId="4" borderId="0" xfId="0" applyFont="1" applyFill="1" applyAlignment="1" applyProtection="1">
      <alignment horizontal="right" wrapText="1"/>
      <protection hidden="1"/>
    </xf>
    <xf numFmtId="0" fontId="2" fillId="4" borderId="0" xfId="0" applyFont="1" applyFill="1" applyBorder="1" applyAlignment="1" applyProtection="1">
      <alignment horizontal="right" wrapText="1"/>
      <protection hidden="1"/>
    </xf>
    <xf numFmtId="0" fontId="6" fillId="0" borderId="0" xfId="2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CC00"/>
      <color rgb="FFFBFED6"/>
      <color rgb="FFF7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7</xdr:row>
      <xdr:rowOff>314326</xdr:rowOff>
    </xdr:from>
    <xdr:to>
      <xdr:col>4</xdr:col>
      <xdr:colOff>1171574</xdr:colOff>
      <xdr:row>8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047875" y="1123951"/>
          <a:ext cx="1066799" cy="228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benefit will be:</a:t>
          </a:r>
        </a:p>
      </xdr:txBody>
    </xdr:sp>
    <xdr:clientData/>
  </xdr:twoCellAnchor>
  <xdr:twoCellAnchor>
    <xdr:from>
      <xdr:col>4</xdr:col>
      <xdr:colOff>142876</xdr:colOff>
      <xdr:row>7</xdr:row>
      <xdr:rowOff>0</xdr:rowOff>
    </xdr:from>
    <xdr:to>
      <xdr:col>4</xdr:col>
      <xdr:colOff>1038226</xdr:colOff>
      <xdr:row>7</xdr:row>
      <xdr:rowOff>190501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343151" y="771526"/>
          <a:ext cx="8953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Your</a:t>
          </a:r>
        </a:p>
      </xdr:txBody>
    </xdr:sp>
    <xdr:clientData/>
  </xdr:twoCellAnchor>
  <xdr:twoCellAnchor>
    <xdr:from>
      <xdr:col>6</xdr:col>
      <xdr:colOff>152737</xdr:colOff>
      <xdr:row>7</xdr:row>
      <xdr:rowOff>0</xdr:rowOff>
    </xdr:from>
    <xdr:to>
      <xdr:col>6</xdr:col>
      <xdr:colOff>1048087</xdr:colOff>
      <xdr:row>7</xdr:row>
      <xdr:rowOff>200026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09076" y="949780"/>
          <a:ext cx="895350" cy="2282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Your</a:t>
          </a:r>
        </a:p>
      </xdr:txBody>
    </xdr:sp>
    <xdr:clientData/>
  </xdr:twoCellAnchor>
  <xdr:twoCellAnchor>
    <xdr:from>
      <xdr:col>5</xdr:col>
      <xdr:colOff>133351</xdr:colOff>
      <xdr:row>7</xdr:row>
      <xdr:rowOff>0</xdr:rowOff>
    </xdr:from>
    <xdr:to>
      <xdr:col>5</xdr:col>
      <xdr:colOff>1028701</xdr:colOff>
      <xdr:row>7</xdr:row>
      <xdr:rowOff>200026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505201" y="781051"/>
          <a:ext cx="8953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Your</a:t>
          </a:r>
        </a:p>
      </xdr:txBody>
    </xdr:sp>
    <xdr:clientData/>
  </xdr:twoCellAnchor>
  <xdr:twoCellAnchor>
    <xdr:from>
      <xdr:col>5</xdr:col>
      <xdr:colOff>104775</xdr:colOff>
      <xdr:row>7</xdr:row>
      <xdr:rowOff>314326</xdr:rowOff>
    </xdr:from>
    <xdr:to>
      <xdr:col>5</xdr:col>
      <xdr:colOff>1171574</xdr:colOff>
      <xdr:row>8</xdr:row>
      <xdr:rowOff>66675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306640" y="1120288"/>
          <a:ext cx="1066799" cy="2798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benefit will be:</a:t>
          </a:r>
        </a:p>
      </xdr:txBody>
    </xdr:sp>
    <xdr:clientData/>
  </xdr:twoCellAnchor>
  <xdr:twoCellAnchor>
    <xdr:from>
      <xdr:col>6</xdr:col>
      <xdr:colOff>135031</xdr:colOff>
      <xdr:row>7</xdr:row>
      <xdr:rowOff>314326</xdr:rowOff>
    </xdr:from>
    <xdr:to>
      <xdr:col>7</xdr:col>
      <xdr:colOff>154081</xdr:colOff>
      <xdr:row>8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594972" y="1109944"/>
          <a:ext cx="1072403" cy="279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benefit will be:</a:t>
          </a:r>
        </a:p>
      </xdr:txBody>
    </xdr:sp>
    <xdr:clientData/>
  </xdr:twoCellAnchor>
  <xdr:twoCellAnchor>
    <xdr:from>
      <xdr:col>2</xdr:col>
      <xdr:colOff>142876</xdr:colOff>
      <xdr:row>7</xdr:row>
      <xdr:rowOff>0</xdr:rowOff>
    </xdr:from>
    <xdr:to>
      <xdr:col>3</xdr:col>
      <xdr:colOff>142876</xdr:colOff>
      <xdr:row>7</xdr:row>
      <xdr:rowOff>190501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14401" y="771526"/>
          <a:ext cx="7620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If you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114300</xdr:colOff>
      <xdr:row>7</xdr:row>
      <xdr:rowOff>314326</xdr:rowOff>
    </xdr:from>
    <xdr:to>
      <xdr:col>3</xdr:col>
      <xdr:colOff>190499</xdr:colOff>
      <xdr:row>8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85825" y="1123951"/>
          <a:ext cx="962024" cy="2762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drawing</a:t>
          </a:r>
          <a:r>
            <a:rPr lang="en-US" sz="1100" b="1" baseline="0">
              <a:solidFill>
                <a:sysClr val="windowText" lastClr="000000"/>
              </a:solidFill>
            </a:rPr>
            <a:t>: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139212</xdr:colOff>
      <xdr:row>20</xdr:row>
      <xdr:rowOff>138114</xdr:rowOff>
    </xdr:from>
    <xdr:to>
      <xdr:col>7</xdr:col>
      <xdr:colOff>723900</xdr:colOff>
      <xdr:row>51</xdr:row>
      <xdr:rowOff>9526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5400000">
          <a:off x="3741677" y="5144784"/>
          <a:ext cx="4414104" cy="584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bg1">
                  <a:lumMod val="75000"/>
                </a:schemeClr>
              </a:solidFill>
            </a:rPr>
            <a:t>Estimates Only - Actual Benefits</a:t>
          </a:r>
          <a:r>
            <a:rPr lang="en-US" sz="1600" b="1" baseline="0">
              <a:solidFill>
                <a:schemeClr val="bg1">
                  <a:lumMod val="75000"/>
                </a:schemeClr>
              </a:solidFill>
            </a:rPr>
            <a:t> May Vary</a:t>
          </a:r>
          <a:endParaRPr lang="en-US" sz="16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1228725</xdr:colOff>
      <xdr:row>80</xdr:row>
      <xdr:rowOff>33343</xdr:rowOff>
    </xdr:from>
    <xdr:to>
      <xdr:col>7</xdr:col>
      <xdr:colOff>723900</xdr:colOff>
      <xdr:row>110</xdr:row>
      <xdr:rowOff>47630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5400000">
          <a:off x="3888581" y="13423112"/>
          <a:ext cx="4300537" cy="800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bg1">
                  <a:lumMod val="75000"/>
                </a:schemeClr>
              </a:solidFill>
            </a:rPr>
            <a:t>Estimates Only - Actual Benefits</a:t>
          </a:r>
          <a:r>
            <a:rPr lang="en-US" sz="1600" b="1" baseline="0">
              <a:solidFill>
                <a:schemeClr val="bg1">
                  <a:lumMod val="75000"/>
                </a:schemeClr>
              </a:solidFill>
            </a:rPr>
            <a:t> May Vary</a:t>
          </a:r>
          <a:endParaRPr lang="en-US" sz="16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784860</xdr:colOff>
      <xdr:row>7</xdr:row>
      <xdr:rowOff>510271</xdr:rowOff>
    </xdr:from>
    <xdr:to>
      <xdr:col>2</xdr:col>
      <xdr:colOff>356153</xdr:colOff>
      <xdr:row>64</xdr:row>
      <xdr:rowOff>8506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84860" y="1378951"/>
          <a:ext cx="363773" cy="8124075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777240</xdr:colOff>
      <xdr:row>65</xdr:row>
      <xdr:rowOff>22120</xdr:rowOff>
    </xdr:from>
    <xdr:to>
      <xdr:col>2</xdr:col>
      <xdr:colOff>351703</xdr:colOff>
      <xdr:row>129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77240" y="9661420"/>
          <a:ext cx="366943" cy="9384975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634092</xdr:colOff>
      <xdr:row>62</xdr:row>
      <xdr:rowOff>128588</xdr:rowOff>
    </xdr:from>
    <xdr:to>
      <xdr:col>7</xdr:col>
      <xdr:colOff>1072242</xdr:colOff>
      <xdr:row>63</xdr:row>
      <xdr:rowOff>107837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144985" y="9585552"/>
          <a:ext cx="438150" cy="123825"/>
        </a:xfrm>
        <a:prstGeom prst="rightArrow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alsecurity.gov/planners/retire/1955.html" TargetMode="External"/><Relationship Id="rId13" Type="http://schemas.openxmlformats.org/officeDocument/2006/relationships/hyperlink" Target="http://www.socialsecurity.gov/planners/retire/1960.html" TargetMode="External"/><Relationship Id="rId3" Type="http://schemas.openxmlformats.org/officeDocument/2006/relationships/hyperlink" Target="http://www.socialsecurity.gov/planners/retire/1939.html" TargetMode="External"/><Relationship Id="rId7" Type="http://schemas.openxmlformats.org/officeDocument/2006/relationships/hyperlink" Target="http://www.socialsecurity.gov/planners/retire/1943.html" TargetMode="External"/><Relationship Id="rId12" Type="http://schemas.openxmlformats.org/officeDocument/2006/relationships/hyperlink" Target="http://www.socialsecurity.gov/planners/retire/1959.html" TargetMode="External"/><Relationship Id="rId2" Type="http://schemas.openxmlformats.org/officeDocument/2006/relationships/hyperlink" Target="http://www.socialsecurity.gov/planners/retire/1938.html" TargetMode="External"/><Relationship Id="rId1" Type="http://schemas.openxmlformats.org/officeDocument/2006/relationships/hyperlink" Target="http://www.socialsecurity.gov/planners/retire/1937.html" TargetMode="External"/><Relationship Id="rId6" Type="http://schemas.openxmlformats.org/officeDocument/2006/relationships/hyperlink" Target="http://www.socialsecurity.gov/planners/retire/1942.html" TargetMode="External"/><Relationship Id="rId11" Type="http://schemas.openxmlformats.org/officeDocument/2006/relationships/hyperlink" Target="http://www.socialsecurity.gov/planners/retire/1958.html" TargetMode="External"/><Relationship Id="rId5" Type="http://schemas.openxmlformats.org/officeDocument/2006/relationships/hyperlink" Target="http://www.socialsecurity.gov/planners/retire/1941.html" TargetMode="External"/><Relationship Id="rId10" Type="http://schemas.openxmlformats.org/officeDocument/2006/relationships/hyperlink" Target="http://www.socialsecurity.gov/planners/retire/1957.html" TargetMode="External"/><Relationship Id="rId4" Type="http://schemas.openxmlformats.org/officeDocument/2006/relationships/hyperlink" Target="http://www.socialsecurity.gov/planners/retire/1940.html" TargetMode="External"/><Relationship Id="rId9" Type="http://schemas.openxmlformats.org/officeDocument/2006/relationships/hyperlink" Target="http://www.socialsecurity.gov/planners/retire/1956.html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6"/>
  <sheetViews>
    <sheetView workbookViewId="0">
      <pane ySplit="5" topLeftCell="A6" activePane="bottomLeft" state="frozen"/>
      <selection pane="bottomLeft"/>
    </sheetView>
  </sheetViews>
  <sheetFormatPr defaultColWidth="9.140625" defaultRowHeight="15"/>
  <cols>
    <col min="1" max="2" width="9.140625" style="5"/>
    <col min="3" max="4" width="10.5703125" style="5" bestFit="1" customWidth="1"/>
    <col min="5" max="5" width="11.28515625" style="5" bestFit="1" customWidth="1"/>
    <col min="6" max="6" width="11.5703125" style="5" bestFit="1" customWidth="1"/>
    <col min="7" max="7" width="10.5703125" style="5" bestFit="1" customWidth="1"/>
    <col min="8" max="8" width="9.7109375" style="5" bestFit="1" customWidth="1"/>
    <col min="9" max="9" width="10.5703125" style="5" bestFit="1" customWidth="1"/>
    <col min="10" max="10" width="10.7109375" style="5" bestFit="1" customWidth="1"/>
    <col min="11" max="13" width="9.140625" style="5"/>
    <col min="14" max="14" width="12" style="5" bestFit="1" customWidth="1"/>
    <col min="15" max="15" width="9.140625" style="5"/>
    <col min="16" max="16" width="10.7109375" style="5" bestFit="1" customWidth="1"/>
    <col min="17" max="16384" width="9.140625" style="5"/>
  </cols>
  <sheetData>
    <row r="1" spans="2:16" ht="15.75" thickBot="1"/>
    <row r="2" spans="2:16" ht="26.25">
      <c r="B2" s="8" t="s">
        <v>0</v>
      </c>
      <c r="I2" s="30" t="s">
        <v>1</v>
      </c>
      <c r="J2" s="28" t="s">
        <v>2</v>
      </c>
    </row>
    <row r="3" spans="2:16" ht="15.75" thickBot="1">
      <c r="H3" s="5">
        <f>DAY('Benefit Chart'!E2)</f>
        <v>22</v>
      </c>
      <c r="I3" s="31">
        <f>IF(H3=1,EDATE(I17,744),EDATE($H$5,744))</f>
        <v>42788</v>
      </c>
      <c r="J3" s="29">
        <f>IF(H3=1,EDATE(I17,840),EDATE(H5,840))</f>
        <v>45710</v>
      </c>
      <c r="N3" s="9">
        <f>H5</f>
        <v>20142</v>
      </c>
    </row>
    <row r="4" spans="2:16">
      <c r="F4" s="10" t="s">
        <v>3</v>
      </c>
      <c r="G4" s="10" t="s">
        <v>4</v>
      </c>
      <c r="H4" s="10" t="s">
        <v>5</v>
      </c>
      <c r="I4" s="10" t="s">
        <v>6</v>
      </c>
      <c r="P4" s="14">
        <f>EDATE(2,792)</f>
        <v>24109</v>
      </c>
    </row>
    <row r="5" spans="2:16">
      <c r="B5" s="5" t="s">
        <v>7</v>
      </c>
      <c r="C5" s="10" t="s">
        <v>8</v>
      </c>
      <c r="D5" s="10" t="s">
        <v>9</v>
      </c>
      <c r="E5" s="10" t="s">
        <v>10</v>
      </c>
      <c r="F5" s="11">
        <f>'Benefit Chart'!E4</f>
        <v>2726.3</v>
      </c>
      <c r="G5" s="11">
        <f>'Benefit Chart'!E6</f>
        <v>1000</v>
      </c>
      <c r="H5" s="12">
        <f>IF($H$3=1,EDATE('Benefit Chart'!$E$2,-1),'Benefit Chart'!$E$2)</f>
        <v>20142</v>
      </c>
      <c r="I5" s="13">
        <f>F54</f>
        <v>44308</v>
      </c>
      <c r="J5" s="14">
        <v>20091</v>
      </c>
      <c r="K5" s="5">
        <v>2</v>
      </c>
      <c r="L5" s="9">
        <f>J5</f>
        <v>20091</v>
      </c>
      <c r="N5" s="7">
        <f>IF(N3&lt;L5,EDATE(H5,O5),IF(L6&gt;N3,EDATE(H5,O6),IF(N3&lt;L7,EDATE(H5,O7),IF(N3&lt;L8,EDATE(H5,O8),IF(N3&lt;L9,EDATE(H5,O9),IF(N3&lt;L10,EDATE(H5,O10),IF(N3&gt;=L10,EDATE(H5,O11),"Excel is stupid")))))))</f>
        <v>44308</v>
      </c>
      <c r="O5" s="5">
        <v>792</v>
      </c>
    </row>
    <row r="6" spans="2:16">
      <c r="B6" s="5">
        <v>48</v>
      </c>
      <c r="C6" s="15">
        <f>ROUNDDOWN(($F$5+($F$5*0.00666666666667*B6)),1)</f>
        <v>3598.7</v>
      </c>
      <c r="F6" s="7">
        <f t="shared" ref="F6:F12" si="0">EDATE($F$54,B6)</f>
        <v>45769</v>
      </c>
      <c r="H6" s="9">
        <v>20090</v>
      </c>
      <c r="J6" s="14">
        <v>20456</v>
      </c>
      <c r="K6" s="5">
        <v>4</v>
      </c>
      <c r="L6" s="9">
        <f t="shared" ref="L6:L10" si="1">J6</f>
        <v>20456</v>
      </c>
      <c r="O6" s="5">
        <v>794</v>
      </c>
    </row>
    <row r="7" spans="2:16">
      <c r="B7" s="5">
        <v>47</v>
      </c>
      <c r="C7" s="15">
        <f t="shared" ref="C7:C53" si="2">ROUNDDOWN(($F$5+($F$5*0.00666666666667*B7)),1)</f>
        <v>3580.5</v>
      </c>
      <c r="F7" s="7">
        <f t="shared" si="0"/>
        <v>45738</v>
      </c>
      <c r="H7" s="7">
        <f>IF(H6&lt;L5,EDATE(H5,792),(IF(L5&lt;=H6&lt;L6,EDATE(H5,794),(IF(L6&lt;=H6&lt;L7,EDATE(H5,796),IF(L7&lt;=H6&lt;L8,EDATE(H5,798),"I don’t know"))))))</f>
        <v>44249</v>
      </c>
      <c r="J7" s="14">
        <v>20822</v>
      </c>
      <c r="K7" s="5">
        <v>6</v>
      </c>
      <c r="L7" s="9">
        <f t="shared" si="1"/>
        <v>20822</v>
      </c>
      <c r="O7" s="5">
        <v>796</v>
      </c>
    </row>
    <row r="8" spans="2:16">
      <c r="B8" s="5">
        <v>46</v>
      </c>
      <c r="C8" s="15">
        <f t="shared" si="2"/>
        <v>3562.3</v>
      </c>
      <c r="F8" s="7">
        <f t="shared" si="0"/>
        <v>45710</v>
      </c>
      <c r="J8" s="14">
        <v>21187</v>
      </c>
      <c r="K8" s="5">
        <v>8</v>
      </c>
      <c r="L8" s="9">
        <f t="shared" si="1"/>
        <v>21187</v>
      </c>
      <c r="O8" s="5">
        <v>798</v>
      </c>
    </row>
    <row r="9" spans="2:16">
      <c r="B9" s="5">
        <v>45</v>
      </c>
      <c r="C9" s="15">
        <f t="shared" si="2"/>
        <v>3544.1</v>
      </c>
      <c r="F9" s="7">
        <f t="shared" si="0"/>
        <v>45679</v>
      </c>
      <c r="J9" s="14">
        <v>21552</v>
      </c>
      <c r="K9" s="5">
        <v>10</v>
      </c>
      <c r="L9" s="9">
        <f t="shared" si="1"/>
        <v>21552</v>
      </c>
      <c r="O9" s="5">
        <v>800</v>
      </c>
    </row>
    <row r="10" spans="2:16">
      <c r="B10" s="5">
        <v>44</v>
      </c>
      <c r="C10" s="15">
        <f t="shared" si="2"/>
        <v>3526</v>
      </c>
      <c r="F10" s="7">
        <f t="shared" si="0"/>
        <v>45648</v>
      </c>
      <c r="J10" s="14">
        <v>21917</v>
      </c>
      <c r="K10" s="5">
        <v>12</v>
      </c>
      <c r="L10" s="9">
        <f t="shared" si="1"/>
        <v>21917</v>
      </c>
      <c r="O10" s="5">
        <v>802</v>
      </c>
    </row>
    <row r="11" spans="2:16">
      <c r="B11" s="5">
        <v>43</v>
      </c>
      <c r="C11" s="15">
        <f t="shared" si="2"/>
        <v>3507.8</v>
      </c>
      <c r="F11" s="7">
        <f t="shared" si="0"/>
        <v>45618</v>
      </c>
      <c r="L11" s="9"/>
      <c r="O11" s="5">
        <v>804</v>
      </c>
    </row>
    <row r="12" spans="2:16">
      <c r="B12" s="5">
        <v>42</v>
      </c>
      <c r="C12" s="15">
        <f t="shared" si="2"/>
        <v>3489.6</v>
      </c>
      <c r="F12" s="7">
        <f t="shared" si="0"/>
        <v>45587</v>
      </c>
    </row>
    <row r="13" spans="2:16" ht="15.75" thickBot="1">
      <c r="B13" s="5">
        <v>41</v>
      </c>
      <c r="C13" s="15">
        <f t="shared" si="2"/>
        <v>3471.4</v>
      </c>
      <c r="F13" s="7">
        <f t="shared" ref="F13:F31" si="3">EDATE($F$54,B13)</f>
        <v>45557</v>
      </c>
    </row>
    <row r="14" spans="2:16">
      <c r="B14" s="5">
        <v>40</v>
      </c>
      <c r="C14" s="15">
        <f t="shared" si="2"/>
        <v>3453.3</v>
      </c>
      <c r="F14" s="7">
        <f t="shared" si="3"/>
        <v>45526</v>
      </c>
      <c r="J14" s="5">
        <v>2</v>
      </c>
      <c r="K14" s="5">
        <v>2</v>
      </c>
      <c r="L14" s="41"/>
      <c r="M14" s="42"/>
      <c r="N14" s="42" t="s">
        <v>11</v>
      </c>
      <c r="O14" s="42"/>
      <c r="P14" s="28"/>
    </row>
    <row r="15" spans="2:16">
      <c r="B15" s="5">
        <v>39</v>
      </c>
      <c r="C15" s="15">
        <f t="shared" si="2"/>
        <v>3435.1</v>
      </c>
      <c r="F15" s="7">
        <f t="shared" si="3"/>
        <v>45495</v>
      </c>
      <c r="J15" s="5" t="str">
        <f>IF(J14&lt;=1,"yes","no")</f>
        <v>no</v>
      </c>
      <c r="L15" s="43">
        <f>I17</f>
        <v>20142</v>
      </c>
      <c r="M15" s="46">
        <f>N15</f>
        <v>20456</v>
      </c>
      <c r="N15" s="26">
        <v>20456</v>
      </c>
      <c r="O15" s="26"/>
      <c r="P15" s="44">
        <v>72</v>
      </c>
    </row>
    <row r="16" spans="2:16" ht="15.75" thickBot="1">
      <c r="B16" s="5">
        <v>38</v>
      </c>
      <c r="C16" s="15">
        <f t="shared" si="2"/>
        <v>3416.9</v>
      </c>
      <c r="F16" s="7">
        <f t="shared" si="3"/>
        <v>45465</v>
      </c>
      <c r="L16" s="45"/>
      <c r="M16" s="46">
        <f>N16</f>
        <v>20822</v>
      </c>
      <c r="N16" s="47">
        <v>20822</v>
      </c>
      <c r="O16" s="26">
        <v>2</v>
      </c>
      <c r="P16" s="44">
        <v>74</v>
      </c>
    </row>
    <row r="17" spans="2:16" ht="15.75" thickBot="1">
      <c r="B17" s="5">
        <v>37</v>
      </c>
      <c r="C17" s="15">
        <f t="shared" si="2"/>
        <v>3398.7</v>
      </c>
      <c r="F17" s="7">
        <f t="shared" si="3"/>
        <v>45434</v>
      </c>
      <c r="H17" s="39" t="s">
        <v>12</v>
      </c>
      <c r="I17" s="12">
        <f>'Benefit Chart'!$E$2</f>
        <v>20142</v>
      </c>
      <c r="J17" s="14"/>
      <c r="L17" s="40">
        <f>IF(L15&lt;N16,72,IF(L15&lt;N17,74,IF(L15&lt;N18,76,IF(L15&lt;N19,78,IF(L15&lt;N20,80,IF(L15&lt;N21,82,IF(L15&gt;=N21,84)))))))</f>
        <v>72</v>
      </c>
      <c r="M17" s="46">
        <f t="shared" ref="M17:M21" si="4">N17</f>
        <v>21187</v>
      </c>
      <c r="N17" s="47">
        <v>21187</v>
      </c>
      <c r="O17" s="26">
        <v>4</v>
      </c>
      <c r="P17" s="44">
        <v>76</v>
      </c>
    </row>
    <row r="18" spans="2:16">
      <c r="B18" s="5">
        <v>36</v>
      </c>
      <c r="C18" s="15">
        <f t="shared" si="2"/>
        <v>3380.6</v>
      </c>
      <c r="F18" s="7">
        <f t="shared" si="3"/>
        <v>45404</v>
      </c>
      <c r="H18" s="39" t="s">
        <v>13</v>
      </c>
      <c r="I18" s="12">
        <f>IF($H$3=1,EDATE('Benefit Chart'!$E$2,-1),'Benefit Chart'!$E$2)</f>
        <v>20142</v>
      </c>
      <c r="L18" s="45"/>
      <c r="M18" s="46">
        <f t="shared" si="4"/>
        <v>21552</v>
      </c>
      <c r="N18" s="47">
        <v>21552</v>
      </c>
      <c r="O18" s="26">
        <v>6</v>
      </c>
      <c r="P18" s="44">
        <v>78</v>
      </c>
    </row>
    <row r="19" spans="2:16">
      <c r="B19" s="5">
        <v>35</v>
      </c>
      <c r="C19" s="15">
        <f t="shared" si="2"/>
        <v>3362.4</v>
      </c>
      <c r="F19" s="7">
        <f t="shared" si="3"/>
        <v>45373</v>
      </c>
      <c r="L19" s="45"/>
      <c r="M19" s="46">
        <f t="shared" si="4"/>
        <v>21917</v>
      </c>
      <c r="N19" s="47">
        <v>21917</v>
      </c>
      <c r="O19" s="26">
        <v>8</v>
      </c>
      <c r="P19" s="44">
        <v>80</v>
      </c>
    </row>
    <row r="20" spans="2:16">
      <c r="B20" s="5">
        <v>34</v>
      </c>
      <c r="C20" s="15">
        <f t="shared" si="2"/>
        <v>3344.2</v>
      </c>
      <c r="F20" s="7">
        <f t="shared" si="3"/>
        <v>45344</v>
      </c>
      <c r="L20" s="45"/>
      <c r="M20" s="46">
        <f t="shared" si="4"/>
        <v>22283</v>
      </c>
      <c r="N20" s="47">
        <v>22283</v>
      </c>
      <c r="O20" s="26">
        <v>10</v>
      </c>
      <c r="P20" s="44">
        <v>82</v>
      </c>
    </row>
    <row r="21" spans="2:16" ht="15.75" thickBot="1">
      <c r="B21" s="5">
        <v>33</v>
      </c>
      <c r="C21" s="15">
        <f t="shared" si="2"/>
        <v>3326</v>
      </c>
      <c r="F21" s="7">
        <f t="shared" si="3"/>
        <v>45313</v>
      </c>
      <c r="L21" s="48"/>
      <c r="M21" s="49">
        <f t="shared" si="4"/>
        <v>22648</v>
      </c>
      <c r="N21" s="50">
        <v>22648</v>
      </c>
      <c r="O21" s="51">
        <v>12</v>
      </c>
      <c r="P21" s="52">
        <v>84</v>
      </c>
    </row>
    <row r="22" spans="2:16">
      <c r="B22" s="5">
        <v>32</v>
      </c>
      <c r="C22" s="15">
        <f t="shared" si="2"/>
        <v>3307.9</v>
      </c>
      <c r="F22" s="7">
        <f t="shared" si="3"/>
        <v>45282</v>
      </c>
      <c r="K22" s="16"/>
    </row>
    <row r="23" spans="2:16">
      <c r="B23" s="5">
        <v>31</v>
      </c>
      <c r="C23" s="15">
        <f t="shared" si="2"/>
        <v>3289.7</v>
      </c>
      <c r="F23" s="7">
        <f t="shared" si="3"/>
        <v>45252</v>
      </c>
    </row>
    <row r="24" spans="2:16">
      <c r="B24" s="5">
        <v>30</v>
      </c>
      <c r="C24" s="15">
        <f t="shared" si="2"/>
        <v>3271.5</v>
      </c>
      <c r="F24" s="7">
        <f t="shared" si="3"/>
        <v>45221</v>
      </c>
    </row>
    <row r="25" spans="2:16">
      <c r="B25" s="5">
        <v>29</v>
      </c>
      <c r="C25" s="15">
        <f t="shared" si="2"/>
        <v>3253.3</v>
      </c>
      <c r="F25" s="7">
        <f t="shared" si="3"/>
        <v>45191</v>
      </c>
      <c r="L25" s="10"/>
      <c r="M25" s="64"/>
      <c r="N25" s="10"/>
      <c r="O25" s="10"/>
    </row>
    <row r="26" spans="2:16">
      <c r="B26" s="5">
        <v>28</v>
      </c>
      <c r="C26" s="15">
        <f t="shared" si="2"/>
        <v>3235.2</v>
      </c>
      <c r="F26" s="7">
        <f t="shared" si="3"/>
        <v>45160</v>
      </c>
      <c r="L26" s="10"/>
      <c r="M26" s="10"/>
      <c r="N26" s="10"/>
      <c r="O26" s="10"/>
    </row>
    <row r="27" spans="2:16">
      <c r="B27" s="5">
        <v>27</v>
      </c>
      <c r="C27" s="15">
        <f t="shared" si="2"/>
        <v>3217</v>
      </c>
      <c r="F27" s="7">
        <f t="shared" si="3"/>
        <v>45129</v>
      </c>
      <c r="L27" s="68" t="s">
        <v>14</v>
      </c>
      <c r="M27" s="10"/>
      <c r="N27" s="10"/>
      <c r="O27" s="10"/>
    </row>
    <row r="28" spans="2:16">
      <c r="B28" s="5">
        <v>26</v>
      </c>
      <c r="C28" s="15">
        <f t="shared" si="2"/>
        <v>3198.8</v>
      </c>
      <c r="F28" s="7">
        <f t="shared" si="3"/>
        <v>45099</v>
      </c>
      <c r="L28" s="10"/>
      <c r="M28" s="10"/>
      <c r="N28" s="10"/>
      <c r="O28" s="32">
        <v>22283</v>
      </c>
    </row>
    <row r="29" spans="2:16">
      <c r="B29" s="5">
        <v>25</v>
      </c>
      <c r="C29" s="15">
        <f t="shared" si="2"/>
        <v>3180.6</v>
      </c>
      <c r="F29" s="7">
        <f t="shared" si="3"/>
        <v>45068</v>
      </c>
      <c r="L29" s="69" t="s">
        <v>15</v>
      </c>
      <c r="M29" s="10"/>
      <c r="N29" s="10"/>
      <c r="O29" s="10"/>
    </row>
    <row r="30" spans="2:16">
      <c r="B30" s="5">
        <v>24</v>
      </c>
      <c r="C30" s="15">
        <f t="shared" si="2"/>
        <v>3162.5</v>
      </c>
      <c r="F30" s="7">
        <f t="shared" si="3"/>
        <v>45038</v>
      </c>
      <c r="L30" s="10"/>
      <c r="M30" s="10"/>
      <c r="N30" s="10"/>
      <c r="O30" s="10"/>
    </row>
    <row r="31" spans="2:16">
      <c r="B31" s="5">
        <v>23</v>
      </c>
      <c r="C31" s="15">
        <f t="shared" si="2"/>
        <v>3144.3</v>
      </c>
      <c r="F31" s="7">
        <f t="shared" si="3"/>
        <v>45007</v>
      </c>
      <c r="L31" s="10"/>
      <c r="M31" s="10"/>
      <c r="N31" s="10"/>
      <c r="O31" s="10"/>
    </row>
    <row r="32" spans="2:16">
      <c r="B32" s="5">
        <v>22</v>
      </c>
      <c r="C32" s="15">
        <f t="shared" si="2"/>
        <v>3126.1</v>
      </c>
      <c r="F32" s="7">
        <f t="shared" ref="F32:F52" si="5">EDATE($F$54,B32)</f>
        <v>44979</v>
      </c>
      <c r="L32" s="10"/>
      <c r="M32" s="10"/>
      <c r="N32" s="10"/>
      <c r="O32" s="10"/>
    </row>
    <row r="33" spans="2:15">
      <c r="B33" s="5">
        <v>21</v>
      </c>
      <c r="C33" s="15">
        <f t="shared" si="2"/>
        <v>3107.9</v>
      </c>
      <c r="F33" s="7">
        <f t="shared" si="5"/>
        <v>44948</v>
      </c>
      <c r="L33" s="10"/>
      <c r="M33" s="10"/>
      <c r="N33" s="10"/>
      <c r="O33" s="10"/>
    </row>
    <row r="34" spans="2:15">
      <c r="B34" s="5">
        <v>20</v>
      </c>
      <c r="C34" s="15">
        <f t="shared" si="2"/>
        <v>3089.8</v>
      </c>
      <c r="F34" s="7">
        <f t="shared" si="5"/>
        <v>44917</v>
      </c>
      <c r="L34" s="10"/>
      <c r="M34" s="10"/>
      <c r="N34" s="10" t="s">
        <v>16</v>
      </c>
      <c r="O34" s="10"/>
    </row>
    <row r="35" spans="2:15">
      <c r="B35" s="5">
        <v>19</v>
      </c>
      <c r="C35" s="15">
        <f t="shared" si="2"/>
        <v>3071.6</v>
      </c>
      <c r="F35" s="7">
        <f t="shared" si="5"/>
        <v>44887</v>
      </c>
      <c r="L35" s="10"/>
      <c r="M35" s="73"/>
      <c r="N35" s="10" t="s">
        <v>5</v>
      </c>
      <c r="O35" s="10" t="s">
        <v>6</v>
      </c>
    </row>
    <row r="36" spans="2:15">
      <c r="B36" s="5">
        <v>18</v>
      </c>
      <c r="C36" s="15">
        <f t="shared" si="2"/>
        <v>3053.4</v>
      </c>
      <c r="F36" s="7">
        <f t="shared" si="5"/>
        <v>44856</v>
      </c>
      <c r="L36" s="10"/>
      <c r="M36" s="72">
        <f>N36</f>
        <v>20090</v>
      </c>
      <c r="N36" s="32">
        <v>20090</v>
      </c>
      <c r="O36" s="10"/>
    </row>
    <row r="37" spans="2:15">
      <c r="B37" s="5">
        <v>17</v>
      </c>
      <c r="C37" s="15">
        <f t="shared" si="2"/>
        <v>3035.2</v>
      </c>
      <c r="F37" s="7">
        <f t="shared" si="5"/>
        <v>44826</v>
      </c>
      <c r="L37" s="10"/>
      <c r="M37" s="73">
        <f>N37</f>
        <v>20455</v>
      </c>
      <c r="N37" s="32">
        <v>20455</v>
      </c>
      <c r="O37" s="10"/>
    </row>
    <row r="38" spans="2:15">
      <c r="B38" s="5">
        <v>16</v>
      </c>
      <c r="C38" s="15">
        <f t="shared" si="2"/>
        <v>3017.1</v>
      </c>
      <c r="F38" s="7">
        <f t="shared" si="5"/>
        <v>44795</v>
      </c>
      <c r="L38" s="10"/>
      <c r="M38" s="73">
        <f>N38</f>
        <v>20821</v>
      </c>
      <c r="N38" s="32">
        <v>20821</v>
      </c>
      <c r="O38" s="10"/>
    </row>
    <row r="39" spans="2:15">
      <c r="B39" s="5">
        <v>15</v>
      </c>
      <c r="C39" s="15">
        <f t="shared" si="2"/>
        <v>2998.9</v>
      </c>
      <c r="F39" s="7">
        <f t="shared" si="5"/>
        <v>44764</v>
      </c>
      <c r="L39" s="10"/>
      <c r="M39" s="73">
        <f t="shared" ref="M39:M43" si="6">N39</f>
        <v>0</v>
      </c>
      <c r="N39" s="10"/>
      <c r="O39" s="10"/>
    </row>
    <row r="40" spans="2:15">
      <c r="B40" s="5">
        <v>14</v>
      </c>
      <c r="C40" s="15">
        <f t="shared" si="2"/>
        <v>2980.7</v>
      </c>
      <c r="F40" s="7">
        <f t="shared" si="5"/>
        <v>44734</v>
      </c>
      <c r="L40" s="10"/>
      <c r="M40" s="73">
        <f t="shared" si="6"/>
        <v>21916</v>
      </c>
      <c r="N40" s="32">
        <v>21916</v>
      </c>
      <c r="O40" s="76">
        <v>46266</v>
      </c>
    </row>
    <row r="41" spans="2:15">
      <c r="B41" s="5">
        <v>13</v>
      </c>
      <c r="C41" s="15">
        <f t="shared" si="2"/>
        <v>2962.5</v>
      </c>
      <c r="F41" s="7">
        <f t="shared" si="5"/>
        <v>44703</v>
      </c>
      <c r="L41" s="10"/>
      <c r="M41" s="73">
        <f t="shared" si="6"/>
        <v>22283</v>
      </c>
      <c r="N41" s="32">
        <v>22283</v>
      </c>
      <c r="O41" s="76">
        <v>46692</v>
      </c>
    </row>
    <row r="42" spans="2:15">
      <c r="B42" s="5">
        <v>12</v>
      </c>
      <c r="C42" s="15">
        <f t="shared" si="2"/>
        <v>2944.4</v>
      </c>
      <c r="F42" s="7">
        <f t="shared" si="5"/>
        <v>44673</v>
      </c>
      <c r="L42" s="10"/>
      <c r="M42" s="73">
        <f t="shared" si="6"/>
        <v>22648</v>
      </c>
      <c r="N42" s="75">
        <v>22648</v>
      </c>
      <c r="O42" s="76">
        <v>47119</v>
      </c>
    </row>
    <row r="43" spans="2:15">
      <c r="B43" s="5">
        <v>11</v>
      </c>
      <c r="C43" s="15">
        <f t="shared" si="2"/>
        <v>2926.2</v>
      </c>
      <c r="F43" s="7">
        <f t="shared" si="5"/>
        <v>44642</v>
      </c>
      <c r="L43" s="10"/>
      <c r="M43" s="73">
        <f t="shared" si="6"/>
        <v>0</v>
      </c>
      <c r="N43" s="23"/>
      <c r="O43" s="23"/>
    </row>
    <row r="44" spans="2:15">
      <c r="B44" s="5">
        <v>10</v>
      </c>
      <c r="C44" s="15">
        <f t="shared" si="2"/>
        <v>2908</v>
      </c>
      <c r="F44" s="7">
        <f t="shared" si="5"/>
        <v>44614</v>
      </c>
      <c r="L44" s="10"/>
      <c r="M44" s="74"/>
      <c r="N44" s="23"/>
      <c r="O44" s="23"/>
    </row>
    <row r="45" spans="2:15">
      <c r="B45" s="5">
        <v>9</v>
      </c>
      <c r="C45" s="15">
        <f t="shared" si="2"/>
        <v>2889.8</v>
      </c>
      <c r="F45" s="7">
        <f t="shared" si="5"/>
        <v>44583</v>
      </c>
      <c r="L45" s="10"/>
      <c r="M45" s="74"/>
      <c r="N45" s="23" t="s">
        <v>17</v>
      </c>
      <c r="O45" s="23"/>
    </row>
    <row r="46" spans="2:15">
      <c r="B46" s="5">
        <v>8</v>
      </c>
      <c r="C46" s="15">
        <f t="shared" si="2"/>
        <v>2871.7</v>
      </c>
      <c r="F46" s="7">
        <f t="shared" si="5"/>
        <v>44552</v>
      </c>
      <c r="L46" s="10"/>
      <c r="M46" s="73"/>
      <c r="N46" s="73" t="e">
        <f>#REF!</f>
        <v>#REF!</v>
      </c>
      <c r="O46" s="10"/>
    </row>
    <row r="47" spans="2:15">
      <c r="B47" s="5">
        <v>7</v>
      </c>
      <c r="C47" s="15">
        <f t="shared" si="2"/>
        <v>2853.5</v>
      </c>
      <c r="F47" s="7">
        <f t="shared" si="5"/>
        <v>44522</v>
      </c>
    </row>
    <row r="48" spans="2:15">
      <c r="B48" s="5">
        <v>6</v>
      </c>
      <c r="C48" s="15">
        <f t="shared" si="2"/>
        <v>2835.3</v>
      </c>
      <c r="F48" s="7">
        <f t="shared" si="5"/>
        <v>44491</v>
      </c>
    </row>
    <row r="49" spans="2:13">
      <c r="B49" s="5">
        <v>5</v>
      </c>
      <c r="C49" s="15">
        <f t="shared" si="2"/>
        <v>2817.1</v>
      </c>
      <c r="F49" s="7">
        <f t="shared" si="5"/>
        <v>44461</v>
      </c>
      <c r="K49" s="5" t="s">
        <v>18</v>
      </c>
      <c r="L49" s="5" t="s">
        <v>19</v>
      </c>
    </row>
    <row r="50" spans="2:13">
      <c r="B50" s="5">
        <v>4</v>
      </c>
      <c r="C50" s="15">
        <f t="shared" si="2"/>
        <v>2799</v>
      </c>
      <c r="F50" s="7">
        <f t="shared" si="5"/>
        <v>44430</v>
      </c>
      <c r="H50" s="5" t="s">
        <v>20</v>
      </c>
      <c r="I50" s="5">
        <v>800</v>
      </c>
      <c r="J50" s="5" t="s">
        <v>21</v>
      </c>
      <c r="K50" s="5">
        <f>(I50/2)-I51</f>
        <v>100</v>
      </c>
      <c r="L50" s="5">
        <f>I51</f>
        <v>300</v>
      </c>
    </row>
    <row r="51" spans="2:13">
      <c r="B51" s="5">
        <v>3</v>
      </c>
      <c r="C51" s="15">
        <f t="shared" si="2"/>
        <v>2780.8</v>
      </c>
      <c r="F51" s="7">
        <f t="shared" si="5"/>
        <v>44399</v>
      </c>
      <c r="H51" s="5" t="s">
        <v>22</v>
      </c>
      <c r="I51" s="5">
        <v>300</v>
      </c>
      <c r="J51" s="5" t="s">
        <v>23</v>
      </c>
      <c r="K51" s="5">
        <f>ROUNDUP((K50*I52)/144,1)</f>
        <v>14.6</v>
      </c>
      <c r="L51" s="5">
        <f>ROUNDUP((I51*I52)/180,1)</f>
        <v>35</v>
      </c>
    </row>
    <row r="52" spans="2:13">
      <c r="B52" s="5">
        <v>2</v>
      </c>
      <c r="C52" s="15">
        <f t="shared" si="2"/>
        <v>2762.6</v>
      </c>
      <c r="F52" s="7">
        <f t="shared" si="5"/>
        <v>44369</v>
      </c>
      <c r="H52" s="5" t="s">
        <v>23</v>
      </c>
      <c r="I52" s="5">
        <v>21</v>
      </c>
      <c r="J52" s="5" t="s">
        <v>24</v>
      </c>
      <c r="K52" s="5">
        <f>K50-K51</f>
        <v>85.4</v>
      </c>
      <c r="L52" s="5">
        <f>L50-L51</f>
        <v>265</v>
      </c>
      <c r="M52" s="5">
        <f>K52+L52</f>
        <v>350.4</v>
      </c>
    </row>
    <row r="53" spans="2:13">
      <c r="B53" s="5">
        <v>1</v>
      </c>
      <c r="C53" s="15">
        <f t="shared" si="2"/>
        <v>2744.4</v>
      </c>
      <c r="F53" s="7">
        <f>EDATE($F$54,B53)</f>
        <v>44338</v>
      </c>
    </row>
    <row r="54" spans="2:13">
      <c r="B54" s="17" t="s">
        <v>6</v>
      </c>
      <c r="C54" s="18">
        <v>1000</v>
      </c>
      <c r="D54" s="18">
        <f>G5/2</f>
        <v>500</v>
      </c>
      <c r="E54" s="18">
        <f>G5</f>
        <v>1000</v>
      </c>
      <c r="F54" s="19">
        <f>N5</f>
        <v>44308</v>
      </c>
      <c r="H54" s="10" t="s">
        <v>25</v>
      </c>
      <c r="I54" s="10" t="s">
        <v>26</v>
      </c>
    </row>
    <row r="55" spans="2:13">
      <c r="B55" s="5">
        <v>1</v>
      </c>
      <c r="C55" s="20">
        <f t="shared" ref="C55:C90" si="7">$F$5-(ROUNDUP((B55*$F$5/180),1))</f>
        <v>2711.1000000000004</v>
      </c>
      <c r="D55" s="20">
        <f>($G$5/2)-(ROUNDUP((($G$5/2)*B55/144),1))</f>
        <v>496.5</v>
      </c>
      <c r="E55" s="20">
        <f>$G$5-(ROUNDUP(($G$5*B55*0.285)/($L$17),1))</f>
        <v>996</v>
      </c>
      <c r="F55" s="7">
        <f>EDATE($F$54,-B55)</f>
        <v>44277</v>
      </c>
      <c r="H55" s="20">
        <f>IF(D55&gt;C55,(($G$5/2)-$F$5)-ROUNDUP(((($G$5/2)-$F$5)*B55)/144,1),0)</f>
        <v>0</v>
      </c>
      <c r="I55" s="15">
        <f>H55+C55</f>
        <v>2711.1000000000004</v>
      </c>
    </row>
    <row r="56" spans="2:13">
      <c r="B56" s="5">
        <v>2</v>
      </c>
      <c r="C56" s="20">
        <f t="shared" si="7"/>
        <v>2696</v>
      </c>
      <c r="D56" s="20">
        <f t="shared" ref="D56:D90" si="8">($G$5/2)-(ROUNDUP((($G$5/2)*B56/144),1))</f>
        <v>493</v>
      </c>
      <c r="E56" s="20">
        <f t="shared" ref="E56:E119" si="9">$G$5-(ROUNDUP(($G$5*B56*0.285)/($L$17),1))</f>
        <v>992</v>
      </c>
      <c r="F56" s="7">
        <f t="shared" ref="F56:F119" si="10">EDATE($F$54,-B56)</f>
        <v>44249</v>
      </c>
      <c r="H56" s="20">
        <f>IF(D56&gt;C56,(($G$5/2)-$F$5)-ROUNDUP(((($G$5/2)-$F$5)*B56)/144,1),0)</f>
        <v>0</v>
      </c>
      <c r="I56" s="15">
        <f t="shared" ref="I56:I90" si="11">H56+C56</f>
        <v>2696</v>
      </c>
    </row>
    <row r="57" spans="2:13">
      <c r="B57" s="5">
        <v>3</v>
      </c>
      <c r="C57" s="20">
        <f t="shared" si="7"/>
        <v>2680.8</v>
      </c>
      <c r="D57" s="20">
        <f t="shared" si="8"/>
        <v>489.5</v>
      </c>
      <c r="E57" s="20">
        <f t="shared" si="9"/>
        <v>988.1</v>
      </c>
      <c r="F57" s="7">
        <f t="shared" si="10"/>
        <v>44218</v>
      </c>
      <c r="H57" s="20">
        <f t="shared" ref="H57:H90" si="12">IF(D57&gt;C57,(($G$5/2)-$F$5)-ROUNDUP(((($G$5/2)-$F$5)*B57)/144,1),0)</f>
        <v>0</v>
      </c>
      <c r="I57" s="15">
        <f t="shared" si="11"/>
        <v>2680.8</v>
      </c>
    </row>
    <row r="58" spans="2:13">
      <c r="B58" s="5">
        <v>4</v>
      </c>
      <c r="C58" s="20">
        <f t="shared" si="7"/>
        <v>2665.7000000000003</v>
      </c>
      <c r="D58" s="20">
        <f t="shared" si="8"/>
        <v>486.1</v>
      </c>
      <c r="E58" s="20">
        <f t="shared" si="9"/>
        <v>984.1</v>
      </c>
      <c r="F58" s="7">
        <f t="shared" si="10"/>
        <v>44187</v>
      </c>
      <c r="H58" s="20">
        <f t="shared" si="12"/>
        <v>0</v>
      </c>
      <c r="I58" s="15">
        <f t="shared" si="11"/>
        <v>2665.7000000000003</v>
      </c>
    </row>
    <row r="59" spans="2:13">
      <c r="B59" s="5">
        <v>5</v>
      </c>
      <c r="C59" s="20">
        <f t="shared" si="7"/>
        <v>2650.5</v>
      </c>
      <c r="D59" s="20">
        <f t="shared" si="8"/>
        <v>482.6</v>
      </c>
      <c r="E59" s="20">
        <f t="shared" si="9"/>
        <v>980.2</v>
      </c>
      <c r="F59" s="7">
        <f t="shared" si="10"/>
        <v>44157</v>
      </c>
      <c r="H59" s="20">
        <f t="shared" si="12"/>
        <v>0</v>
      </c>
      <c r="I59" s="15">
        <f t="shared" si="11"/>
        <v>2650.5</v>
      </c>
    </row>
    <row r="60" spans="2:13">
      <c r="B60" s="5">
        <v>6</v>
      </c>
      <c r="C60" s="20">
        <f t="shared" si="7"/>
        <v>2635.4</v>
      </c>
      <c r="D60" s="20">
        <f t="shared" si="8"/>
        <v>479.1</v>
      </c>
      <c r="E60" s="20">
        <f t="shared" si="9"/>
        <v>976.2</v>
      </c>
      <c r="F60" s="7">
        <f t="shared" si="10"/>
        <v>44126</v>
      </c>
      <c r="H60" s="20">
        <f t="shared" si="12"/>
        <v>0</v>
      </c>
      <c r="I60" s="15">
        <f t="shared" si="11"/>
        <v>2635.4</v>
      </c>
    </row>
    <row r="61" spans="2:13">
      <c r="B61" s="5">
        <v>7</v>
      </c>
      <c r="C61" s="20">
        <f t="shared" si="7"/>
        <v>2620.2000000000003</v>
      </c>
      <c r="D61" s="20">
        <f t="shared" si="8"/>
        <v>475.6</v>
      </c>
      <c r="E61" s="20">
        <f t="shared" si="9"/>
        <v>972.2</v>
      </c>
      <c r="F61" s="7">
        <f t="shared" si="10"/>
        <v>44096</v>
      </c>
      <c r="H61" s="20">
        <f t="shared" si="12"/>
        <v>0</v>
      </c>
      <c r="I61" s="15">
        <f t="shared" si="11"/>
        <v>2620.2000000000003</v>
      </c>
    </row>
    <row r="62" spans="2:13">
      <c r="B62" s="5">
        <v>8</v>
      </c>
      <c r="C62" s="20">
        <f t="shared" si="7"/>
        <v>2605.1000000000004</v>
      </c>
      <c r="D62" s="20">
        <f t="shared" si="8"/>
        <v>472.2</v>
      </c>
      <c r="E62" s="20">
        <f t="shared" si="9"/>
        <v>968.3</v>
      </c>
      <c r="F62" s="7">
        <f t="shared" si="10"/>
        <v>44065</v>
      </c>
      <c r="H62" s="20">
        <f t="shared" si="12"/>
        <v>0</v>
      </c>
      <c r="I62" s="15">
        <f t="shared" si="11"/>
        <v>2605.1000000000004</v>
      </c>
    </row>
    <row r="63" spans="2:13">
      <c r="B63" s="5">
        <v>9</v>
      </c>
      <c r="C63" s="20">
        <f t="shared" si="7"/>
        <v>2589.9</v>
      </c>
      <c r="D63" s="20">
        <f t="shared" si="8"/>
        <v>468.7</v>
      </c>
      <c r="E63" s="20">
        <f t="shared" si="9"/>
        <v>964.3</v>
      </c>
      <c r="F63" s="7">
        <f t="shared" si="10"/>
        <v>44034</v>
      </c>
      <c r="H63" s="20">
        <f t="shared" si="12"/>
        <v>0</v>
      </c>
      <c r="I63" s="15">
        <f t="shared" si="11"/>
        <v>2589.9</v>
      </c>
    </row>
    <row r="64" spans="2:13">
      <c r="B64" s="5">
        <v>10</v>
      </c>
      <c r="C64" s="20">
        <f t="shared" si="7"/>
        <v>2574.8000000000002</v>
      </c>
      <c r="D64" s="20">
        <f t="shared" si="8"/>
        <v>465.2</v>
      </c>
      <c r="E64" s="20">
        <f t="shared" si="9"/>
        <v>960.4</v>
      </c>
      <c r="F64" s="7">
        <f t="shared" si="10"/>
        <v>44004</v>
      </c>
      <c r="H64" s="20">
        <f t="shared" si="12"/>
        <v>0</v>
      </c>
      <c r="I64" s="15">
        <f t="shared" si="11"/>
        <v>2574.8000000000002</v>
      </c>
    </row>
    <row r="65" spans="2:9">
      <c r="B65" s="5">
        <v>11</v>
      </c>
      <c r="C65" s="20">
        <f t="shared" si="7"/>
        <v>2559.6000000000004</v>
      </c>
      <c r="D65" s="20">
        <f t="shared" si="8"/>
        <v>461.8</v>
      </c>
      <c r="E65" s="20">
        <f t="shared" si="9"/>
        <v>956.4</v>
      </c>
      <c r="F65" s="7">
        <f t="shared" si="10"/>
        <v>43973</v>
      </c>
      <c r="H65" s="20">
        <f t="shared" si="12"/>
        <v>0</v>
      </c>
      <c r="I65" s="15">
        <f t="shared" si="11"/>
        <v>2559.6000000000004</v>
      </c>
    </row>
    <row r="66" spans="2:9">
      <c r="B66" s="5">
        <v>12</v>
      </c>
      <c r="C66" s="20">
        <f t="shared" si="7"/>
        <v>2544.5</v>
      </c>
      <c r="D66" s="20">
        <f t="shared" si="8"/>
        <v>458.3</v>
      </c>
      <c r="E66" s="20">
        <f t="shared" si="9"/>
        <v>952.5</v>
      </c>
      <c r="F66" s="7">
        <f t="shared" si="10"/>
        <v>43943</v>
      </c>
      <c r="H66" s="20">
        <f t="shared" si="12"/>
        <v>0</v>
      </c>
      <c r="I66" s="15">
        <f t="shared" si="11"/>
        <v>2544.5</v>
      </c>
    </row>
    <row r="67" spans="2:9">
      <c r="B67" s="5">
        <v>13</v>
      </c>
      <c r="C67" s="20">
        <f t="shared" si="7"/>
        <v>2529.4</v>
      </c>
      <c r="D67" s="20">
        <f t="shared" si="8"/>
        <v>454.8</v>
      </c>
      <c r="E67" s="20">
        <f t="shared" si="9"/>
        <v>948.5</v>
      </c>
      <c r="F67" s="7">
        <f t="shared" si="10"/>
        <v>43912</v>
      </c>
      <c r="H67" s="20">
        <f t="shared" si="12"/>
        <v>0</v>
      </c>
      <c r="I67" s="15">
        <f t="shared" si="11"/>
        <v>2529.4</v>
      </c>
    </row>
    <row r="68" spans="2:9">
      <c r="B68" s="5">
        <v>14</v>
      </c>
      <c r="C68" s="20">
        <f t="shared" si="7"/>
        <v>2514.2000000000003</v>
      </c>
      <c r="D68" s="20">
        <f t="shared" si="8"/>
        <v>451.3</v>
      </c>
      <c r="E68" s="20">
        <f t="shared" si="9"/>
        <v>944.5</v>
      </c>
      <c r="F68" s="7">
        <f t="shared" si="10"/>
        <v>43883</v>
      </c>
      <c r="H68" s="20">
        <f t="shared" si="12"/>
        <v>0</v>
      </c>
      <c r="I68" s="15">
        <f t="shared" si="11"/>
        <v>2514.2000000000003</v>
      </c>
    </row>
    <row r="69" spans="2:9">
      <c r="B69" s="5">
        <v>15</v>
      </c>
      <c r="C69" s="20">
        <f t="shared" si="7"/>
        <v>2499.1000000000004</v>
      </c>
      <c r="D69" s="20">
        <f t="shared" si="8"/>
        <v>447.9</v>
      </c>
      <c r="E69" s="20">
        <f t="shared" si="9"/>
        <v>940.6</v>
      </c>
      <c r="F69" s="7">
        <f t="shared" si="10"/>
        <v>43852</v>
      </c>
      <c r="H69" s="20">
        <f t="shared" si="12"/>
        <v>0</v>
      </c>
      <c r="I69" s="15">
        <f t="shared" si="11"/>
        <v>2499.1000000000004</v>
      </c>
    </row>
    <row r="70" spans="2:9">
      <c r="B70" s="5">
        <v>16</v>
      </c>
      <c r="C70" s="20">
        <f t="shared" si="7"/>
        <v>2483.9</v>
      </c>
      <c r="D70" s="20">
        <f t="shared" si="8"/>
        <v>444.4</v>
      </c>
      <c r="E70" s="20">
        <f t="shared" si="9"/>
        <v>936.6</v>
      </c>
      <c r="F70" s="7">
        <f t="shared" si="10"/>
        <v>43821</v>
      </c>
      <c r="H70" s="20">
        <f t="shared" si="12"/>
        <v>0</v>
      </c>
      <c r="I70" s="15">
        <f t="shared" si="11"/>
        <v>2483.9</v>
      </c>
    </row>
    <row r="71" spans="2:9">
      <c r="B71" s="5">
        <v>17</v>
      </c>
      <c r="C71" s="20">
        <f t="shared" si="7"/>
        <v>2468.8000000000002</v>
      </c>
      <c r="D71" s="20">
        <f t="shared" si="8"/>
        <v>440.9</v>
      </c>
      <c r="E71" s="20">
        <f t="shared" si="9"/>
        <v>932.7</v>
      </c>
      <c r="F71" s="7">
        <f t="shared" si="10"/>
        <v>43791</v>
      </c>
      <c r="H71" s="20">
        <f t="shared" si="12"/>
        <v>0</v>
      </c>
      <c r="I71" s="15">
        <f t="shared" si="11"/>
        <v>2468.8000000000002</v>
      </c>
    </row>
    <row r="72" spans="2:9">
      <c r="B72" s="5">
        <v>18</v>
      </c>
      <c r="C72" s="20">
        <f t="shared" si="7"/>
        <v>2453.6000000000004</v>
      </c>
      <c r="D72" s="20">
        <f t="shared" si="8"/>
        <v>437.5</v>
      </c>
      <c r="E72" s="20">
        <f t="shared" si="9"/>
        <v>928.7</v>
      </c>
      <c r="F72" s="7">
        <f t="shared" si="10"/>
        <v>43760</v>
      </c>
      <c r="H72" s="20">
        <f t="shared" si="12"/>
        <v>0</v>
      </c>
      <c r="I72" s="15">
        <f t="shared" si="11"/>
        <v>2453.6000000000004</v>
      </c>
    </row>
    <row r="73" spans="2:9">
      <c r="B73" s="5">
        <v>19</v>
      </c>
      <c r="C73" s="20">
        <f t="shared" si="7"/>
        <v>2438.5</v>
      </c>
      <c r="D73" s="20">
        <f t="shared" si="8"/>
        <v>434</v>
      </c>
      <c r="E73" s="20">
        <f t="shared" si="9"/>
        <v>924.7</v>
      </c>
      <c r="F73" s="7">
        <f t="shared" si="10"/>
        <v>43730</v>
      </c>
      <c r="H73" s="20">
        <f t="shared" si="12"/>
        <v>0</v>
      </c>
      <c r="I73" s="15">
        <f t="shared" si="11"/>
        <v>2438.5</v>
      </c>
    </row>
    <row r="74" spans="2:9">
      <c r="B74" s="5">
        <v>20</v>
      </c>
      <c r="C74" s="20">
        <f t="shared" si="7"/>
        <v>2423.3000000000002</v>
      </c>
      <c r="D74" s="20">
        <f t="shared" si="8"/>
        <v>430.5</v>
      </c>
      <c r="E74" s="20">
        <f t="shared" si="9"/>
        <v>920.8</v>
      </c>
      <c r="F74" s="7">
        <f t="shared" si="10"/>
        <v>43699</v>
      </c>
      <c r="H74" s="20">
        <f t="shared" si="12"/>
        <v>0</v>
      </c>
      <c r="I74" s="15">
        <f t="shared" si="11"/>
        <v>2423.3000000000002</v>
      </c>
    </row>
    <row r="75" spans="2:9">
      <c r="B75" s="5">
        <v>21</v>
      </c>
      <c r="C75" s="20">
        <f t="shared" si="7"/>
        <v>2408.2000000000003</v>
      </c>
      <c r="D75" s="20">
        <f t="shared" si="8"/>
        <v>427</v>
      </c>
      <c r="E75" s="20">
        <f t="shared" si="9"/>
        <v>916.8</v>
      </c>
      <c r="F75" s="7">
        <f t="shared" si="10"/>
        <v>43668</v>
      </c>
      <c r="H75" s="20">
        <f t="shared" si="12"/>
        <v>0</v>
      </c>
      <c r="I75" s="15">
        <f t="shared" si="11"/>
        <v>2408.2000000000003</v>
      </c>
    </row>
    <row r="76" spans="2:9">
      <c r="B76" s="5">
        <v>22</v>
      </c>
      <c r="C76" s="20">
        <f t="shared" si="7"/>
        <v>2393</v>
      </c>
      <c r="D76" s="20">
        <f t="shared" si="8"/>
        <v>423.6</v>
      </c>
      <c r="E76" s="20">
        <f t="shared" si="9"/>
        <v>912.9</v>
      </c>
      <c r="F76" s="7">
        <f t="shared" si="10"/>
        <v>43638</v>
      </c>
      <c r="H76" s="20">
        <f t="shared" si="12"/>
        <v>0</v>
      </c>
      <c r="I76" s="15">
        <f t="shared" si="11"/>
        <v>2393</v>
      </c>
    </row>
    <row r="77" spans="2:9">
      <c r="B77" s="5">
        <v>23</v>
      </c>
      <c r="C77" s="20">
        <f t="shared" si="7"/>
        <v>2377.9</v>
      </c>
      <c r="D77" s="20">
        <f t="shared" si="8"/>
        <v>420.1</v>
      </c>
      <c r="E77" s="20">
        <f t="shared" si="9"/>
        <v>908.9</v>
      </c>
      <c r="F77" s="7">
        <f t="shared" si="10"/>
        <v>43607</v>
      </c>
      <c r="H77" s="20">
        <f t="shared" si="12"/>
        <v>0</v>
      </c>
      <c r="I77" s="15">
        <f t="shared" si="11"/>
        <v>2377.9</v>
      </c>
    </row>
    <row r="78" spans="2:9">
      <c r="B78" s="5">
        <v>24</v>
      </c>
      <c r="C78" s="20">
        <f t="shared" si="7"/>
        <v>2362.7000000000003</v>
      </c>
      <c r="D78" s="20">
        <f t="shared" si="8"/>
        <v>416.6</v>
      </c>
      <c r="E78" s="20">
        <f t="shared" si="9"/>
        <v>905</v>
      </c>
      <c r="F78" s="7">
        <f t="shared" si="10"/>
        <v>43577</v>
      </c>
      <c r="H78" s="20">
        <f t="shared" si="12"/>
        <v>0</v>
      </c>
      <c r="I78" s="15">
        <f t="shared" si="11"/>
        <v>2362.7000000000003</v>
      </c>
    </row>
    <row r="79" spans="2:9">
      <c r="B79" s="5">
        <v>25</v>
      </c>
      <c r="C79" s="20">
        <f t="shared" si="7"/>
        <v>2347.6000000000004</v>
      </c>
      <c r="D79" s="20">
        <f t="shared" si="8"/>
        <v>413.1</v>
      </c>
      <c r="E79" s="20">
        <f t="shared" si="9"/>
        <v>901</v>
      </c>
      <c r="F79" s="7">
        <f t="shared" si="10"/>
        <v>43546</v>
      </c>
      <c r="H79" s="20">
        <f t="shared" si="12"/>
        <v>0</v>
      </c>
      <c r="I79" s="15">
        <f t="shared" si="11"/>
        <v>2347.6000000000004</v>
      </c>
    </row>
    <row r="80" spans="2:9">
      <c r="B80" s="5">
        <v>26</v>
      </c>
      <c r="C80" s="20">
        <f t="shared" si="7"/>
        <v>2332.5</v>
      </c>
      <c r="D80" s="20">
        <f t="shared" si="8"/>
        <v>409.7</v>
      </c>
      <c r="E80" s="20">
        <f t="shared" si="9"/>
        <v>897</v>
      </c>
      <c r="F80" s="7">
        <f t="shared" si="10"/>
        <v>43518</v>
      </c>
      <c r="H80" s="20">
        <f t="shared" si="12"/>
        <v>0</v>
      </c>
      <c r="I80" s="15">
        <f t="shared" si="11"/>
        <v>2332.5</v>
      </c>
    </row>
    <row r="81" spans="2:9">
      <c r="B81" s="5">
        <v>27</v>
      </c>
      <c r="C81" s="20">
        <f t="shared" si="7"/>
        <v>2317.3000000000002</v>
      </c>
      <c r="D81" s="20">
        <f t="shared" si="8"/>
        <v>406.2</v>
      </c>
      <c r="E81" s="20">
        <f>$G$5-(ROUNDUP(($G$5*B81*0.285)/($L$17),1))</f>
        <v>893.1</v>
      </c>
      <c r="F81" s="7">
        <f t="shared" si="10"/>
        <v>43487</v>
      </c>
      <c r="H81" s="20">
        <f t="shared" si="12"/>
        <v>0</v>
      </c>
      <c r="I81" s="15">
        <f t="shared" si="11"/>
        <v>2317.3000000000002</v>
      </c>
    </row>
    <row r="82" spans="2:9">
      <c r="B82" s="5">
        <v>28</v>
      </c>
      <c r="C82" s="20">
        <f t="shared" si="7"/>
        <v>2302.2000000000003</v>
      </c>
      <c r="D82" s="20">
        <f t="shared" si="8"/>
        <v>402.7</v>
      </c>
      <c r="E82" s="20">
        <f t="shared" si="9"/>
        <v>889.1</v>
      </c>
      <c r="F82" s="7">
        <f t="shared" si="10"/>
        <v>43456</v>
      </c>
      <c r="H82" s="20">
        <f t="shared" si="12"/>
        <v>0</v>
      </c>
      <c r="I82" s="15">
        <f t="shared" si="11"/>
        <v>2302.2000000000003</v>
      </c>
    </row>
    <row r="83" spans="2:9">
      <c r="B83" s="5">
        <v>29</v>
      </c>
      <c r="C83" s="20">
        <f t="shared" si="7"/>
        <v>2287</v>
      </c>
      <c r="D83" s="20">
        <f t="shared" si="8"/>
        <v>399.3</v>
      </c>
      <c r="E83" s="20">
        <f t="shared" si="9"/>
        <v>885.2</v>
      </c>
      <c r="F83" s="7">
        <f t="shared" si="10"/>
        <v>43426</v>
      </c>
      <c r="H83" s="20">
        <f t="shared" si="12"/>
        <v>0</v>
      </c>
      <c r="I83" s="15">
        <f t="shared" si="11"/>
        <v>2287</v>
      </c>
    </row>
    <row r="84" spans="2:9">
      <c r="B84" s="5">
        <v>30</v>
      </c>
      <c r="C84" s="20">
        <f t="shared" si="7"/>
        <v>2271.9</v>
      </c>
      <c r="D84" s="20">
        <f t="shared" si="8"/>
        <v>395.8</v>
      </c>
      <c r="E84" s="20">
        <f t="shared" si="9"/>
        <v>881.2</v>
      </c>
      <c r="F84" s="7">
        <f t="shared" si="10"/>
        <v>43395</v>
      </c>
      <c r="H84" s="20">
        <f t="shared" si="12"/>
        <v>0</v>
      </c>
      <c r="I84" s="15">
        <f t="shared" si="11"/>
        <v>2271.9</v>
      </c>
    </row>
    <row r="85" spans="2:9">
      <c r="B85" s="5">
        <v>31</v>
      </c>
      <c r="C85" s="20">
        <f t="shared" si="7"/>
        <v>2256.7000000000003</v>
      </c>
      <c r="D85" s="20">
        <f t="shared" si="8"/>
        <v>392.3</v>
      </c>
      <c r="E85" s="20">
        <f t="shared" si="9"/>
        <v>877.2</v>
      </c>
      <c r="F85" s="7">
        <f t="shared" si="10"/>
        <v>43365</v>
      </c>
      <c r="H85" s="20">
        <f t="shared" si="12"/>
        <v>0</v>
      </c>
      <c r="I85" s="15">
        <f t="shared" si="11"/>
        <v>2256.7000000000003</v>
      </c>
    </row>
    <row r="86" spans="2:9">
      <c r="B86" s="5">
        <v>32</v>
      </c>
      <c r="C86" s="20">
        <f t="shared" si="7"/>
        <v>2241.6000000000004</v>
      </c>
      <c r="D86" s="20">
        <f t="shared" si="8"/>
        <v>388.8</v>
      </c>
      <c r="E86" s="20">
        <f t="shared" si="9"/>
        <v>873.3</v>
      </c>
      <c r="F86" s="7">
        <f t="shared" si="10"/>
        <v>43334</v>
      </c>
      <c r="H86" s="20">
        <f t="shared" si="12"/>
        <v>0</v>
      </c>
      <c r="I86" s="15">
        <f t="shared" si="11"/>
        <v>2241.6000000000004</v>
      </c>
    </row>
    <row r="87" spans="2:9">
      <c r="B87" s="5">
        <v>33</v>
      </c>
      <c r="C87" s="20">
        <f t="shared" si="7"/>
        <v>2226.4</v>
      </c>
      <c r="D87" s="20">
        <f t="shared" si="8"/>
        <v>385.4</v>
      </c>
      <c r="E87" s="20">
        <f t="shared" si="9"/>
        <v>869.3</v>
      </c>
      <c r="F87" s="7">
        <f t="shared" si="10"/>
        <v>43303</v>
      </c>
      <c r="H87" s="20">
        <f t="shared" si="12"/>
        <v>0</v>
      </c>
      <c r="I87" s="15">
        <f t="shared" si="11"/>
        <v>2226.4</v>
      </c>
    </row>
    <row r="88" spans="2:9">
      <c r="B88" s="5">
        <v>34</v>
      </c>
      <c r="C88" s="20">
        <f t="shared" si="7"/>
        <v>2211.3000000000002</v>
      </c>
      <c r="D88" s="20">
        <f t="shared" si="8"/>
        <v>381.9</v>
      </c>
      <c r="E88" s="20">
        <f t="shared" si="9"/>
        <v>865.4</v>
      </c>
      <c r="F88" s="7">
        <f t="shared" si="10"/>
        <v>43273</v>
      </c>
      <c r="H88" s="20">
        <f t="shared" si="12"/>
        <v>0</v>
      </c>
      <c r="I88" s="15">
        <f t="shared" si="11"/>
        <v>2211.3000000000002</v>
      </c>
    </row>
    <row r="89" spans="2:9">
      <c r="B89" s="5">
        <v>35</v>
      </c>
      <c r="C89" s="20">
        <f t="shared" si="7"/>
        <v>2196.1000000000004</v>
      </c>
      <c r="D89" s="20">
        <f t="shared" si="8"/>
        <v>378.4</v>
      </c>
      <c r="E89" s="20">
        <f t="shared" si="9"/>
        <v>861.4</v>
      </c>
      <c r="F89" s="7">
        <f t="shared" si="10"/>
        <v>43242</v>
      </c>
      <c r="H89" s="20">
        <f t="shared" si="12"/>
        <v>0</v>
      </c>
      <c r="I89" s="15">
        <f t="shared" si="11"/>
        <v>2196.1000000000004</v>
      </c>
    </row>
    <row r="90" spans="2:9">
      <c r="B90" s="5">
        <v>36</v>
      </c>
      <c r="C90" s="20">
        <f t="shared" si="7"/>
        <v>2181</v>
      </c>
      <c r="D90" s="20">
        <f t="shared" si="8"/>
        <v>375</v>
      </c>
      <c r="E90" s="20">
        <f t="shared" si="9"/>
        <v>857.5</v>
      </c>
      <c r="F90" s="7">
        <f t="shared" si="10"/>
        <v>43212</v>
      </c>
      <c r="H90" s="20">
        <f t="shared" si="12"/>
        <v>0</v>
      </c>
      <c r="I90" s="15">
        <f t="shared" si="11"/>
        <v>2181</v>
      </c>
    </row>
    <row r="91" spans="2:9">
      <c r="B91" s="5">
        <v>37</v>
      </c>
      <c r="C91" s="20">
        <f>ROUNDDOWN(($F$5*(192-(B91-36))/240),1)</f>
        <v>2169.6</v>
      </c>
      <c r="D91" s="20">
        <f t="shared" ref="D91:D114" si="13">ROUNDDOWN((($G$5/2)*(180-(B91-36)))/240,1)</f>
        <v>372.9</v>
      </c>
      <c r="E91" s="20">
        <f t="shared" si="9"/>
        <v>853.5</v>
      </c>
      <c r="F91" s="7">
        <f t="shared" si="10"/>
        <v>43181</v>
      </c>
    </row>
    <row r="92" spans="2:9">
      <c r="B92" s="5">
        <v>38</v>
      </c>
      <c r="C92" s="20">
        <f t="shared" ref="C92:C114" si="14">ROUNDDOWN(($F$5*(192-(B92-36))/240),1)</f>
        <v>2158.3000000000002</v>
      </c>
      <c r="D92" s="20">
        <f t="shared" si="13"/>
        <v>370.8</v>
      </c>
      <c r="E92" s="20">
        <f t="shared" si="9"/>
        <v>849.5</v>
      </c>
      <c r="F92" s="7">
        <f t="shared" si="10"/>
        <v>43153</v>
      </c>
    </row>
    <row r="93" spans="2:9">
      <c r="B93" s="5">
        <v>39</v>
      </c>
      <c r="C93" s="20">
        <f t="shared" si="14"/>
        <v>2146.9</v>
      </c>
      <c r="D93" s="20">
        <f t="shared" si="13"/>
        <v>368.7</v>
      </c>
      <c r="E93" s="20">
        <f t="shared" si="9"/>
        <v>845.6</v>
      </c>
      <c r="F93" s="7">
        <f t="shared" si="10"/>
        <v>43122</v>
      </c>
    </row>
    <row r="94" spans="2:9">
      <c r="B94" s="5">
        <v>40</v>
      </c>
      <c r="C94" s="20">
        <f t="shared" si="14"/>
        <v>2135.6</v>
      </c>
      <c r="D94" s="20">
        <f t="shared" si="13"/>
        <v>366.6</v>
      </c>
      <c r="E94" s="20">
        <f t="shared" si="9"/>
        <v>841.6</v>
      </c>
      <c r="F94" s="7">
        <f t="shared" si="10"/>
        <v>43091</v>
      </c>
    </row>
    <row r="95" spans="2:9">
      <c r="B95" s="5">
        <v>41</v>
      </c>
      <c r="C95" s="20">
        <f t="shared" si="14"/>
        <v>2124.1999999999998</v>
      </c>
      <c r="D95" s="20">
        <f t="shared" si="13"/>
        <v>364.5</v>
      </c>
      <c r="E95" s="20">
        <f t="shared" si="9"/>
        <v>837.7</v>
      </c>
      <c r="F95" s="7">
        <f t="shared" si="10"/>
        <v>43061</v>
      </c>
    </row>
    <row r="96" spans="2:9">
      <c r="B96" s="5">
        <v>42</v>
      </c>
      <c r="C96" s="20">
        <f t="shared" si="14"/>
        <v>2112.8000000000002</v>
      </c>
      <c r="D96" s="20">
        <f t="shared" si="13"/>
        <v>362.5</v>
      </c>
      <c r="E96" s="20">
        <f t="shared" si="9"/>
        <v>833.7</v>
      </c>
      <c r="F96" s="7">
        <f t="shared" si="10"/>
        <v>43030</v>
      </c>
    </row>
    <row r="97" spans="2:6">
      <c r="B97" s="5">
        <v>43</v>
      </c>
      <c r="C97" s="20">
        <f t="shared" si="14"/>
        <v>2101.5</v>
      </c>
      <c r="D97" s="20">
        <f t="shared" si="13"/>
        <v>360.4</v>
      </c>
      <c r="E97" s="20">
        <f t="shared" si="9"/>
        <v>829.7</v>
      </c>
      <c r="F97" s="7">
        <f t="shared" si="10"/>
        <v>43000</v>
      </c>
    </row>
    <row r="98" spans="2:6">
      <c r="B98" s="5">
        <v>44</v>
      </c>
      <c r="C98" s="20">
        <f t="shared" si="14"/>
        <v>2090.1</v>
      </c>
      <c r="D98" s="20">
        <f t="shared" si="13"/>
        <v>358.3</v>
      </c>
      <c r="E98" s="20">
        <f t="shared" si="9"/>
        <v>825.8</v>
      </c>
      <c r="F98" s="7">
        <f t="shared" si="10"/>
        <v>42969</v>
      </c>
    </row>
    <row r="99" spans="2:6">
      <c r="B99" s="5">
        <v>45</v>
      </c>
      <c r="C99" s="20">
        <f t="shared" si="14"/>
        <v>2078.8000000000002</v>
      </c>
      <c r="D99" s="20">
        <f t="shared" si="13"/>
        <v>356.2</v>
      </c>
      <c r="E99" s="20">
        <f t="shared" si="9"/>
        <v>821.8</v>
      </c>
      <c r="F99" s="7">
        <f t="shared" si="10"/>
        <v>42938</v>
      </c>
    </row>
    <row r="100" spans="2:6">
      <c r="B100" s="5">
        <v>46</v>
      </c>
      <c r="C100" s="20">
        <f t="shared" si="14"/>
        <v>2067.4</v>
      </c>
      <c r="D100" s="20">
        <f t="shared" si="13"/>
        <v>354.1</v>
      </c>
      <c r="E100" s="20">
        <f t="shared" si="9"/>
        <v>817.9</v>
      </c>
      <c r="F100" s="7">
        <f t="shared" si="10"/>
        <v>42908</v>
      </c>
    </row>
    <row r="101" spans="2:6">
      <c r="B101" s="5">
        <v>47</v>
      </c>
      <c r="C101" s="20">
        <f t="shared" si="14"/>
        <v>2056</v>
      </c>
      <c r="D101" s="20">
        <f t="shared" si="13"/>
        <v>352</v>
      </c>
      <c r="E101" s="20">
        <f t="shared" si="9"/>
        <v>813.9</v>
      </c>
      <c r="F101" s="7">
        <f t="shared" si="10"/>
        <v>42877</v>
      </c>
    </row>
    <row r="102" spans="2:6">
      <c r="B102" s="5">
        <v>48</v>
      </c>
      <c r="C102" s="20">
        <f t="shared" si="14"/>
        <v>2044.7</v>
      </c>
      <c r="D102" s="20">
        <f t="shared" si="13"/>
        <v>350</v>
      </c>
      <c r="E102" s="20">
        <f t="shared" si="9"/>
        <v>810</v>
      </c>
      <c r="F102" s="7">
        <f t="shared" si="10"/>
        <v>42847</v>
      </c>
    </row>
    <row r="103" spans="2:6">
      <c r="B103" s="5">
        <v>49</v>
      </c>
      <c r="C103" s="20">
        <f t="shared" si="14"/>
        <v>2033.3</v>
      </c>
      <c r="D103" s="20">
        <f t="shared" si="13"/>
        <v>347.9</v>
      </c>
      <c r="E103" s="20">
        <f t="shared" si="9"/>
        <v>806</v>
      </c>
      <c r="F103" s="7">
        <f t="shared" si="10"/>
        <v>42816</v>
      </c>
    </row>
    <row r="104" spans="2:6">
      <c r="B104" s="5">
        <v>50</v>
      </c>
      <c r="C104" s="20">
        <f t="shared" si="14"/>
        <v>2022</v>
      </c>
      <c r="D104" s="20">
        <f t="shared" si="13"/>
        <v>345.8</v>
      </c>
      <c r="E104" s="20">
        <f t="shared" si="9"/>
        <v>802</v>
      </c>
      <c r="F104" s="7">
        <f t="shared" si="10"/>
        <v>42788</v>
      </c>
    </row>
    <row r="105" spans="2:6">
      <c r="B105" s="5">
        <v>51</v>
      </c>
      <c r="C105" s="20">
        <f t="shared" si="14"/>
        <v>2010.6</v>
      </c>
      <c r="D105" s="20">
        <f t="shared" si="13"/>
        <v>343.7</v>
      </c>
      <c r="E105" s="20">
        <f t="shared" si="9"/>
        <v>798.1</v>
      </c>
      <c r="F105" s="7">
        <f t="shared" si="10"/>
        <v>42757</v>
      </c>
    </row>
    <row r="106" spans="2:6">
      <c r="B106" s="5">
        <v>52</v>
      </c>
      <c r="C106" s="20">
        <f t="shared" si="14"/>
        <v>1999.2</v>
      </c>
      <c r="D106" s="20">
        <f t="shared" si="13"/>
        <v>341.6</v>
      </c>
      <c r="E106" s="20">
        <f>$G$5-(ROUNDUP(($G$5*B106*0.285)/($L$17),1))</f>
        <v>794.1</v>
      </c>
      <c r="F106" s="7">
        <f t="shared" si="10"/>
        <v>42726</v>
      </c>
    </row>
    <row r="107" spans="2:6">
      <c r="B107" s="5">
        <v>53</v>
      </c>
      <c r="C107" s="20">
        <f t="shared" si="14"/>
        <v>1987.9</v>
      </c>
      <c r="D107" s="20">
        <f t="shared" si="13"/>
        <v>339.5</v>
      </c>
      <c r="E107" s="20">
        <f t="shared" si="9"/>
        <v>790.2</v>
      </c>
      <c r="F107" s="7">
        <f>EDATE($F$54,-B107)</f>
        <v>42696</v>
      </c>
    </row>
    <row r="108" spans="2:6">
      <c r="B108" s="5">
        <v>54</v>
      </c>
      <c r="C108" s="20">
        <f t="shared" si="14"/>
        <v>1976.5</v>
      </c>
      <c r="D108" s="20">
        <f t="shared" si="13"/>
        <v>337.5</v>
      </c>
      <c r="E108" s="20">
        <f t="shared" si="9"/>
        <v>786.2</v>
      </c>
      <c r="F108" s="7">
        <f t="shared" si="10"/>
        <v>42665</v>
      </c>
    </row>
    <row r="109" spans="2:6">
      <c r="B109" s="5">
        <v>55</v>
      </c>
      <c r="C109" s="20">
        <f t="shared" si="14"/>
        <v>1965.2</v>
      </c>
      <c r="D109" s="20">
        <f t="shared" si="13"/>
        <v>335.4</v>
      </c>
      <c r="E109" s="20">
        <f t="shared" si="9"/>
        <v>782.2</v>
      </c>
      <c r="F109" s="7">
        <f t="shared" si="10"/>
        <v>42635</v>
      </c>
    </row>
    <row r="110" spans="2:6">
      <c r="B110" s="5">
        <v>56</v>
      </c>
      <c r="C110" s="20">
        <f t="shared" si="14"/>
        <v>1953.8</v>
      </c>
      <c r="D110" s="20">
        <f t="shared" si="13"/>
        <v>333.3</v>
      </c>
      <c r="E110" s="20">
        <f t="shared" si="9"/>
        <v>778.3</v>
      </c>
      <c r="F110" s="7">
        <f t="shared" si="10"/>
        <v>42604</v>
      </c>
    </row>
    <row r="111" spans="2:6">
      <c r="B111" s="5">
        <v>57</v>
      </c>
      <c r="C111" s="20">
        <f t="shared" si="14"/>
        <v>1942.4</v>
      </c>
      <c r="D111" s="20">
        <f t="shared" si="13"/>
        <v>331.2</v>
      </c>
      <c r="E111" s="20">
        <f t="shared" si="9"/>
        <v>774.3</v>
      </c>
      <c r="F111" s="7">
        <f t="shared" si="10"/>
        <v>42573</v>
      </c>
    </row>
    <row r="112" spans="2:6">
      <c r="B112" s="5">
        <v>58</v>
      </c>
      <c r="C112" s="20">
        <f t="shared" si="14"/>
        <v>1931.1</v>
      </c>
      <c r="D112" s="20">
        <f t="shared" si="13"/>
        <v>329.1</v>
      </c>
      <c r="E112" s="20">
        <f t="shared" si="9"/>
        <v>770.4</v>
      </c>
      <c r="F112" s="7">
        <f t="shared" si="10"/>
        <v>42543</v>
      </c>
    </row>
    <row r="113" spans="2:6">
      <c r="B113" s="5">
        <v>59</v>
      </c>
      <c r="C113" s="20">
        <f t="shared" si="14"/>
        <v>1919.7</v>
      </c>
      <c r="D113" s="20">
        <f t="shared" si="13"/>
        <v>327</v>
      </c>
      <c r="E113" s="20">
        <f t="shared" si="9"/>
        <v>766.4</v>
      </c>
      <c r="F113" s="7">
        <f t="shared" si="10"/>
        <v>42512</v>
      </c>
    </row>
    <row r="114" spans="2:6">
      <c r="B114" s="5">
        <v>60</v>
      </c>
      <c r="C114" s="20">
        <f t="shared" si="14"/>
        <v>1908.4</v>
      </c>
      <c r="D114" s="20">
        <f t="shared" si="13"/>
        <v>325</v>
      </c>
      <c r="E114" s="20">
        <f t="shared" si="9"/>
        <v>762.5</v>
      </c>
      <c r="F114" s="7">
        <f t="shared" si="10"/>
        <v>42482</v>
      </c>
    </row>
    <row r="115" spans="2:6">
      <c r="B115" s="5">
        <v>61</v>
      </c>
      <c r="E115" s="20">
        <f t="shared" si="9"/>
        <v>758.5</v>
      </c>
      <c r="F115" s="7">
        <f t="shared" si="10"/>
        <v>42451</v>
      </c>
    </row>
    <row r="116" spans="2:6">
      <c r="B116" s="5">
        <v>62</v>
      </c>
      <c r="E116" s="20">
        <f t="shared" si="9"/>
        <v>754.5</v>
      </c>
      <c r="F116" s="7">
        <f t="shared" si="10"/>
        <v>42422</v>
      </c>
    </row>
    <row r="117" spans="2:6">
      <c r="B117" s="5">
        <v>63</v>
      </c>
      <c r="E117" s="20">
        <f t="shared" si="9"/>
        <v>750.6</v>
      </c>
      <c r="F117" s="7">
        <f t="shared" si="10"/>
        <v>42391</v>
      </c>
    </row>
    <row r="118" spans="2:6">
      <c r="B118" s="5">
        <v>64</v>
      </c>
      <c r="E118" s="20">
        <f t="shared" si="9"/>
        <v>746.6</v>
      </c>
      <c r="F118" s="7">
        <f t="shared" si="10"/>
        <v>42360</v>
      </c>
    </row>
    <row r="119" spans="2:6">
      <c r="B119" s="5">
        <v>65</v>
      </c>
      <c r="E119" s="20">
        <f t="shared" si="9"/>
        <v>742.7</v>
      </c>
      <c r="F119" s="7">
        <f t="shared" si="10"/>
        <v>42330</v>
      </c>
    </row>
    <row r="120" spans="2:6">
      <c r="B120" s="5">
        <v>66</v>
      </c>
      <c r="E120" s="20">
        <f t="shared" ref="E120:E126" si="15">$G$5-(ROUNDUP(($G$5*B120*0.285)/($L$17),1))</f>
        <v>738.7</v>
      </c>
      <c r="F120" s="7">
        <f t="shared" ref="F120:F126" si="16">EDATE($F$54,-B120)</f>
        <v>42299</v>
      </c>
    </row>
    <row r="121" spans="2:6">
      <c r="B121" s="5">
        <v>67</v>
      </c>
      <c r="E121" s="20">
        <f t="shared" si="15"/>
        <v>734.7</v>
      </c>
      <c r="F121" s="7">
        <f t="shared" si="16"/>
        <v>42269</v>
      </c>
    </row>
    <row r="122" spans="2:6">
      <c r="B122" s="5">
        <v>68</v>
      </c>
      <c r="E122" s="20">
        <f t="shared" si="15"/>
        <v>730.8</v>
      </c>
      <c r="F122" s="7">
        <f t="shared" si="16"/>
        <v>42238</v>
      </c>
    </row>
    <row r="123" spans="2:6">
      <c r="B123" s="5">
        <v>69</v>
      </c>
      <c r="E123" s="20">
        <f t="shared" si="15"/>
        <v>726.8</v>
      </c>
      <c r="F123" s="7">
        <f t="shared" si="16"/>
        <v>42207</v>
      </c>
    </row>
    <row r="124" spans="2:6">
      <c r="B124" s="5">
        <v>70</v>
      </c>
      <c r="E124" s="20">
        <f t="shared" si="15"/>
        <v>722.9</v>
      </c>
      <c r="F124" s="7">
        <f t="shared" si="16"/>
        <v>42177</v>
      </c>
    </row>
    <row r="125" spans="2:6">
      <c r="B125" s="5">
        <v>71</v>
      </c>
      <c r="E125" s="20">
        <f t="shared" si="15"/>
        <v>718.9</v>
      </c>
      <c r="F125" s="7">
        <f t="shared" si="16"/>
        <v>42146</v>
      </c>
    </row>
    <row r="126" spans="2:6">
      <c r="B126" s="5">
        <v>72</v>
      </c>
      <c r="E126" s="20">
        <f t="shared" si="15"/>
        <v>715</v>
      </c>
      <c r="F126" s="7">
        <f t="shared" si="16"/>
        <v>42116</v>
      </c>
    </row>
  </sheetData>
  <sheetProtection password="E1B0" sheet="1" objects="1" scenarios="1" selectLockedCells="1"/>
  <conditionalFormatting sqref="L28:O28 M27:O27 M29:O29 L26:O26 M25:O25 L44:O46 L39:L43 M41:N43 M39:M40 L30:O35 L36:N38 O39:O43">
    <cfRule type="containsText" dxfId="8" priority="2" operator="containsText" text="Inelliigible">
      <formula>NOT(ISERROR(SEARCH("Inelliigible",L25)))</formula>
    </cfRule>
  </conditionalFormatting>
  <conditionalFormatting sqref="M25">
    <cfRule type="containsText" dxfId="7" priority="1" operator="containsText" text="Ineligible">
      <formula>NOT(ISERROR(SEARCH("Ineligible",M25)))</formula>
    </cfRule>
  </conditionalFormatting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21"/>
  <sheetViews>
    <sheetView showGridLines="0" tabSelected="1" topLeftCell="B1" zoomScaleNormal="100" workbookViewId="0">
      <pane ySplit="8" topLeftCell="A9" activePane="bottomLeft" state="frozen"/>
      <selection pane="bottomLeft" activeCell="E2" sqref="E2"/>
      <selection activeCell="B1" sqref="B1"/>
    </sheetView>
  </sheetViews>
  <sheetFormatPr defaultColWidth="9.140625" defaultRowHeight="15"/>
  <cols>
    <col min="1" max="1" width="3" style="5" hidden="1" customWidth="1"/>
    <col min="2" max="2" width="11.5703125" style="25" customWidth="1"/>
    <col min="3" max="3" width="16.140625" style="5" customWidth="1"/>
    <col min="4" max="4" width="4.140625" style="5" customWidth="1"/>
    <col min="5" max="6" width="18.85546875" style="5" customWidth="1"/>
    <col min="7" max="7" width="15.85546875" style="5" customWidth="1"/>
    <col min="8" max="8" width="16.140625" style="5" customWidth="1"/>
    <col min="9" max="9" width="9.7109375" style="5" bestFit="1" customWidth="1"/>
    <col min="10" max="16384" width="9.140625" style="5"/>
  </cols>
  <sheetData>
    <row r="1" spans="1:8" ht="8.4499999999999993" customHeight="1"/>
    <row r="2" spans="1:8" ht="15.2" customHeight="1">
      <c r="A2" s="6"/>
      <c r="B2" s="24"/>
      <c r="C2" s="93" t="s">
        <v>27</v>
      </c>
      <c r="D2" s="94"/>
      <c r="E2" s="35">
        <v>20142</v>
      </c>
      <c r="F2" s="86" t="s">
        <v>28</v>
      </c>
      <c r="G2" s="21">
        <f>IF(E2=""," ",Sheet1!I3)</f>
        <v>42788</v>
      </c>
      <c r="H2" s="99" t="s">
        <v>29</v>
      </c>
    </row>
    <row r="3" spans="1:8" ht="3" customHeight="1">
      <c r="A3" s="6"/>
      <c r="B3" s="24"/>
      <c r="C3" s="85"/>
      <c r="D3" s="86"/>
      <c r="E3" s="37"/>
      <c r="F3" s="86"/>
      <c r="G3" s="21"/>
      <c r="H3" s="99"/>
    </row>
    <row r="4" spans="1:8" ht="15.2" customHeight="1">
      <c r="A4" s="6"/>
      <c r="B4" s="93" t="s">
        <v>30</v>
      </c>
      <c r="C4" s="93"/>
      <c r="D4" s="94"/>
      <c r="E4" s="36">
        <v>2726.3</v>
      </c>
      <c r="F4" s="86" t="s">
        <v>31</v>
      </c>
      <c r="G4" s="21">
        <f>IF(E2="","",Sheet1!I5)</f>
        <v>44308</v>
      </c>
      <c r="H4" s="99"/>
    </row>
    <row r="5" spans="1:8" ht="3" customHeight="1">
      <c r="A5" s="6"/>
      <c r="B5" s="85"/>
      <c r="C5" s="85"/>
      <c r="D5" s="86"/>
      <c r="E5" s="38"/>
      <c r="F5" s="86"/>
      <c r="G5" s="21"/>
      <c r="H5" s="99"/>
    </row>
    <row r="6" spans="1:8" ht="15.2" customHeight="1">
      <c r="A6" s="6"/>
      <c r="B6" s="100" t="s">
        <v>32</v>
      </c>
      <c r="C6" s="100"/>
      <c r="D6" s="101"/>
      <c r="E6" s="36">
        <v>1000</v>
      </c>
      <c r="F6" s="86" t="s">
        <v>33</v>
      </c>
      <c r="G6" s="21">
        <f>IF(E2="","  ",Sheet1!J3)</f>
        <v>45710</v>
      </c>
      <c r="H6" s="99"/>
    </row>
    <row r="7" spans="1:8" ht="9" customHeight="1">
      <c r="A7" s="6"/>
      <c r="B7" s="88"/>
      <c r="C7" s="88"/>
      <c r="D7" s="89"/>
      <c r="E7" s="83"/>
      <c r="F7" s="86"/>
      <c r="G7" s="21"/>
      <c r="H7" s="99"/>
    </row>
    <row r="8" spans="1:8" ht="41.25" customHeight="1">
      <c r="A8" s="6"/>
      <c r="B8" s="24"/>
      <c r="C8" s="95" t="s">
        <v>34</v>
      </c>
      <c r="D8" s="96"/>
      <c r="E8" s="87" t="s">
        <v>35</v>
      </c>
      <c r="F8" s="87" t="s">
        <v>36</v>
      </c>
      <c r="G8" s="80" t="s">
        <v>37</v>
      </c>
      <c r="H8" s="99"/>
    </row>
    <row r="9" spans="1:8" s="10" customFormat="1" ht="12" customHeight="1">
      <c r="A9" s="22"/>
      <c r="B9" s="34" t="str">
        <f>IF(C9=EDATE($E$2,852),"Age 71",(IF(C9=EDATE($E$2,840),"Age 70","")))</f>
        <v/>
      </c>
      <c r="C9" s="78">
        <f>IF($E$2="","",Sheet1!F6)</f>
        <v>45769</v>
      </c>
      <c r="D9" s="79"/>
      <c r="E9" s="70" t="str">
        <f>IF($E$4="","",IF((AND(B9="Age 70",Sheet1!$H$3=1)),"",IF(C9&gt;$G$6,"",Sheet1!C6)))</f>
        <v/>
      </c>
      <c r="F9" s="70" t="str">
        <f>IF($E$6="","",IF(AND(B9="age 70",Sheet1!$H$3=1),"",IF(C9&gt;$G$6,"",$F$57)))</f>
        <v/>
      </c>
      <c r="G9" s="77" t="str">
        <f>IF(AND(B9="age 70",Sheet1!$H$3=1),"",IF(OR($E$6="",C9&gt;$G$6),"",$G$57))</f>
        <v/>
      </c>
      <c r="H9" s="99"/>
    </row>
    <row r="10" spans="1:8" s="10" customFormat="1" ht="12" customHeight="1">
      <c r="A10" s="22"/>
      <c r="B10" s="34" t="str">
        <f t="shared" ref="B10:B19" si="0">IF(C10=$G$6,"Age 70","")</f>
        <v/>
      </c>
      <c r="C10" s="71">
        <f>IF($E$2="","",Sheet1!F7)</f>
        <v>45738</v>
      </c>
      <c r="D10" s="58"/>
      <c r="E10" s="54" t="str">
        <f>IF($E$4="","",IF((AND(B10="Age 70",Sheet1!$H$3=1)),"",IF(C10&gt;$G$6,"",Sheet1!C7)))</f>
        <v/>
      </c>
      <c r="F10" s="54" t="str">
        <f>IF($E$6="","",IF(AND(B10="age 70",Sheet1!$H$3=1),"",IF(C10&gt;$G$6,"",$F$57)))</f>
        <v/>
      </c>
      <c r="G10" s="64" t="str">
        <f>IF(AND(B10="age 70",Sheet1!$H$3=1),"",IF(OR($E$6="",C10&gt;$G$6),"",$G$57))</f>
        <v/>
      </c>
      <c r="H10" s="99"/>
    </row>
    <row r="11" spans="1:8" s="10" customFormat="1" ht="12" customHeight="1">
      <c r="A11" s="22"/>
      <c r="B11" s="34" t="str">
        <f t="shared" si="0"/>
        <v>Age 70</v>
      </c>
      <c r="C11" s="71">
        <f>IF($E$2="","",Sheet1!F8)</f>
        <v>45710</v>
      </c>
      <c r="D11" s="58"/>
      <c r="E11" s="54">
        <f>IF($E$4="","",IF((AND(B11="Age 70",Sheet1!$H$3=1)),"",IF(C11&gt;$G$6,"",Sheet1!C8)))</f>
        <v>3562.3</v>
      </c>
      <c r="F11" s="54">
        <f>IF($E$6="","",IF(AND(B11="age 70",Sheet1!$H$3=1),"",IF(C11&gt;$G$6,"",$F$57)))</f>
        <v>500</v>
      </c>
      <c r="G11" s="64">
        <f>IF(AND(B11="age 70",Sheet1!$H$3=1),"",IF(OR($E$6="",C11&gt;$G$6),"",$G$57))</f>
        <v>1000</v>
      </c>
      <c r="H11" s="99"/>
    </row>
    <row r="12" spans="1:8" s="10" customFormat="1" ht="12" customHeight="1">
      <c r="A12" s="22"/>
      <c r="B12" s="34" t="str">
        <f t="shared" si="0"/>
        <v/>
      </c>
      <c r="C12" s="71">
        <f>IF($E$2="","",Sheet1!F9)</f>
        <v>45679</v>
      </c>
      <c r="D12" s="58"/>
      <c r="E12" s="54">
        <f>IF($E$4="","",IF((AND(B12="Age 70",Sheet1!$H$3=1)),"",IF(C12&gt;$G$6,"",Sheet1!C9)))</f>
        <v>3544.1</v>
      </c>
      <c r="F12" s="54">
        <f>IF($E$6="","",IF(AND(B12="age 70",Sheet1!$H$3=1),"",IF(C12&gt;$G$6,"",$F$57)))</f>
        <v>500</v>
      </c>
      <c r="G12" s="64">
        <f>IF(AND(B12="age 70",Sheet1!$H$3=1),"",IF(OR($E$6="",C12&gt;$G$6),"",$G$57))</f>
        <v>1000</v>
      </c>
      <c r="H12" s="99"/>
    </row>
    <row r="13" spans="1:8" s="10" customFormat="1" ht="12" customHeight="1">
      <c r="A13" s="22"/>
      <c r="B13" s="34" t="str">
        <f t="shared" si="0"/>
        <v/>
      </c>
      <c r="C13" s="71">
        <f>IF($E$2="","",Sheet1!F10)</f>
        <v>45648</v>
      </c>
      <c r="D13" s="58"/>
      <c r="E13" s="54">
        <f>IF($E$4="","",IF((AND(B13="Age 70",Sheet1!$H$3=1)),"",IF(C13&gt;$G$6,"",Sheet1!C10)))</f>
        <v>3526</v>
      </c>
      <c r="F13" s="54">
        <f>IF($E$6="","",IF(AND(B13="age 70",Sheet1!$H$3=1),"",IF(C13&gt;$G$6,"",$F$57)))</f>
        <v>500</v>
      </c>
      <c r="G13" s="64">
        <f>IF(AND(B13="age 70",Sheet1!$H$3=1),"",IF(OR($E$6="",C13&gt;$G$6),"",$G$57))</f>
        <v>1000</v>
      </c>
      <c r="H13" s="99"/>
    </row>
    <row r="14" spans="1:8" s="10" customFormat="1" ht="12" customHeight="1">
      <c r="A14" s="22"/>
      <c r="B14" s="34" t="str">
        <f t="shared" si="0"/>
        <v/>
      </c>
      <c r="C14" s="71">
        <f>IF($E$2="","",Sheet1!F11)</f>
        <v>45618</v>
      </c>
      <c r="D14" s="58"/>
      <c r="E14" s="54">
        <f>IF($E$4="","",IF((AND(B14="Age 70",Sheet1!$H$3=1)),"",IF(C14&gt;$G$6,"",Sheet1!C11)))</f>
        <v>3507.8</v>
      </c>
      <c r="F14" s="54">
        <f>IF($E$6="","",IF(AND(B14="age 70",Sheet1!$H$3=1),"",IF(C14&gt;$G$6,"",$F$57)))</f>
        <v>500</v>
      </c>
      <c r="G14" s="64">
        <f>IF(AND(B14="age 70",Sheet1!$H$3=1),"",IF(OR($E$6="",C14&gt;$G$6),"",$G$57))</f>
        <v>1000</v>
      </c>
      <c r="H14" s="99"/>
    </row>
    <row r="15" spans="1:8" s="10" customFormat="1" ht="12" customHeight="1">
      <c r="A15" s="22"/>
      <c r="B15" s="34" t="str">
        <f t="shared" si="0"/>
        <v/>
      </c>
      <c r="C15" s="71">
        <f>IF($E$2="","",Sheet1!F12)</f>
        <v>45587</v>
      </c>
      <c r="D15" s="58"/>
      <c r="E15" s="54">
        <f>IF($E$4="","",IF((AND(B15="Age 70",Sheet1!$H$3=1)),"",IF(C15&gt;$G$6,"",Sheet1!C12)))</f>
        <v>3489.6</v>
      </c>
      <c r="F15" s="54">
        <f>IF($E$6="","",IF(AND(B15="age 70",Sheet1!$H$3=1),"",IF(C15&gt;$G$6,"",$F$57)))</f>
        <v>500</v>
      </c>
      <c r="G15" s="64">
        <f>IF(AND(B15="age 70",Sheet1!$H$3=1),"",IF(OR($E$6="",C15&gt;$G$6),"",$G$57))</f>
        <v>1000</v>
      </c>
      <c r="H15" s="99"/>
    </row>
    <row r="16" spans="1:8" s="10" customFormat="1" ht="12" customHeight="1">
      <c r="A16" s="22"/>
      <c r="B16" s="34" t="str">
        <f t="shared" si="0"/>
        <v/>
      </c>
      <c r="C16" s="71">
        <f>IF($E$2="","",Sheet1!F13)</f>
        <v>45557</v>
      </c>
      <c r="D16" s="58"/>
      <c r="E16" s="54">
        <f>IF($E$4="","",IF((AND(B16="Age 70",Sheet1!$H$3=1)),"",IF(C16&gt;$G$6,"",Sheet1!C13)))</f>
        <v>3471.4</v>
      </c>
      <c r="F16" s="54">
        <f>IF($E$6="","",IF(AND(B16="age 70",Sheet1!$H$3=1),"",IF(C16&gt;$G$6,"",$F$57)))</f>
        <v>500</v>
      </c>
      <c r="G16" s="64">
        <f>IF(AND(B16="age 70",Sheet1!$H$3=1),"",IF(OR($E$6="",C16&gt;$G$6),"",$G$57))</f>
        <v>1000</v>
      </c>
      <c r="H16" s="92"/>
    </row>
    <row r="17" spans="1:8" s="10" customFormat="1" ht="12" customHeight="1">
      <c r="A17" s="22"/>
      <c r="B17" s="34" t="str">
        <f t="shared" si="0"/>
        <v/>
      </c>
      <c r="C17" s="57">
        <f>IF($E$2="","",Sheet1!F14)</f>
        <v>45526</v>
      </c>
      <c r="D17" s="58"/>
      <c r="E17" s="54">
        <f>IF($E$4="","",IF((AND(B17="Age 70",Sheet1!$H$3=1)),"",IF(C17&gt;$G$6,"",Sheet1!C14)))</f>
        <v>3453.3</v>
      </c>
      <c r="F17" s="54">
        <f>IF($E$6="","",IF(AND(B17="age 70",Sheet1!$H$3=1),"",IF(C17&gt;$G$6,"",$F$57)))</f>
        <v>500</v>
      </c>
      <c r="G17" s="64">
        <f>IF(AND(B17="age 70",Sheet1!$H$3=1),"",IF(OR($E$6="",C17&gt;$G$6),"",$G$57))</f>
        <v>1000</v>
      </c>
      <c r="H17" s="92"/>
    </row>
    <row r="18" spans="1:8" s="10" customFormat="1" ht="12" customHeight="1">
      <c r="A18" s="22"/>
      <c r="B18" s="34" t="str">
        <f t="shared" si="0"/>
        <v/>
      </c>
      <c r="C18" s="57">
        <f>IF($E$2="","",Sheet1!F15)</f>
        <v>45495</v>
      </c>
      <c r="D18" s="58"/>
      <c r="E18" s="54">
        <f>IF($E$4="","",IF((AND(B18="Age 70",Sheet1!$H$3=1)),"",IF(C18&gt;$G$6,"",Sheet1!C15)))</f>
        <v>3435.1</v>
      </c>
      <c r="F18" s="54">
        <f>IF($E$6="","",IF(AND(B18="age 70",Sheet1!$H$3=1),"",IF(C18&gt;$G$6,"",$F$57)))</f>
        <v>500</v>
      </c>
      <c r="G18" s="64">
        <f>IF(AND(B18="age 70",Sheet1!$H$3=1),"",IF(OR($E$6="",C18&gt;$G$6),"",$G$57))</f>
        <v>1000</v>
      </c>
      <c r="H18" s="92"/>
    </row>
    <row r="19" spans="1:8" s="10" customFormat="1" ht="12" customHeight="1">
      <c r="A19" s="22"/>
      <c r="B19" s="34" t="str">
        <f t="shared" si="0"/>
        <v/>
      </c>
      <c r="C19" s="57">
        <f>IF($E$2="","",Sheet1!F16)</f>
        <v>45465</v>
      </c>
      <c r="D19" s="58"/>
      <c r="E19" s="54">
        <f>IF($E$4="","",IF((AND(B19="Age 70",Sheet1!$H$3=1)),"",IF(C19&gt;$G$6,"",Sheet1!C16)))</f>
        <v>3416.9</v>
      </c>
      <c r="F19" s="54">
        <f>IF($E$6="","",IF(AND(B19="age 70",Sheet1!$H$3=1),"",IF(C19&gt;$G$6,"",$F$57)))</f>
        <v>500</v>
      </c>
      <c r="G19" s="64">
        <f>IF(AND(B19="age 70",Sheet1!$H$3=1),"",IF(OR($E$6="",C19&gt;$G$6),"",$G$57))</f>
        <v>1000</v>
      </c>
      <c r="H19" s="92"/>
    </row>
    <row r="20" spans="1:8" s="10" customFormat="1" ht="12" customHeight="1">
      <c r="A20" s="22"/>
      <c r="B20" s="34" t="str">
        <f>IF(C20=EDATE($E$2,840),"Age 70",(IF(C20=EDATE($E$2,828),"Age 69","")))</f>
        <v/>
      </c>
      <c r="C20" s="57">
        <f>IF($E$2="","",Sheet1!F17)</f>
        <v>45434</v>
      </c>
      <c r="D20" s="58"/>
      <c r="E20" s="54">
        <f>IF($E$4="","",IF((AND(B20="Age 70",Sheet1!$H$3=1)),"",IF(C20&gt;$G$6,"",Sheet1!C17)))</f>
        <v>3398.7</v>
      </c>
      <c r="F20" s="54">
        <f>IF($E$6="","",IF(AND(B20="age 70",Sheet1!$H$3=1),"",IF(C20&gt;$G$6,"",$F$57)))</f>
        <v>500</v>
      </c>
      <c r="G20" s="64">
        <f>IF(AND(B20="age 70",Sheet1!$H$3=1),"",IF(OR($E$6="",C20&gt;$G$6),"",$G$57))</f>
        <v>1000</v>
      </c>
      <c r="H20" s="92"/>
    </row>
    <row r="21" spans="1:8" s="10" customFormat="1" ht="12" customHeight="1">
      <c r="A21" s="22"/>
      <c r="B21" s="34" t="str">
        <f>IF(C21=EDATE($E$2,840),"Age 70",(IF(C21=EDATE($E$2,828),"Age 69","")))</f>
        <v/>
      </c>
      <c r="C21" s="59">
        <f>IF($E$2="","",Sheet1!F18)</f>
        <v>45404</v>
      </c>
      <c r="D21" s="60"/>
      <c r="E21" s="55">
        <f>IF($E$4="","",Sheet1!C18)</f>
        <v>3380.6</v>
      </c>
      <c r="F21" s="55">
        <f t="shared" ref="F21:F56" si="1">IF($E$6="","",$F$57)</f>
        <v>500</v>
      </c>
      <c r="G21" s="65">
        <f t="shared" ref="G21:G56" si="2">IF($E$6="","",$G$57)</f>
        <v>1000</v>
      </c>
      <c r="H21" s="92"/>
    </row>
    <row r="22" spans="1:8" s="10" customFormat="1" ht="12" customHeight="1">
      <c r="A22" s="22"/>
      <c r="B22" s="34" t="str">
        <f t="shared" ref="B22:B31" si="3">IF(C22=EDATE($E$2,828),"Age 69","")</f>
        <v/>
      </c>
      <c r="C22" s="57">
        <f>IF($E$2="","",Sheet1!F19)</f>
        <v>45373</v>
      </c>
      <c r="D22" s="58"/>
      <c r="E22" s="54">
        <f>IF($E$4="","",Sheet1!C19)</f>
        <v>3362.4</v>
      </c>
      <c r="F22" s="54">
        <f t="shared" si="1"/>
        <v>500</v>
      </c>
      <c r="G22" s="64">
        <f t="shared" si="2"/>
        <v>1000</v>
      </c>
      <c r="H22" s="92"/>
    </row>
    <row r="23" spans="1:8" s="10" customFormat="1" ht="12" customHeight="1">
      <c r="A23" s="22"/>
      <c r="B23" s="34" t="str">
        <f t="shared" si="3"/>
        <v>Age 69</v>
      </c>
      <c r="C23" s="57">
        <f>IF($E$2="","",Sheet1!F20)</f>
        <v>45344</v>
      </c>
      <c r="D23" s="58"/>
      <c r="E23" s="54">
        <f>IF($E$4="","",Sheet1!C20)</f>
        <v>3344.2</v>
      </c>
      <c r="F23" s="54">
        <f t="shared" si="1"/>
        <v>500</v>
      </c>
      <c r="G23" s="64">
        <f t="shared" si="2"/>
        <v>1000</v>
      </c>
      <c r="H23" s="92"/>
    </row>
    <row r="24" spans="1:8" s="10" customFormat="1" ht="12" customHeight="1">
      <c r="A24" s="22"/>
      <c r="B24" s="34" t="str">
        <f t="shared" si="3"/>
        <v/>
      </c>
      <c r="C24" s="57">
        <f>IF($E$2="","",Sheet1!F21)</f>
        <v>45313</v>
      </c>
      <c r="D24" s="58"/>
      <c r="E24" s="54">
        <f>IF($E$4="","",Sheet1!C21)</f>
        <v>3326</v>
      </c>
      <c r="F24" s="54">
        <f t="shared" si="1"/>
        <v>500</v>
      </c>
      <c r="G24" s="64">
        <f t="shared" si="2"/>
        <v>1000</v>
      </c>
      <c r="H24" s="92"/>
    </row>
    <row r="25" spans="1:8" s="10" customFormat="1" ht="12" customHeight="1">
      <c r="A25" s="22"/>
      <c r="B25" s="34" t="str">
        <f t="shared" si="3"/>
        <v/>
      </c>
      <c r="C25" s="57">
        <f>IF($E$2="","",Sheet1!F22)</f>
        <v>45282</v>
      </c>
      <c r="D25" s="58"/>
      <c r="E25" s="54">
        <f>IF($E$4="","",Sheet1!C22)</f>
        <v>3307.9</v>
      </c>
      <c r="F25" s="54">
        <f t="shared" si="1"/>
        <v>500</v>
      </c>
      <c r="G25" s="64">
        <f t="shared" si="2"/>
        <v>1000</v>
      </c>
      <c r="H25" s="92"/>
    </row>
    <row r="26" spans="1:8" s="10" customFormat="1" ht="12" customHeight="1">
      <c r="A26" s="22"/>
      <c r="B26" s="34" t="str">
        <f t="shared" si="3"/>
        <v/>
      </c>
      <c r="C26" s="57">
        <f>IF($E$2="","",Sheet1!F23)</f>
        <v>45252</v>
      </c>
      <c r="D26" s="58"/>
      <c r="E26" s="54">
        <f>IF($E$4="","",Sheet1!C23)</f>
        <v>3289.7</v>
      </c>
      <c r="F26" s="54">
        <f t="shared" si="1"/>
        <v>500</v>
      </c>
      <c r="G26" s="64">
        <f t="shared" si="2"/>
        <v>1000</v>
      </c>
      <c r="H26" s="92"/>
    </row>
    <row r="27" spans="1:8" s="10" customFormat="1" ht="12" customHeight="1">
      <c r="A27" s="22"/>
      <c r="B27" s="34" t="str">
        <f t="shared" si="3"/>
        <v/>
      </c>
      <c r="C27" s="57">
        <f>IF($E$2="","",Sheet1!F24)</f>
        <v>45221</v>
      </c>
      <c r="D27" s="58"/>
      <c r="E27" s="54">
        <f>IF($E$4="","",Sheet1!C24)</f>
        <v>3271.5</v>
      </c>
      <c r="F27" s="54">
        <f t="shared" si="1"/>
        <v>500</v>
      </c>
      <c r="G27" s="64">
        <f t="shared" si="2"/>
        <v>1000</v>
      </c>
      <c r="H27" s="92"/>
    </row>
    <row r="28" spans="1:8" s="10" customFormat="1" ht="12" customHeight="1">
      <c r="A28" s="22"/>
      <c r="B28" s="34" t="str">
        <f t="shared" si="3"/>
        <v/>
      </c>
      <c r="C28" s="57">
        <f>IF($E$2="","",Sheet1!F25)</f>
        <v>45191</v>
      </c>
      <c r="D28" s="58"/>
      <c r="E28" s="54">
        <f>IF($E$4="","",Sheet1!C25)</f>
        <v>3253.3</v>
      </c>
      <c r="F28" s="54">
        <f t="shared" si="1"/>
        <v>500</v>
      </c>
      <c r="G28" s="64">
        <f t="shared" si="2"/>
        <v>1000</v>
      </c>
      <c r="H28" s="92"/>
    </row>
    <row r="29" spans="1:8" s="10" customFormat="1" ht="12" customHeight="1">
      <c r="A29" s="22"/>
      <c r="B29" s="34" t="str">
        <f t="shared" si="3"/>
        <v/>
      </c>
      <c r="C29" s="57">
        <f>IF($E$2="","",Sheet1!F26)</f>
        <v>45160</v>
      </c>
      <c r="D29" s="58"/>
      <c r="E29" s="54">
        <f>IF($E$4="","",Sheet1!C26)</f>
        <v>3235.2</v>
      </c>
      <c r="F29" s="54">
        <f t="shared" si="1"/>
        <v>500</v>
      </c>
      <c r="G29" s="64">
        <f t="shared" si="2"/>
        <v>1000</v>
      </c>
      <c r="H29" s="92"/>
    </row>
    <row r="30" spans="1:8" s="10" customFormat="1" ht="12" customHeight="1">
      <c r="A30" s="22"/>
      <c r="B30" s="34" t="str">
        <f t="shared" si="3"/>
        <v/>
      </c>
      <c r="C30" s="57">
        <f>IF($E$2="","",Sheet1!F27)</f>
        <v>45129</v>
      </c>
      <c r="D30" s="58"/>
      <c r="E30" s="54">
        <f>IF($E$4="","",Sheet1!C27)</f>
        <v>3217</v>
      </c>
      <c r="F30" s="54">
        <f t="shared" si="1"/>
        <v>500</v>
      </c>
      <c r="G30" s="64">
        <f t="shared" si="2"/>
        <v>1000</v>
      </c>
      <c r="H30" s="92"/>
    </row>
    <row r="31" spans="1:8" s="10" customFormat="1" ht="12" customHeight="1">
      <c r="A31" s="22"/>
      <c r="B31" s="34" t="str">
        <f t="shared" si="3"/>
        <v/>
      </c>
      <c r="C31" s="57">
        <f>IF($E$2="","",Sheet1!F28)</f>
        <v>45099</v>
      </c>
      <c r="D31" s="58"/>
      <c r="E31" s="54">
        <f>IF($E$4="","",Sheet1!C28)</f>
        <v>3198.8</v>
      </c>
      <c r="F31" s="54">
        <f t="shared" si="1"/>
        <v>500</v>
      </c>
      <c r="G31" s="64">
        <f t="shared" si="2"/>
        <v>1000</v>
      </c>
      <c r="H31" s="92"/>
    </row>
    <row r="32" spans="1:8" s="10" customFormat="1" ht="12" customHeight="1">
      <c r="A32" s="22"/>
      <c r="B32" s="34" t="str">
        <f>IF(C32=EDATE($E$2,816),"Age 68",(IF(C32=EDATE($E$2,828),"Age 69","")))</f>
        <v/>
      </c>
      <c r="C32" s="57">
        <f>IF($E$2="","",Sheet1!F29)</f>
        <v>45068</v>
      </c>
      <c r="D32" s="58"/>
      <c r="E32" s="54">
        <f>IF($E$4="","",Sheet1!C29)</f>
        <v>3180.6</v>
      </c>
      <c r="F32" s="54">
        <f t="shared" si="1"/>
        <v>500</v>
      </c>
      <c r="G32" s="64">
        <f t="shared" si="2"/>
        <v>1000</v>
      </c>
      <c r="H32" s="92"/>
    </row>
    <row r="33" spans="1:8" s="10" customFormat="1" ht="12" customHeight="1">
      <c r="A33" s="22"/>
      <c r="B33" s="34" t="str">
        <f>IF(C33=EDATE($E$2,816),"Age 68",(IF(C33=EDATE($E$2,828),"Age 69","")))</f>
        <v/>
      </c>
      <c r="C33" s="59">
        <f>IF($E$2="","",Sheet1!F30)</f>
        <v>45038</v>
      </c>
      <c r="D33" s="60"/>
      <c r="E33" s="55">
        <f>IF($E$4="","",Sheet1!C30)</f>
        <v>3162.5</v>
      </c>
      <c r="F33" s="55">
        <f t="shared" si="1"/>
        <v>500</v>
      </c>
      <c r="G33" s="65">
        <f t="shared" si="2"/>
        <v>1000</v>
      </c>
      <c r="H33" s="92"/>
    </row>
    <row r="34" spans="1:8" s="10" customFormat="1" ht="12" customHeight="1">
      <c r="A34" s="22"/>
      <c r="B34" s="34" t="str">
        <f t="shared" ref="B34:B43" si="4">IF(C34=EDATE($E$2,816),"Age 68","")</f>
        <v/>
      </c>
      <c r="C34" s="57">
        <f>IF($E$2="","",Sheet1!F31)</f>
        <v>45007</v>
      </c>
      <c r="D34" s="58"/>
      <c r="E34" s="54">
        <f>IF($E$4="","",Sheet1!C31)</f>
        <v>3144.3</v>
      </c>
      <c r="F34" s="54">
        <f t="shared" si="1"/>
        <v>500</v>
      </c>
      <c r="G34" s="64">
        <f t="shared" si="2"/>
        <v>1000</v>
      </c>
      <c r="H34" s="92"/>
    </row>
    <row r="35" spans="1:8" s="10" customFormat="1" ht="12" customHeight="1">
      <c r="A35" s="22"/>
      <c r="B35" s="34" t="str">
        <f t="shared" si="4"/>
        <v>Age 68</v>
      </c>
      <c r="C35" s="57">
        <f>IF($E$2="","",Sheet1!F32)</f>
        <v>44979</v>
      </c>
      <c r="D35" s="58"/>
      <c r="E35" s="54">
        <f>IF($E$4="","",Sheet1!C32)</f>
        <v>3126.1</v>
      </c>
      <c r="F35" s="54">
        <f t="shared" si="1"/>
        <v>500</v>
      </c>
      <c r="G35" s="64">
        <f t="shared" si="2"/>
        <v>1000</v>
      </c>
      <c r="H35" s="92"/>
    </row>
    <row r="36" spans="1:8" s="10" customFormat="1" ht="12" customHeight="1">
      <c r="A36" s="22"/>
      <c r="B36" s="34" t="str">
        <f t="shared" si="4"/>
        <v/>
      </c>
      <c r="C36" s="57">
        <f>IF($E$2="","",Sheet1!F33)</f>
        <v>44948</v>
      </c>
      <c r="D36" s="58"/>
      <c r="E36" s="54">
        <f>IF($E$4="","",Sheet1!C33)</f>
        <v>3107.9</v>
      </c>
      <c r="F36" s="54">
        <f t="shared" si="1"/>
        <v>500</v>
      </c>
      <c r="G36" s="64">
        <f t="shared" si="2"/>
        <v>1000</v>
      </c>
      <c r="H36" s="92"/>
    </row>
    <row r="37" spans="1:8" s="10" customFormat="1" ht="12" customHeight="1">
      <c r="A37" s="22"/>
      <c r="B37" s="34" t="str">
        <f t="shared" si="4"/>
        <v/>
      </c>
      <c r="C37" s="57">
        <f>IF($E$2="","",Sheet1!F34)</f>
        <v>44917</v>
      </c>
      <c r="D37" s="58"/>
      <c r="E37" s="54">
        <f>IF($E$4="","",Sheet1!C34)</f>
        <v>3089.8</v>
      </c>
      <c r="F37" s="54">
        <f t="shared" si="1"/>
        <v>500</v>
      </c>
      <c r="G37" s="64">
        <f t="shared" si="2"/>
        <v>1000</v>
      </c>
      <c r="H37" s="92"/>
    </row>
    <row r="38" spans="1:8" s="10" customFormat="1" ht="12" customHeight="1">
      <c r="A38" s="22"/>
      <c r="B38" s="34" t="str">
        <f t="shared" si="4"/>
        <v/>
      </c>
      <c r="C38" s="57">
        <f>IF($E$2="","",Sheet1!F35)</f>
        <v>44887</v>
      </c>
      <c r="D38" s="58"/>
      <c r="E38" s="54">
        <f>IF($E$4="","",Sheet1!C35)</f>
        <v>3071.6</v>
      </c>
      <c r="F38" s="54">
        <f t="shared" si="1"/>
        <v>500</v>
      </c>
      <c r="G38" s="64">
        <f t="shared" si="2"/>
        <v>1000</v>
      </c>
      <c r="H38" s="92"/>
    </row>
    <row r="39" spans="1:8" s="10" customFormat="1" ht="12" customHeight="1">
      <c r="A39" s="22"/>
      <c r="B39" s="34" t="str">
        <f t="shared" si="4"/>
        <v/>
      </c>
      <c r="C39" s="57">
        <f>IF($E$2="","",Sheet1!F36)</f>
        <v>44856</v>
      </c>
      <c r="D39" s="58"/>
      <c r="E39" s="54">
        <f>IF($E$4="","",Sheet1!C36)</f>
        <v>3053.4</v>
      </c>
      <c r="F39" s="54">
        <f t="shared" si="1"/>
        <v>500</v>
      </c>
      <c r="G39" s="64">
        <f t="shared" si="2"/>
        <v>1000</v>
      </c>
      <c r="H39" s="92"/>
    </row>
    <row r="40" spans="1:8" s="10" customFormat="1" ht="12" customHeight="1">
      <c r="A40" s="22"/>
      <c r="B40" s="34" t="str">
        <f t="shared" si="4"/>
        <v/>
      </c>
      <c r="C40" s="57">
        <f>IF($E$2="","",Sheet1!F37)</f>
        <v>44826</v>
      </c>
      <c r="D40" s="58"/>
      <c r="E40" s="54">
        <f>IF($E$4="","",Sheet1!C37)</f>
        <v>3035.2</v>
      </c>
      <c r="F40" s="54">
        <f t="shared" si="1"/>
        <v>500</v>
      </c>
      <c r="G40" s="64">
        <f t="shared" si="2"/>
        <v>1000</v>
      </c>
      <c r="H40" s="92"/>
    </row>
    <row r="41" spans="1:8" s="10" customFormat="1" ht="12" customHeight="1">
      <c r="A41" s="22"/>
      <c r="B41" s="34" t="str">
        <f t="shared" si="4"/>
        <v/>
      </c>
      <c r="C41" s="57">
        <f>IF($E$2="","",Sheet1!F38)</f>
        <v>44795</v>
      </c>
      <c r="D41" s="58"/>
      <c r="E41" s="54">
        <f>IF($E$4="","",Sheet1!C38)</f>
        <v>3017.1</v>
      </c>
      <c r="F41" s="54">
        <f t="shared" si="1"/>
        <v>500</v>
      </c>
      <c r="G41" s="64">
        <f t="shared" si="2"/>
        <v>1000</v>
      </c>
      <c r="H41" s="92"/>
    </row>
    <row r="42" spans="1:8" s="10" customFormat="1" ht="12" customHeight="1">
      <c r="A42" s="22"/>
      <c r="B42" s="34" t="str">
        <f t="shared" si="4"/>
        <v/>
      </c>
      <c r="C42" s="57">
        <f>IF($E$2="","",Sheet1!F39)</f>
        <v>44764</v>
      </c>
      <c r="D42" s="58"/>
      <c r="E42" s="54">
        <f>IF($E$4="","",Sheet1!C39)</f>
        <v>2998.9</v>
      </c>
      <c r="F42" s="54">
        <f t="shared" si="1"/>
        <v>500</v>
      </c>
      <c r="G42" s="64">
        <f t="shared" si="2"/>
        <v>1000</v>
      </c>
      <c r="H42" s="92"/>
    </row>
    <row r="43" spans="1:8" s="10" customFormat="1" ht="12" customHeight="1">
      <c r="A43" s="22"/>
      <c r="B43" s="34" t="str">
        <f t="shared" si="4"/>
        <v/>
      </c>
      <c r="C43" s="57">
        <f>IF($E$2="","",Sheet1!F40)</f>
        <v>44734</v>
      </c>
      <c r="D43" s="58"/>
      <c r="E43" s="54">
        <f>IF($E$4="","",Sheet1!C40)</f>
        <v>2980.7</v>
      </c>
      <c r="F43" s="54">
        <f t="shared" si="1"/>
        <v>500</v>
      </c>
      <c r="G43" s="64">
        <f t="shared" si="2"/>
        <v>1000</v>
      </c>
      <c r="H43" s="92"/>
    </row>
    <row r="44" spans="1:8" s="10" customFormat="1" ht="12" customHeight="1">
      <c r="A44" s="22"/>
      <c r="B44" s="34" t="str">
        <f>IF(C44=EDATE($E$2,816),"Age 68",(IF(C44=EDATE($E$2,804),"Age 67","")))</f>
        <v/>
      </c>
      <c r="C44" s="57">
        <f>IF($E$2="","",Sheet1!F41)</f>
        <v>44703</v>
      </c>
      <c r="D44" s="58"/>
      <c r="E44" s="54">
        <f>IF($E$4="","",Sheet1!C41)</f>
        <v>2962.5</v>
      </c>
      <c r="F44" s="54">
        <f t="shared" si="1"/>
        <v>500</v>
      </c>
      <c r="G44" s="64">
        <f t="shared" si="2"/>
        <v>1000</v>
      </c>
    </row>
    <row r="45" spans="1:8" s="10" customFormat="1" ht="12" customHeight="1">
      <c r="A45" s="22"/>
      <c r="B45" s="34" t="str">
        <f>IF(C45=EDATE($E$2,816),"Age 68",(IF(C45=EDATE($E$2,804),"Age 67","")))</f>
        <v/>
      </c>
      <c r="C45" s="59">
        <f>IF($E$2="","",Sheet1!F42)</f>
        <v>44673</v>
      </c>
      <c r="D45" s="60"/>
      <c r="E45" s="55">
        <f>IF($E$4="","",Sheet1!C42)</f>
        <v>2944.4</v>
      </c>
      <c r="F45" s="55">
        <f t="shared" si="1"/>
        <v>500</v>
      </c>
      <c r="G45" s="65">
        <f t="shared" si="2"/>
        <v>1000</v>
      </c>
    </row>
    <row r="46" spans="1:8" s="10" customFormat="1" ht="12" customHeight="1">
      <c r="A46" s="22"/>
      <c r="B46" s="34" t="str">
        <f t="shared" ref="B46:B55" si="5">IF(C46=EDATE($E$2,804),"Age 67","")</f>
        <v/>
      </c>
      <c r="C46" s="57">
        <f>IF($E$2="","",Sheet1!F43)</f>
        <v>44642</v>
      </c>
      <c r="D46" s="58"/>
      <c r="E46" s="54">
        <f>IF($E$4="","",Sheet1!C43)</f>
        <v>2926.2</v>
      </c>
      <c r="F46" s="54">
        <f t="shared" si="1"/>
        <v>500</v>
      </c>
      <c r="G46" s="64">
        <f t="shared" si="2"/>
        <v>1000</v>
      </c>
    </row>
    <row r="47" spans="1:8" s="10" customFormat="1" ht="12" customHeight="1">
      <c r="A47" s="22"/>
      <c r="B47" s="34" t="str">
        <f t="shared" si="5"/>
        <v>Age 67</v>
      </c>
      <c r="C47" s="57">
        <f>IF($E$2="","",Sheet1!F44)</f>
        <v>44614</v>
      </c>
      <c r="D47" s="58"/>
      <c r="E47" s="54">
        <f>IF($E$4="","",Sheet1!C44)</f>
        <v>2908</v>
      </c>
      <c r="F47" s="54">
        <f t="shared" si="1"/>
        <v>500</v>
      </c>
      <c r="G47" s="64">
        <f t="shared" si="2"/>
        <v>1000</v>
      </c>
    </row>
    <row r="48" spans="1:8" s="10" customFormat="1" ht="12" customHeight="1">
      <c r="A48" s="22"/>
      <c r="B48" s="34" t="str">
        <f t="shared" si="5"/>
        <v/>
      </c>
      <c r="C48" s="57">
        <f>IF($E$2="","",Sheet1!F45)</f>
        <v>44583</v>
      </c>
      <c r="D48" s="58"/>
      <c r="E48" s="54">
        <f>IF($E$4="","",Sheet1!C45)</f>
        <v>2889.8</v>
      </c>
      <c r="F48" s="54">
        <f t="shared" si="1"/>
        <v>500</v>
      </c>
      <c r="G48" s="64">
        <f t="shared" si="2"/>
        <v>1000</v>
      </c>
    </row>
    <row r="49" spans="1:8" s="10" customFormat="1" ht="12" customHeight="1">
      <c r="A49" s="22"/>
      <c r="B49" s="34" t="str">
        <f t="shared" si="5"/>
        <v/>
      </c>
      <c r="C49" s="57">
        <f>IF($E$2="","",Sheet1!F46)</f>
        <v>44552</v>
      </c>
      <c r="D49" s="58"/>
      <c r="E49" s="54">
        <f>IF($E$4="","",Sheet1!C46)</f>
        <v>2871.7</v>
      </c>
      <c r="F49" s="54">
        <f t="shared" si="1"/>
        <v>500</v>
      </c>
      <c r="G49" s="64">
        <f t="shared" si="2"/>
        <v>1000</v>
      </c>
    </row>
    <row r="50" spans="1:8" s="10" customFormat="1" ht="12" customHeight="1">
      <c r="A50" s="22"/>
      <c r="B50" s="34" t="str">
        <f t="shared" si="5"/>
        <v/>
      </c>
      <c r="C50" s="57">
        <f>IF($E$2="","",Sheet1!F47)</f>
        <v>44522</v>
      </c>
      <c r="D50" s="58"/>
      <c r="E50" s="54">
        <f>IF($E$4="","",Sheet1!C47)</f>
        <v>2853.5</v>
      </c>
      <c r="F50" s="54">
        <f t="shared" si="1"/>
        <v>500</v>
      </c>
      <c r="G50" s="64">
        <f t="shared" si="2"/>
        <v>1000</v>
      </c>
    </row>
    <row r="51" spans="1:8" s="10" customFormat="1" ht="12" customHeight="1">
      <c r="A51" s="22"/>
      <c r="B51" s="34" t="str">
        <f t="shared" si="5"/>
        <v/>
      </c>
      <c r="C51" s="57">
        <f>IF($E$2="","",Sheet1!F48)</f>
        <v>44491</v>
      </c>
      <c r="D51" s="58"/>
      <c r="E51" s="54">
        <f>IF($E$4="","",Sheet1!C48)</f>
        <v>2835.3</v>
      </c>
      <c r="F51" s="54">
        <f t="shared" si="1"/>
        <v>500</v>
      </c>
      <c r="G51" s="64">
        <f t="shared" si="2"/>
        <v>1000</v>
      </c>
    </row>
    <row r="52" spans="1:8" s="10" customFormat="1" ht="12" customHeight="1">
      <c r="A52" s="22"/>
      <c r="B52" s="34" t="str">
        <f t="shared" si="5"/>
        <v/>
      </c>
      <c r="C52" s="57">
        <f>IF($E$2="","",Sheet1!F49)</f>
        <v>44461</v>
      </c>
      <c r="D52" s="58"/>
      <c r="E52" s="54">
        <f>IF($E$4="","",Sheet1!C49)</f>
        <v>2817.1</v>
      </c>
      <c r="F52" s="54">
        <f t="shared" si="1"/>
        <v>500</v>
      </c>
      <c r="G52" s="64">
        <f t="shared" si="2"/>
        <v>1000</v>
      </c>
    </row>
    <row r="53" spans="1:8" s="10" customFormat="1" ht="12" customHeight="1">
      <c r="A53" s="22"/>
      <c r="B53" s="34" t="str">
        <f t="shared" si="5"/>
        <v/>
      </c>
      <c r="C53" s="57">
        <f>IF($E$2="","",Sheet1!F50)</f>
        <v>44430</v>
      </c>
      <c r="D53" s="58"/>
      <c r="E53" s="54">
        <f>IF($E$4="","",Sheet1!C50)</f>
        <v>2799</v>
      </c>
      <c r="F53" s="54">
        <f t="shared" si="1"/>
        <v>500</v>
      </c>
      <c r="G53" s="64">
        <f t="shared" si="2"/>
        <v>1000</v>
      </c>
    </row>
    <row r="54" spans="1:8" s="10" customFormat="1" ht="12" customHeight="1">
      <c r="A54" s="22"/>
      <c r="B54" s="34" t="str">
        <f t="shared" si="5"/>
        <v/>
      </c>
      <c r="C54" s="57">
        <f>IF($E$2="","",Sheet1!F51)</f>
        <v>44399</v>
      </c>
      <c r="D54" s="58"/>
      <c r="E54" s="54">
        <f>IF($E$4="","",Sheet1!C51)</f>
        <v>2780.8</v>
      </c>
      <c r="F54" s="54">
        <f t="shared" si="1"/>
        <v>500</v>
      </c>
      <c r="G54" s="64">
        <f t="shared" si="2"/>
        <v>1000</v>
      </c>
    </row>
    <row r="55" spans="1:8" s="10" customFormat="1" ht="12" customHeight="1">
      <c r="A55" s="22"/>
      <c r="B55" s="34" t="str">
        <f t="shared" si="5"/>
        <v/>
      </c>
      <c r="C55" s="57">
        <f>IF($E$2="","",Sheet1!F52)</f>
        <v>44369</v>
      </c>
      <c r="D55" s="58"/>
      <c r="E55" s="54">
        <f>IF($E$4="","",Sheet1!C52)</f>
        <v>2762.6</v>
      </c>
      <c r="F55" s="54">
        <f t="shared" si="1"/>
        <v>500</v>
      </c>
      <c r="G55" s="64">
        <f t="shared" si="2"/>
        <v>1000</v>
      </c>
    </row>
    <row r="56" spans="1:8" s="10" customFormat="1" ht="12" customHeight="1">
      <c r="A56" s="22"/>
      <c r="B56" s="34" t="str">
        <f>IF(C56=EDATE($E$2,792),"Age 66",(IF(C56=EDATE($E$2,804),"Age 67","")))</f>
        <v/>
      </c>
      <c r="C56" s="57">
        <f>IF($E$2="","",Sheet1!F53)</f>
        <v>44338</v>
      </c>
      <c r="D56" s="58"/>
      <c r="E56" s="54">
        <f>IF($E$4="","",Sheet1!C53)</f>
        <v>2744.4</v>
      </c>
      <c r="F56" s="54">
        <f t="shared" si="1"/>
        <v>500</v>
      </c>
      <c r="G56" s="64">
        <f t="shared" si="2"/>
        <v>1000</v>
      </c>
    </row>
    <row r="57" spans="1:8" s="10" customFormat="1" ht="12" customHeight="1">
      <c r="A57" s="85"/>
      <c r="B57" s="34" t="str">
        <f>IF(C57=EDATE($E$2,792),"Age 66",(IF(C57=EDATE($E$2,804),"Age 67","")))</f>
        <v/>
      </c>
      <c r="C57" s="61">
        <f>IF($E$2="","",Sheet1!F54)</f>
        <v>44308</v>
      </c>
      <c r="D57" s="62"/>
      <c r="E57" s="56">
        <f>IF(E4="","",E4)</f>
        <v>2726.3</v>
      </c>
      <c r="F57" s="56">
        <f>IF(E6="","",Sheet1!D54)</f>
        <v>500</v>
      </c>
      <c r="G57" s="66">
        <f>IF(E6="","",Sheet1!E54)</f>
        <v>1000</v>
      </c>
      <c r="H57" s="67" t="s">
        <v>38</v>
      </c>
    </row>
    <row r="58" spans="1:8" s="10" customFormat="1" ht="12" customHeight="1">
      <c r="A58" s="22">
        <v>1</v>
      </c>
      <c r="B58" s="34" t="str">
        <f t="shared" ref="B58:B64" si="6">IF(C58=EDATE($E$2,792),"Age 66","")</f>
        <v/>
      </c>
      <c r="C58" s="57">
        <f>IF($E$2="","",Sheet1!F55)</f>
        <v>44277</v>
      </c>
      <c r="D58" s="58"/>
      <c r="E58" s="54">
        <f>IF($E$4="","",Sheet1!C55)</f>
        <v>2711.1000000000004</v>
      </c>
      <c r="F58" s="54" t="str">
        <f>IF($E$6="","",IF($E$4&gt;=($E$6/2),"Ineligible",Sheet1!D55))</f>
        <v>Ineligible</v>
      </c>
      <c r="G58" s="64">
        <f>IF(E6="","",IF(AND($E$2&gt;20090,$E$2&lt;22648),Sheet1!E54,Sheet1!E55))</f>
        <v>1000</v>
      </c>
      <c r="H58" s="67" t="s">
        <v>39</v>
      </c>
    </row>
    <row r="59" spans="1:8" s="10" customFormat="1" ht="12" customHeight="1">
      <c r="A59" s="22">
        <v>2</v>
      </c>
      <c r="B59" s="34" t="str">
        <f t="shared" si="6"/>
        <v>Age 66</v>
      </c>
      <c r="C59" s="57">
        <f>IF($E$2="","",Sheet1!F56)</f>
        <v>44249</v>
      </c>
      <c r="D59" s="58"/>
      <c r="E59" s="54">
        <f>IF($E$4="","",Sheet1!C56)</f>
        <v>2696</v>
      </c>
      <c r="F59" s="54" t="str">
        <f>IF($E$6="","",IF($E$4&gt;=($E$6/2),"Ineligible",Sheet1!D56))</f>
        <v>Ineligible</v>
      </c>
      <c r="G59" s="64">
        <f>IF(E6="","",IF(AND($E$2&gt;20090,$E$2&lt;22648),Sheet1!E54,Sheet1!E56))</f>
        <v>1000</v>
      </c>
    </row>
    <row r="60" spans="1:8" s="10" customFormat="1" ht="12" customHeight="1">
      <c r="A60" s="22">
        <v>3</v>
      </c>
      <c r="B60" s="34" t="str">
        <f t="shared" si="6"/>
        <v/>
      </c>
      <c r="C60" s="57">
        <f>IF($E$2="","",Sheet1!F57)</f>
        <v>44218</v>
      </c>
      <c r="D60" s="58"/>
      <c r="E60" s="54">
        <f>IF($E$4="","",Sheet1!C57)</f>
        <v>2680.8</v>
      </c>
      <c r="F60" s="54" t="str">
        <f>IF($E$6="","",IF($E$4&gt;=($E$6/2),"Ineligible",Sheet1!D57))</f>
        <v>Ineligible</v>
      </c>
      <c r="G60" s="64">
        <f>IF(E6="","",IF(AND($E$2&gt;20455,$E$2&lt;22283),Sheet1!E54,IF(AND($E$2&gt;20090,$E$2&lt;22648),Sheet1!E55,Sheet1!E57)))</f>
        <v>996</v>
      </c>
    </row>
    <row r="61" spans="1:8" s="10" customFormat="1" ht="12" customHeight="1">
      <c r="A61" s="22">
        <v>4</v>
      </c>
      <c r="B61" s="34" t="str">
        <f t="shared" si="6"/>
        <v/>
      </c>
      <c r="C61" s="57">
        <f>IF($E$2="","",Sheet1!F58)</f>
        <v>44187</v>
      </c>
      <c r="D61" s="58"/>
      <c r="E61" s="54">
        <f>IF($E$4="","",Sheet1!C58)</f>
        <v>2665.7000000000003</v>
      </c>
      <c r="F61" s="54" t="str">
        <f>IF($E$6="","",IF($E$4&gt;=($E$6/2),"Ineligible",Sheet1!D58))</f>
        <v>Ineligible</v>
      </c>
      <c r="G61" s="64">
        <f>IF(E6="","",IF(AND($E$2&gt;20455,$E$2&lt;22283),Sheet1!E54,IF(AND($E$2&gt;20090,$E$2&lt;22648),Sheet1!E56,Sheet1!E58)))</f>
        <v>992</v>
      </c>
    </row>
    <row r="62" spans="1:8" s="10" customFormat="1" ht="12" customHeight="1">
      <c r="A62" s="22">
        <v>5</v>
      </c>
      <c r="B62" s="34" t="str">
        <f t="shared" si="6"/>
        <v/>
      </c>
      <c r="C62" s="57">
        <f>IF($E$2="","",Sheet1!F59)</f>
        <v>44157</v>
      </c>
      <c r="D62" s="58"/>
      <c r="E62" s="54">
        <f>IF($E$4="","",Sheet1!C59)</f>
        <v>2650.5</v>
      </c>
      <c r="F62" s="54" t="str">
        <f>IF($E$6="","",IF($E$4&gt;=($E$6/2),"Ineligible",Sheet1!D59))</f>
        <v>Ineligible</v>
      </c>
      <c r="G62" s="64">
        <f>IF($E$6="","",IF(AND($E$2&gt;20455,$E$2&lt;22283),Sheet1!E55,IF(AND($E$2&gt;20090,$E$2&lt;22648),Sheet1!E57,Sheet1!E59)))</f>
        <v>988.1</v>
      </c>
      <c r="H62" s="33" t="s">
        <v>40</v>
      </c>
    </row>
    <row r="63" spans="1:8" s="10" customFormat="1" ht="12" customHeight="1">
      <c r="A63" s="22">
        <v>6</v>
      </c>
      <c r="B63" s="34" t="str">
        <f t="shared" si="6"/>
        <v/>
      </c>
      <c r="C63" s="57">
        <f>IF($E$2="","",Sheet1!F60)</f>
        <v>44126</v>
      </c>
      <c r="D63" s="58"/>
      <c r="E63" s="54">
        <f>IF($E$4="","",Sheet1!C60)</f>
        <v>2635.4</v>
      </c>
      <c r="F63" s="54" t="str">
        <f>IF($E$6="","",IF($E$4&gt;=($E$6/2),"Ineligible",Sheet1!D60))</f>
        <v>Ineligible</v>
      </c>
      <c r="G63" s="64">
        <f>IF($E$6="","",IF(AND($E$2&gt;20455,$E$2&lt;22283),Sheet1!E56,IF(AND($E$2&gt;20090,$E$2&lt;22648),Sheet1!E58,Sheet1!E60)))</f>
        <v>984.1</v>
      </c>
      <c r="H63" s="33" t="s">
        <v>41</v>
      </c>
    </row>
    <row r="64" spans="1:8" s="10" customFormat="1" ht="12" customHeight="1">
      <c r="A64" s="22">
        <v>7</v>
      </c>
      <c r="B64" s="34" t="str">
        <f t="shared" si="6"/>
        <v/>
      </c>
      <c r="C64" s="57">
        <f>IF($E$2="","",Sheet1!F61)</f>
        <v>44096</v>
      </c>
      <c r="D64" s="58"/>
      <c r="E64" s="54">
        <f>IF($E$4="","",Sheet1!C61)</f>
        <v>2620.2000000000003</v>
      </c>
      <c r="F64" s="54" t="str">
        <f>IF($E$6="","",IF($E$4&gt;=($E$6/2),"Ineligible",Sheet1!D61))</f>
        <v>Ineligible</v>
      </c>
      <c r="G64" s="64">
        <f>IF($E$6="","",IF(AND($E$2&gt;20455,$E$2&lt;22283),Sheet1!E57,IF(AND($E$2&gt;20090,$E$2&lt;22648),Sheet1!E59,Sheet1!E61)))</f>
        <v>980.2</v>
      </c>
      <c r="H64" s="33"/>
    </row>
    <row r="65" spans="1:8" s="10" customFormat="1" ht="12" customHeight="1">
      <c r="A65" s="22"/>
      <c r="B65" s="34"/>
      <c r="C65" s="97" t="s">
        <v>42</v>
      </c>
      <c r="D65" s="98"/>
      <c r="E65" s="82" t="s">
        <v>43</v>
      </c>
      <c r="F65" s="82" t="s">
        <v>44</v>
      </c>
      <c r="G65" s="81" t="s">
        <v>45</v>
      </c>
      <c r="H65" s="33"/>
    </row>
    <row r="66" spans="1:8" s="10" customFormat="1" ht="12" customHeight="1">
      <c r="A66" s="22">
        <v>8</v>
      </c>
      <c r="B66" s="34" t="str">
        <f>IF(C66=EDATE($E$2,792),"Age 66","")</f>
        <v/>
      </c>
      <c r="C66" s="57">
        <f>IF($E$2="","",Sheet1!F62)</f>
        <v>44065</v>
      </c>
      <c r="D66" s="58"/>
      <c r="E66" s="54">
        <f>IF($E$4="","",Sheet1!C62)</f>
        <v>2605.1000000000004</v>
      </c>
      <c r="F66" s="54" t="str">
        <f>IF($E$6="","",IF($E$4&gt;=($E$6/2),"Ineligible",Sheet1!D62))</f>
        <v>Ineligible</v>
      </c>
      <c r="G66" s="64">
        <f>IF($E$6="","",IF(AND($E$2&gt;20455,$E$2&lt;22283),Sheet1!E58,IF(AND($E$2&gt;20090,$E$2&lt;22648),Sheet1!E60,Sheet1!E62)))</f>
        <v>976.2</v>
      </c>
    </row>
    <row r="67" spans="1:8" s="10" customFormat="1" ht="12" customHeight="1">
      <c r="A67" s="22">
        <v>9</v>
      </c>
      <c r="B67" s="34" t="str">
        <f>IF(C67=EDATE($E$2,792),"Age 66","")</f>
        <v/>
      </c>
      <c r="C67" s="57">
        <f>IF($E$2="","",Sheet1!F63)</f>
        <v>44034</v>
      </c>
      <c r="D67" s="63"/>
      <c r="E67" s="54">
        <f>IF($E$4="","",Sheet1!C63)</f>
        <v>2589.9</v>
      </c>
      <c r="F67" s="53" t="str">
        <f>IF($E$6="","",IF($E$4&gt;=($E$6/2),"Ineligible",Sheet1!D63))</f>
        <v>Ineligible</v>
      </c>
      <c r="G67" s="64">
        <f>IF($E$6="","",IF(AND($E$2&gt;20455,$E$2&lt;22283),Sheet1!E59,IF(AND($E$2&gt;20090,$E$2&lt;22648),Sheet1!E61,Sheet1!E63)))</f>
        <v>972.2</v>
      </c>
    </row>
    <row r="68" spans="1:8" s="10" customFormat="1" ht="12" customHeight="1">
      <c r="A68" s="22">
        <v>10</v>
      </c>
      <c r="B68" s="34" t="str">
        <f>IF(C68=EDATE($E$2,792),"Age 66","")</f>
        <v/>
      </c>
      <c r="C68" s="57">
        <f>IF($E$2="","",Sheet1!F64)</f>
        <v>44004</v>
      </c>
      <c r="D68" s="58"/>
      <c r="E68" s="54">
        <f>IF($E$4="","",Sheet1!C64)</f>
        <v>2574.8000000000002</v>
      </c>
      <c r="F68" s="53" t="str">
        <f>IF($E$6="","",IF($E$4&gt;=($E$6/2),"Ineligible",Sheet1!D64))</f>
        <v>Ineligible</v>
      </c>
      <c r="G68" s="64">
        <f>IF($E$6="","",IF(AND($E$2&gt;20455,$E$2&lt;22283),Sheet1!E60,IF(AND($E$2&gt;20090,$E$2&lt;22648),Sheet1!E62,Sheet1!E64)))</f>
        <v>968.3</v>
      </c>
    </row>
    <row r="69" spans="1:8" s="10" customFormat="1" ht="12" customHeight="1">
      <c r="A69" s="22">
        <v>11</v>
      </c>
      <c r="B69" s="34" t="str">
        <f>IF(C69=EDATE($E$2,792),"Age 66",(IF(C69=EDATE($E$2,780),"Age 65","")))</f>
        <v/>
      </c>
      <c r="C69" s="57">
        <f>IF($E$2="","",Sheet1!F65)</f>
        <v>43973</v>
      </c>
      <c r="D69" s="58"/>
      <c r="E69" s="54">
        <f>IF($E$4="","",Sheet1!C65)</f>
        <v>2559.6000000000004</v>
      </c>
      <c r="F69" s="53" t="str">
        <f>IF($E$6="","",IF($E$4&gt;=($E$6/2),"Ineligible",Sheet1!D65))</f>
        <v>Ineligible</v>
      </c>
      <c r="G69" s="64">
        <f>IF($E$6="","",IF(AND($E$2&gt;20455,$E$2&lt;22283),Sheet1!E61,IF(AND($E$2&gt;20090,$E$2&lt;22648),Sheet1!E63,Sheet1!E65)))</f>
        <v>964.3</v>
      </c>
    </row>
    <row r="70" spans="1:8" s="10" customFormat="1" ht="12" customHeight="1">
      <c r="A70" s="22">
        <v>12</v>
      </c>
      <c r="B70" s="34" t="str">
        <f>IF(C70=EDATE($E$2,792),"Age 66",(IF(C70=EDATE($E$2,780),"Age 65","")))</f>
        <v/>
      </c>
      <c r="C70" s="59">
        <f>IF($E$2="","",Sheet1!F66)</f>
        <v>43943</v>
      </c>
      <c r="D70" s="60"/>
      <c r="E70" s="55">
        <f>IF($E$4="","",Sheet1!C66)</f>
        <v>2544.5</v>
      </c>
      <c r="F70" s="70" t="str">
        <f>IF($E$6="","",IF($E$4&gt;=($E$6/2),"Ineligible",Sheet1!D66))</f>
        <v>Ineligible</v>
      </c>
      <c r="G70" s="65">
        <f>IF($E$6="","",IF(AND($E$2&gt;20455,$E$2&lt;22283),Sheet1!E62,IF(AND($E$2&gt;20090,$E$2&lt;22648),Sheet1!E64,Sheet1!E66)))</f>
        <v>960.4</v>
      </c>
    </row>
    <row r="71" spans="1:8" s="10" customFormat="1" ht="12" customHeight="1">
      <c r="A71" s="22">
        <v>13</v>
      </c>
      <c r="B71" s="34" t="str">
        <f t="shared" ref="B71:B80" si="7">IF(C71=EDATE($E$2,780),"Age 65","")</f>
        <v/>
      </c>
      <c r="C71" s="57">
        <f>IF($E$2="","",Sheet1!F67)</f>
        <v>43912</v>
      </c>
      <c r="D71" s="58"/>
      <c r="E71" s="54">
        <f>IF($E$4="","",Sheet1!C67)</f>
        <v>2529.4</v>
      </c>
      <c r="F71" s="53" t="str">
        <f>IF($E$6="","",IF($E$4&gt;=($E$6/2),"Ineligible",Sheet1!D67))</f>
        <v>Ineligible</v>
      </c>
      <c r="G71" s="64">
        <f>IF($E$6="","",IF(AND($E$2&gt;20455,$E$2&lt;22283),Sheet1!E63,IF(AND($E$2&gt;20090,$E$2&lt;22648),Sheet1!E65,Sheet1!E67)))</f>
        <v>956.4</v>
      </c>
    </row>
    <row r="72" spans="1:8" s="10" customFormat="1" ht="12" customHeight="1">
      <c r="A72" s="22">
        <v>14</v>
      </c>
      <c r="B72" s="34" t="str">
        <f t="shared" si="7"/>
        <v>Age 65</v>
      </c>
      <c r="C72" s="57">
        <f>IF($E$2="","",Sheet1!F68)</f>
        <v>43883</v>
      </c>
      <c r="D72" s="58"/>
      <c r="E72" s="54">
        <f>IF($E$4="","",Sheet1!C68)</f>
        <v>2514.2000000000003</v>
      </c>
      <c r="F72" s="53" t="str">
        <f>IF($E$6="","",IF($E$4&gt;=($E$6/2),"Ineligible",Sheet1!D68))</f>
        <v>Ineligible</v>
      </c>
      <c r="G72" s="64">
        <f>IF($E$6="","",IF(AND($E$2&gt;20455,$E$2&lt;22283),Sheet1!E64,IF(AND($E$2&gt;20090,$E$2&lt;22648),Sheet1!E66,Sheet1!E68)))</f>
        <v>952.5</v>
      </c>
    </row>
    <row r="73" spans="1:8" s="10" customFormat="1" ht="12" customHeight="1">
      <c r="A73" s="22">
        <v>15</v>
      </c>
      <c r="B73" s="34" t="str">
        <f t="shared" si="7"/>
        <v/>
      </c>
      <c r="C73" s="57">
        <f>IF($E$2="","",Sheet1!F69)</f>
        <v>43852</v>
      </c>
      <c r="D73" s="58"/>
      <c r="E73" s="54">
        <f>IF($E$4="","",Sheet1!C69)</f>
        <v>2499.1000000000004</v>
      </c>
      <c r="F73" s="53" t="str">
        <f>IF($E$6="","",IF($E$4&gt;=($E$6/2),"Ineligible",Sheet1!D69))</f>
        <v>Ineligible</v>
      </c>
      <c r="G73" s="64">
        <f>IF($E$6="","",IF(AND($E$2&gt;20455,$E$2&lt;22283),Sheet1!E65,IF(AND($E$2&gt;20090,$E$2&lt;22648),Sheet1!E67,Sheet1!E69)))</f>
        <v>948.5</v>
      </c>
    </row>
    <row r="74" spans="1:8" s="10" customFormat="1" ht="12" customHeight="1">
      <c r="A74" s="22">
        <v>16</v>
      </c>
      <c r="B74" s="34" t="str">
        <f t="shared" si="7"/>
        <v/>
      </c>
      <c r="C74" s="57">
        <f>IF($E$2="","",Sheet1!F70)</f>
        <v>43821</v>
      </c>
      <c r="D74" s="58"/>
      <c r="E74" s="54">
        <f>IF($E$4="","",Sheet1!C70)</f>
        <v>2483.9</v>
      </c>
      <c r="F74" s="53" t="str">
        <f>IF($E$6="","",IF($E$4&gt;=($E$6/2),"Ineligible",Sheet1!D70))</f>
        <v>Ineligible</v>
      </c>
      <c r="G74" s="64">
        <f>IF($E$6="","",IF(AND($E$2&gt;20455,$E$2&lt;22283),Sheet1!E66,IF(AND($E$2&gt;20090,$E$2&lt;22648),Sheet1!E68,Sheet1!E70)))</f>
        <v>944.5</v>
      </c>
    </row>
    <row r="75" spans="1:8" s="10" customFormat="1" ht="12" customHeight="1">
      <c r="A75" s="22">
        <v>17</v>
      </c>
      <c r="B75" s="34" t="str">
        <f t="shared" si="7"/>
        <v/>
      </c>
      <c r="C75" s="57">
        <f>IF($E$2="","",Sheet1!F71)</f>
        <v>43791</v>
      </c>
      <c r="D75" s="58"/>
      <c r="E75" s="54">
        <f>IF($E$4="","",Sheet1!C71)</f>
        <v>2468.8000000000002</v>
      </c>
      <c r="F75" s="53" t="str">
        <f>IF($E$6="","",IF($E$4&gt;=($E$6/2),"Ineligible",Sheet1!D71))</f>
        <v>Ineligible</v>
      </c>
      <c r="G75" s="64">
        <f>IF($E$6="","",IF(AND($E$2&gt;20455,$E$2&lt;22283),Sheet1!E67,IF(AND($E$2&gt;20090,$E$2&lt;22648),Sheet1!E69,Sheet1!E71)))</f>
        <v>940.6</v>
      </c>
      <c r="H75" s="92"/>
    </row>
    <row r="76" spans="1:8" s="10" customFormat="1" ht="12" customHeight="1">
      <c r="A76" s="22">
        <v>18</v>
      </c>
      <c r="B76" s="34" t="str">
        <f t="shared" si="7"/>
        <v/>
      </c>
      <c r="C76" s="57">
        <f>IF($E$2="","",Sheet1!F72)</f>
        <v>43760</v>
      </c>
      <c r="D76" s="58"/>
      <c r="E76" s="54">
        <f>IF($E$4="","",Sheet1!C72)</f>
        <v>2453.6000000000004</v>
      </c>
      <c r="F76" s="53" t="str">
        <f>IF($E$6="","",IF($E$4&gt;=($E$6/2),"Ineligible",Sheet1!D72))</f>
        <v>Ineligible</v>
      </c>
      <c r="G76" s="64">
        <f>IF($E$6="","",IF(AND($E$2&gt;20455,$E$2&lt;22283),Sheet1!E68,IF(AND($E$2&gt;20090,$E$2&lt;22648),Sheet1!E70,Sheet1!E72)))</f>
        <v>936.6</v>
      </c>
      <c r="H76" s="92"/>
    </row>
    <row r="77" spans="1:8" s="10" customFormat="1" ht="12" customHeight="1">
      <c r="A77" s="22">
        <v>19</v>
      </c>
      <c r="B77" s="34" t="str">
        <f t="shared" si="7"/>
        <v/>
      </c>
      <c r="C77" s="57">
        <f>IF($E$2="","",Sheet1!F73)</f>
        <v>43730</v>
      </c>
      <c r="D77" s="58"/>
      <c r="E77" s="54">
        <f>IF($E$4="","",Sheet1!C73)</f>
        <v>2438.5</v>
      </c>
      <c r="F77" s="53" t="str">
        <f>IF($E$6="","",IF($E$4&gt;=($E$6/2),"Ineligible",Sheet1!D73))</f>
        <v>Ineligible</v>
      </c>
      <c r="G77" s="64">
        <f>IF($E$6="","",IF(AND($E$2&gt;20455,$E$2&lt;22283),Sheet1!E69,IF(AND($E$2&gt;20090,$E$2&lt;22648),Sheet1!E71,Sheet1!E73)))</f>
        <v>932.7</v>
      </c>
      <c r="H77" s="92"/>
    </row>
    <row r="78" spans="1:8" s="10" customFormat="1" ht="12" customHeight="1">
      <c r="A78" s="22">
        <v>20</v>
      </c>
      <c r="B78" s="34" t="str">
        <f t="shared" si="7"/>
        <v/>
      </c>
      <c r="C78" s="57">
        <f>IF($E$2="","",Sheet1!F74)</f>
        <v>43699</v>
      </c>
      <c r="D78" s="58"/>
      <c r="E78" s="54">
        <f>IF($E$4="","",Sheet1!C74)</f>
        <v>2423.3000000000002</v>
      </c>
      <c r="F78" s="53" t="str">
        <f>IF($E$6="","",IF($E$4&gt;=($E$6/2),"Ineligible",Sheet1!D74))</f>
        <v>Ineligible</v>
      </c>
      <c r="G78" s="64">
        <f>IF($E$6="","",IF(AND($E$2&gt;20455,$E$2&lt;22283),Sheet1!E70,IF(AND($E$2&gt;20090,$E$2&lt;22648),Sheet1!E72,Sheet1!E74)))</f>
        <v>928.7</v>
      </c>
      <c r="H78" s="92"/>
    </row>
    <row r="79" spans="1:8" s="10" customFormat="1" ht="12" customHeight="1">
      <c r="A79" s="22">
        <v>21</v>
      </c>
      <c r="B79" s="34" t="str">
        <f t="shared" si="7"/>
        <v/>
      </c>
      <c r="C79" s="57">
        <f>IF($E$2="","",Sheet1!F75)</f>
        <v>43668</v>
      </c>
      <c r="D79" s="58"/>
      <c r="E79" s="54">
        <f>IF($E$4="","",Sheet1!C75)</f>
        <v>2408.2000000000003</v>
      </c>
      <c r="F79" s="53" t="str">
        <f>IF($E$6="","",IF($E$4&gt;=($E$6/2),"Ineligible",Sheet1!D75))</f>
        <v>Ineligible</v>
      </c>
      <c r="G79" s="64">
        <f>IF($E$6="","",IF(AND($E$2&gt;20455,$E$2&lt;22283),Sheet1!E71,IF(AND($E$2&gt;20090,$E$2&lt;22648),Sheet1!E73,Sheet1!E75)))</f>
        <v>924.7</v>
      </c>
      <c r="H79" s="92"/>
    </row>
    <row r="80" spans="1:8" s="10" customFormat="1" ht="12" customHeight="1">
      <c r="A80" s="22">
        <v>22</v>
      </c>
      <c r="B80" s="34" t="str">
        <f t="shared" si="7"/>
        <v/>
      </c>
      <c r="C80" s="57">
        <f>IF($E$2="","",Sheet1!F76)</f>
        <v>43638</v>
      </c>
      <c r="D80" s="58"/>
      <c r="E80" s="54">
        <f>IF($E$4="","",Sheet1!C76)</f>
        <v>2393</v>
      </c>
      <c r="F80" s="53" t="str">
        <f>IF($E$6="","",IF($E$4&gt;=($E$6/2),"Ineligible",Sheet1!D76))</f>
        <v>Ineligible</v>
      </c>
      <c r="G80" s="64">
        <f>IF($E$6="","",IF(AND($E$2&gt;20455,$E$2&lt;22283),Sheet1!E72,IF(AND($E$2&gt;20090,$E$2&lt;22648),Sheet1!E74,Sheet1!E76)))</f>
        <v>920.8</v>
      </c>
      <c r="H80" s="92"/>
    </row>
    <row r="81" spans="1:8" s="10" customFormat="1" ht="12" customHeight="1">
      <c r="A81" s="22">
        <v>23</v>
      </c>
      <c r="B81" s="34" t="str">
        <f>IF(C81=EDATE($E$2,780),"Age 65",(IF(C81=EDATE($E$2,768),"Age 64","")))</f>
        <v/>
      </c>
      <c r="C81" s="57">
        <f>IF($E$2="","",Sheet1!F77)</f>
        <v>43607</v>
      </c>
      <c r="D81" s="58"/>
      <c r="E81" s="54">
        <f>IF($E$4="","",Sheet1!C77)</f>
        <v>2377.9</v>
      </c>
      <c r="F81" s="53" t="str">
        <f>IF($E$6="","",IF($E$4&gt;=($E$6/2),"Ineligible",Sheet1!D77))</f>
        <v>Ineligible</v>
      </c>
      <c r="G81" s="64">
        <f>IF($E$6="","",IF(AND($E$2&gt;20455,$E$2&lt;22283),Sheet1!E73,IF(AND($E$2&gt;20090,$E$2&lt;22648),Sheet1!E75,Sheet1!E77)))</f>
        <v>916.8</v>
      </c>
      <c r="H81" s="92"/>
    </row>
    <row r="82" spans="1:8" s="10" customFormat="1" ht="12" customHeight="1">
      <c r="A82" s="22">
        <v>24</v>
      </c>
      <c r="B82" s="34" t="str">
        <f>IF(C82=EDATE($E$2,780),"Age 65",(IF(C82=EDATE($E$2,768),"Age 64","")))</f>
        <v/>
      </c>
      <c r="C82" s="59">
        <f>IF($E$2="","",Sheet1!F78)</f>
        <v>43577</v>
      </c>
      <c r="D82" s="60"/>
      <c r="E82" s="55">
        <f>IF($E$4="","",Sheet1!C78)</f>
        <v>2362.7000000000003</v>
      </c>
      <c r="F82" s="70" t="str">
        <f>IF($E$6="","",IF($E$4&gt;=($E$6/2),"Ineligible",Sheet1!D78))</f>
        <v>Ineligible</v>
      </c>
      <c r="G82" s="65">
        <f>IF($E$6="","",IF(AND($E$2&gt;20455,$E$2&lt;22283),Sheet1!E74,IF(AND($E$2&gt;20090,$E$2&lt;22648),Sheet1!E76,Sheet1!E78)))</f>
        <v>912.9</v>
      </c>
      <c r="H82" s="92"/>
    </row>
    <row r="83" spans="1:8" s="10" customFormat="1" ht="12" customHeight="1">
      <c r="A83" s="22">
        <v>25</v>
      </c>
      <c r="B83" s="34" t="str">
        <f t="shared" ref="B83:B92" si="8">IF(C83=EDATE($E$2,768),"Age 64","")</f>
        <v/>
      </c>
      <c r="C83" s="57">
        <f>IF($E$2="","",Sheet1!F79)</f>
        <v>43546</v>
      </c>
      <c r="D83" s="58"/>
      <c r="E83" s="54">
        <f>IF($E$4="","",Sheet1!C79)</f>
        <v>2347.6000000000004</v>
      </c>
      <c r="F83" s="53" t="str">
        <f>IF($E$6="","",IF($E$4&gt;=($E$6/2),"Ineligible",Sheet1!D79))</f>
        <v>Ineligible</v>
      </c>
      <c r="G83" s="64">
        <f>IF($E$6="","",IF(AND($E$2&gt;20455,$E$2&lt;22283),Sheet1!E75,IF(AND($E$2&gt;20090,$E$2&lt;22648),Sheet1!E77,Sheet1!E79)))</f>
        <v>908.9</v>
      </c>
      <c r="H83" s="92"/>
    </row>
    <row r="84" spans="1:8" s="10" customFormat="1" ht="12" customHeight="1">
      <c r="A84" s="22">
        <v>26</v>
      </c>
      <c r="B84" s="34" t="str">
        <f t="shared" si="8"/>
        <v>Age 64</v>
      </c>
      <c r="C84" s="57">
        <f>IF($E$2="","",Sheet1!F80)</f>
        <v>43518</v>
      </c>
      <c r="D84" s="58"/>
      <c r="E84" s="54">
        <f>IF($E$4="","",Sheet1!C80)</f>
        <v>2332.5</v>
      </c>
      <c r="F84" s="53" t="str">
        <f>IF($E$6="","",IF($E$4&gt;=($E$6/2),"Ineligible",Sheet1!D80))</f>
        <v>Ineligible</v>
      </c>
      <c r="G84" s="64">
        <f>IF($E$6="","",IF(AND($E$2&gt;20455,$E$2&lt;22283),Sheet1!E76,IF(AND($E$2&gt;20090,$E$2&lt;22648),Sheet1!E78,Sheet1!E80)))</f>
        <v>905</v>
      </c>
      <c r="H84" s="92"/>
    </row>
    <row r="85" spans="1:8" s="10" customFormat="1" ht="12" customHeight="1">
      <c r="A85" s="22">
        <v>27</v>
      </c>
      <c r="B85" s="34" t="str">
        <f t="shared" si="8"/>
        <v/>
      </c>
      <c r="C85" s="57">
        <f>IF($E$2="","",Sheet1!F81)</f>
        <v>43487</v>
      </c>
      <c r="D85" s="58"/>
      <c r="E85" s="54">
        <f>IF($E$4="","",Sheet1!C81)</f>
        <v>2317.3000000000002</v>
      </c>
      <c r="F85" s="53" t="str">
        <f>IF($E$6="","",IF($E$4&gt;=($E$6/2),"Ineligible",Sheet1!D81))</f>
        <v>Ineligible</v>
      </c>
      <c r="G85" s="64">
        <f>IF($E$6="","",IF(AND($E$2&gt;20455,$E$2&lt;22283),Sheet1!E77,IF(AND($E$2&gt;20090,$E$2&lt;22648),Sheet1!E79,Sheet1!E81)))</f>
        <v>901</v>
      </c>
      <c r="H85" s="92"/>
    </row>
    <row r="86" spans="1:8" s="10" customFormat="1" ht="12" customHeight="1">
      <c r="A86" s="22">
        <v>28</v>
      </c>
      <c r="B86" s="34" t="str">
        <f t="shared" si="8"/>
        <v/>
      </c>
      <c r="C86" s="57">
        <f>IF($E$2="","",Sheet1!F82)</f>
        <v>43456</v>
      </c>
      <c r="D86" s="58"/>
      <c r="E86" s="54">
        <f>IF($E$4="","",Sheet1!C82)</f>
        <v>2302.2000000000003</v>
      </c>
      <c r="F86" s="53" t="str">
        <f>IF($E$6="","",IF($E$4&gt;=($E$6/2),"Ineligible",Sheet1!D82))</f>
        <v>Ineligible</v>
      </c>
      <c r="G86" s="64">
        <f>IF($E$6="","",IF(AND($E$2&gt;20455,$E$2&lt;22283),Sheet1!E78,IF(AND($E$2&gt;20090,$E$2&lt;22648),Sheet1!E80,Sheet1!E82)))</f>
        <v>897</v>
      </c>
      <c r="H86" s="92"/>
    </row>
    <row r="87" spans="1:8" s="10" customFormat="1" ht="12" customHeight="1">
      <c r="A87" s="22">
        <v>29</v>
      </c>
      <c r="B87" s="34" t="str">
        <f t="shared" si="8"/>
        <v/>
      </c>
      <c r="C87" s="57">
        <f>IF($E$2="","",Sheet1!F83)</f>
        <v>43426</v>
      </c>
      <c r="D87" s="58"/>
      <c r="E87" s="54">
        <f>IF($E$4="","",Sheet1!C83)</f>
        <v>2287</v>
      </c>
      <c r="F87" s="53" t="str">
        <f>IF($E$6="","",IF($E$4&gt;=($E$6/2),"Ineligible",Sheet1!D83))</f>
        <v>Ineligible</v>
      </c>
      <c r="G87" s="64">
        <f>IF($E$6="","",IF(AND($E$2&gt;20455,$E$2&lt;22283),Sheet1!E79,IF(AND($E$2&gt;20090,$E$2&lt;22648),Sheet1!E81,Sheet1!E83)))</f>
        <v>893.1</v>
      </c>
      <c r="H87" s="92"/>
    </row>
    <row r="88" spans="1:8" s="10" customFormat="1" ht="12" customHeight="1">
      <c r="A88" s="22">
        <v>30</v>
      </c>
      <c r="B88" s="34" t="str">
        <f t="shared" si="8"/>
        <v/>
      </c>
      <c r="C88" s="57">
        <f>IF($E$2="","",Sheet1!F84)</f>
        <v>43395</v>
      </c>
      <c r="D88" s="58"/>
      <c r="E88" s="54">
        <f>IF($E$4="","",Sheet1!C84)</f>
        <v>2271.9</v>
      </c>
      <c r="F88" s="53" t="str">
        <f>IF($E$6="","",IF($E$4&gt;=($E$6/2),"Ineligible",Sheet1!D84))</f>
        <v>Ineligible</v>
      </c>
      <c r="G88" s="64">
        <f>IF($E$6="","",IF(AND($E$2&gt;20455,$E$2&lt;22283),Sheet1!E80,IF(AND($E$2&gt;20090,$E$2&lt;22648),Sheet1!E82,Sheet1!E84)))</f>
        <v>889.1</v>
      </c>
      <c r="H88" s="92"/>
    </row>
    <row r="89" spans="1:8" s="10" customFormat="1" ht="12" customHeight="1">
      <c r="A89" s="22">
        <v>31</v>
      </c>
      <c r="B89" s="34" t="str">
        <f t="shared" si="8"/>
        <v/>
      </c>
      <c r="C89" s="57">
        <f>IF($E$2="","",Sheet1!F85)</f>
        <v>43365</v>
      </c>
      <c r="D89" s="58"/>
      <c r="E89" s="54">
        <f>IF($E$4="","",Sheet1!C85)</f>
        <v>2256.7000000000003</v>
      </c>
      <c r="F89" s="53" t="str">
        <f>IF($E$6="","",IF($E$4&gt;=($E$6/2),"Ineligible",Sheet1!D85))</f>
        <v>Ineligible</v>
      </c>
      <c r="G89" s="64">
        <f>IF($E$6="","",IF(AND($E$2&gt;20455,$E$2&lt;22283),Sheet1!E81,IF(AND($E$2&gt;20090,$E$2&lt;22648),Sheet1!E83,Sheet1!E85)))</f>
        <v>885.2</v>
      </c>
      <c r="H89" s="92"/>
    </row>
    <row r="90" spans="1:8" s="10" customFormat="1" ht="12" customHeight="1">
      <c r="A90" s="22">
        <v>32</v>
      </c>
      <c r="B90" s="34" t="str">
        <f t="shared" si="8"/>
        <v/>
      </c>
      <c r="C90" s="57">
        <f>IF($E$2="","",Sheet1!F86)</f>
        <v>43334</v>
      </c>
      <c r="D90" s="58"/>
      <c r="E90" s="54">
        <f>IF($E$4="","",Sheet1!C86)</f>
        <v>2241.6000000000004</v>
      </c>
      <c r="F90" s="53" t="str">
        <f>IF($E$6="","",IF($E$4&gt;=($E$6/2),"Ineligible",Sheet1!D86))</f>
        <v>Ineligible</v>
      </c>
      <c r="G90" s="64">
        <f>IF($E$6="","",IF(AND($E$2&gt;20455,$E$2&lt;22283),Sheet1!E82,IF(AND($E$2&gt;20090,$E$2&lt;22648),Sheet1!E84,Sheet1!E86)))</f>
        <v>881.2</v>
      </c>
      <c r="H90" s="92"/>
    </row>
    <row r="91" spans="1:8" s="10" customFormat="1" ht="12" customHeight="1">
      <c r="A91" s="22">
        <v>33</v>
      </c>
      <c r="B91" s="34" t="str">
        <f t="shared" si="8"/>
        <v/>
      </c>
      <c r="C91" s="57">
        <f>IF($E$2="","",Sheet1!F87)</f>
        <v>43303</v>
      </c>
      <c r="D91" s="58"/>
      <c r="E91" s="54">
        <f>IF($E$4="","",Sheet1!C87)</f>
        <v>2226.4</v>
      </c>
      <c r="F91" s="53" t="str">
        <f>IF($E$6="","",IF($E$4&gt;=($E$6/2),"Ineligible",Sheet1!D87))</f>
        <v>Ineligible</v>
      </c>
      <c r="G91" s="64">
        <f>IF($E$6="","",IF(AND($E$2&gt;20455,$E$2&lt;22283),Sheet1!E83,IF(AND($E$2&gt;20090,$E$2&lt;22648),Sheet1!E85,Sheet1!E87)))</f>
        <v>877.2</v>
      </c>
      <c r="H91" s="92"/>
    </row>
    <row r="92" spans="1:8" s="10" customFormat="1" ht="12" customHeight="1">
      <c r="A92" s="22">
        <v>34</v>
      </c>
      <c r="B92" s="34" t="str">
        <f t="shared" si="8"/>
        <v/>
      </c>
      <c r="C92" s="57">
        <f>IF($E$2="","",Sheet1!F88)</f>
        <v>43273</v>
      </c>
      <c r="D92" s="58"/>
      <c r="E92" s="54">
        <f>IF($E$4="","",Sheet1!C88)</f>
        <v>2211.3000000000002</v>
      </c>
      <c r="F92" s="53" t="str">
        <f>IF($E$6="","",IF($E$4&gt;=($E$6/2),"Ineligible",Sheet1!D88))</f>
        <v>Ineligible</v>
      </c>
      <c r="G92" s="64">
        <f>IF($E$6="","",IF(AND($E$2&gt;20455,$E$2&lt;22283),Sheet1!E84,IF(AND($E$2&gt;20090,$E$2&lt;22648),Sheet1!E86,Sheet1!E88)))</f>
        <v>873.3</v>
      </c>
      <c r="H92" s="92"/>
    </row>
    <row r="93" spans="1:8" s="10" customFormat="1" ht="12" customHeight="1">
      <c r="A93" s="22">
        <v>35</v>
      </c>
      <c r="B93" s="34" t="str">
        <f>IF(C93=EDATE($E$2,768),"Age 64",(IF(C93=EDATE($E$2,756),"Age 63","")))</f>
        <v/>
      </c>
      <c r="C93" s="57">
        <f>IF($E$2="","",Sheet1!F89)</f>
        <v>43242</v>
      </c>
      <c r="D93" s="58"/>
      <c r="E93" s="54">
        <f>IF($E$4="","",Sheet1!C89)</f>
        <v>2196.1000000000004</v>
      </c>
      <c r="F93" s="53" t="str">
        <f>IF($E$6="","",IF($E$4&gt;=($E$6/2),"Ineligible",Sheet1!D89))</f>
        <v>Ineligible</v>
      </c>
      <c r="G93" s="64">
        <f>IF($E$6="","",IF(AND($E$2&gt;20455,$E$2&lt;22283),Sheet1!E85,IF(AND($E$2&gt;20090,$E$2&lt;22648),Sheet1!E87,Sheet1!E89)))</f>
        <v>869.3</v>
      </c>
      <c r="H93" s="92"/>
    </row>
    <row r="94" spans="1:8" s="10" customFormat="1" ht="12" customHeight="1">
      <c r="A94" s="22">
        <v>36</v>
      </c>
      <c r="B94" s="34" t="str">
        <f>IF(C94=EDATE($E$2,768),"Age 64",(IF(C94=EDATE($E$2,756),"Age 63","")))</f>
        <v/>
      </c>
      <c r="C94" s="59">
        <f>IF($E$2="","",Sheet1!F90)</f>
        <v>43212</v>
      </c>
      <c r="D94" s="60"/>
      <c r="E94" s="55">
        <f>IF($E$4="","",Sheet1!C90)</f>
        <v>2181</v>
      </c>
      <c r="F94" s="70" t="str">
        <f>IF($E$6="","",IF($E$4&gt;=($E$6/2),"Ineligible",Sheet1!D90))</f>
        <v>Ineligible</v>
      </c>
      <c r="G94" s="65">
        <f>IF($E$6="","",IF(AND($E$2&gt;20455,$E$2&lt;22283),Sheet1!E86,IF(AND($E$2&gt;20090,$E$2&lt;22648),Sheet1!E88,Sheet1!E90)))</f>
        <v>865.4</v>
      </c>
      <c r="H94" s="92"/>
    </row>
    <row r="95" spans="1:8" s="10" customFormat="1" ht="12" customHeight="1">
      <c r="A95" s="22">
        <v>37</v>
      </c>
      <c r="B95" s="34" t="str">
        <f t="shared" ref="B95:B104" si="9">IF(C95=EDATE($E$2,756),"Age 63","")</f>
        <v/>
      </c>
      <c r="C95" s="57">
        <f>IF($E$2="","",Sheet1!F91)</f>
        <v>43181</v>
      </c>
      <c r="D95" s="58"/>
      <c r="E95" s="54">
        <f>IF($E$4="","",Sheet1!C91)</f>
        <v>2169.6</v>
      </c>
      <c r="F95" s="53" t="str">
        <f>IF($E$6="","",IF($E$4&gt;=($E$6/2),"Ineligible",Sheet1!D91))</f>
        <v>Ineligible</v>
      </c>
      <c r="G95" s="64">
        <f>IF($E$6="","",IF(AND($E$2&gt;20455,$E$2&lt;22283),Sheet1!E87,IF(AND($E$2&gt;20090,$E$2&lt;22648),Sheet1!E89,Sheet1!E91)))</f>
        <v>861.4</v>
      </c>
      <c r="H95" s="92"/>
    </row>
    <row r="96" spans="1:8" s="10" customFormat="1" ht="12" customHeight="1">
      <c r="A96" s="22">
        <v>38</v>
      </c>
      <c r="B96" s="34" t="str">
        <f t="shared" si="9"/>
        <v>Age 63</v>
      </c>
      <c r="C96" s="57">
        <f>IF($E$2="","",Sheet1!F92)</f>
        <v>43153</v>
      </c>
      <c r="D96" s="58"/>
      <c r="E96" s="54">
        <f>IF($E$4="","",Sheet1!C92)</f>
        <v>2158.3000000000002</v>
      </c>
      <c r="F96" s="53" t="str">
        <f>IF($E$6="","",IF($E$4&gt;=($E$6/2),"Ineligible",Sheet1!D92))</f>
        <v>Ineligible</v>
      </c>
      <c r="G96" s="64">
        <f>IF($E$6="","",IF(AND($E$2&gt;20455,$E$2&lt;22283),Sheet1!E88,IF(AND($E$2&gt;20090,$E$2&lt;22648),Sheet1!E90,Sheet1!E92)))</f>
        <v>857.5</v>
      </c>
      <c r="H96" s="92"/>
    </row>
    <row r="97" spans="1:8" s="10" customFormat="1" ht="12" customHeight="1">
      <c r="A97" s="22">
        <v>39</v>
      </c>
      <c r="B97" s="34" t="str">
        <f t="shared" si="9"/>
        <v/>
      </c>
      <c r="C97" s="57">
        <f>IF($E$2="","",Sheet1!F93)</f>
        <v>43122</v>
      </c>
      <c r="D97" s="58"/>
      <c r="E97" s="54">
        <f>IF($E$4="","",Sheet1!C93)</f>
        <v>2146.9</v>
      </c>
      <c r="F97" s="53" t="str">
        <f>IF($E$6="","",IF($E$4&gt;=($E$6/2),"Ineligible",Sheet1!D93))</f>
        <v>Ineligible</v>
      </c>
      <c r="G97" s="64">
        <f>IF($E$6="","",IF(AND($E$2&gt;20455,$E$2&lt;22283),Sheet1!E89,IF(AND($E$2&gt;20090,$E$2&lt;22648),Sheet1!E91,Sheet1!E93)))</f>
        <v>853.5</v>
      </c>
      <c r="H97" s="92"/>
    </row>
    <row r="98" spans="1:8" s="10" customFormat="1" ht="12" customHeight="1">
      <c r="A98" s="22">
        <v>40</v>
      </c>
      <c r="B98" s="34" t="str">
        <f t="shared" si="9"/>
        <v/>
      </c>
      <c r="C98" s="57">
        <f>IF($E$2="","",Sheet1!F94)</f>
        <v>43091</v>
      </c>
      <c r="D98" s="58"/>
      <c r="E98" s="54">
        <f>IF($E$4="","",Sheet1!C94)</f>
        <v>2135.6</v>
      </c>
      <c r="F98" s="53" t="str">
        <f>IF($E$6="","",IF($E$4&gt;=($E$6/2),"Ineligible",Sheet1!D94))</f>
        <v>Ineligible</v>
      </c>
      <c r="G98" s="64">
        <f>IF($E$6="","",IF(AND($E$2&gt;20455,$E$2&lt;22283),Sheet1!E90,IF(AND($E$2&gt;20090,$E$2&lt;22648),Sheet1!E92,Sheet1!E94)))</f>
        <v>849.5</v>
      </c>
      <c r="H98" s="92"/>
    </row>
    <row r="99" spans="1:8" s="10" customFormat="1" ht="12" customHeight="1">
      <c r="A99" s="22">
        <v>41</v>
      </c>
      <c r="B99" s="34" t="str">
        <f t="shared" si="9"/>
        <v/>
      </c>
      <c r="C99" s="57">
        <f>IF($E$2="","",Sheet1!F95)</f>
        <v>43061</v>
      </c>
      <c r="D99" s="58"/>
      <c r="E99" s="54">
        <f>IF($E$4="","",Sheet1!C95)</f>
        <v>2124.1999999999998</v>
      </c>
      <c r="F99" s="53" t="str">
        <f>IF($E$6="","",IF($E$4&gt;=($E$6/2),"Ineligible",Sheet1!D95))</f>
        <v>Ineligible</v>
      </c>
      <c r="G99" s="64">
        <f>IF($E$6="","",IF(AND($E$2&gt;20455,$E$2&lt;22283),Sheet1!E91,IF(AND($E$2&gt;20090,$E$2&lt;22648),Sheet1!E93,Sheet1!E95)))</f>
        <v>845.6</v>
      </c>
      <c r="H99" s="92"/>
    </row>
    <row r="100" spans="1:8" s="10" customFormat="1" ht="12" customHeight="1">
      <c r="A100" s="22">
        <v>42</v>
      </c>
      <c r="B100" s="34" t="str">
        <f t="shared" si="9"/>
        <v/>
      </c>
      <c r="C100" s="57">
        <f>IF($E$2="","",Sheet1!F96)</f>
        <v>43030</v>
      </c>
      <c r="D100" s="58"/>
      <c r="E100" s="54">
        <f>IF($E$4="","",Sheet1!C96)</f>
        <v>2112.8000000000002</v>
      </c>
      <c r="F100" s="53" t="str">
        <f>IF($E$6="","",IF($E$4&gt;=($E$6/2),"Ineligible",Sheet1!D96))</f>
        <v>Ineligible</v>
      </c>
      <c r="G100" s="64">
        <f>IF($E$6="","",IF(AND($E$2&gt;20455,$E$2&lt;22283),Sheet1!E92,IF(AND($E$2&gt;20090,$E$2&lt;22648),Sheet1!E94,Sheet1!E96)))</f>
        <v>841.6</v>
      </c>
      <c r="H100" s="92"/>
    </row>
    <row r="101" spans="1:8" s="10" customFormat="1" ht="12" customHeight="1">
      <c r="A101" s="22">
        <v>43</v>
      </c>
      <c r="B101" s="34" t="str">
        <f t="shared" si="9"/>
        <v/>
      </c>
      <c r="C101" s="57">
        <f>IF($E$2="","",Sheet1!F97)</f>
        <v>43000</v>
      </c>
      <c r="D101" s="58"/>
      <c r="E101" s="54">
        <f>IF($E$4="","",Sheet1!C97)</f>
        <v>2101.5</v>
      </c>
      <c r="F101" s="53" t="str">
        <f>IF($E$6="","",IF($E$4&gt;=($E$6/2),"Ineligible",Sheet1!D97))</f>
        <v>Ineligible</v>
      </c>
      <c r="G101" s="64">
        <f>IF($E$6="","",IF(AND($E$2&gt;20455,$E$2&lt;22283),Sheet1!E93,IF(AND($E$2&gt;20090,$E$2&lt;22648),Sheet1!E95,Sheet1!E97)))</f>
        <v>837.7</v>
      </c>
      <c r="H101" s="92"/>
    </row>
    <row r="102" spans="1:8" s="10" customFormat="1" ht="12" customHeight="1">
      <c r="A102" s="22">
        <v>44</v>
      </c>
      <c r="B102" s="34" t="str">
        <f t="shared" si="9"/>
        <v/>
      </c>
      <c r="C102" s="57">
        <f>IF($E$2="","",Sheet1!F98)</f>
        <v>42969</v>
      </c>
      <c r="D102" s="58"/>
      <c r="E102" s="54">
        <f>IF($E$4="","",Sheet1!C98)</f>
        <v>2090.1</v>
      </c>
      <c r="F102" s="53" t="str">
        <f>IF($E$6="","",IF($E$4&gt;=($E$6/2),"Ineligible",Sheet1!D98))</f>
        <v>Ineligible</v>
      </c>
      <c r="G102" s="64">
        <f>IF($E$6="","",IF(AND($E$2&gt;20455,$E$2&lt;22283),Sheet1!E94,IF(AND($E$2&gt;20090,$E$2&lt;22648),Sheet1!E96,Sheet1!E98)))</f>
        <v>833.7</v>
      </c>
      <c r="H102" s="92"/>
    </row>
    <row r="103" spans="1:8" s="10" customFormat="1" ht="12" customHeight="1">
      <c r="A103" s="22">
        <v>45</v>
      </c>
      <c r="B103" s="34" t="str">
        <f t="shared" si="9"/>
        <v/>
      </c>
      <c r="C103" s="57">
        <f>IF($E$2="","",Sheet1!F99)</f>
        <v>42938</v>
      </c>
      <c r="D103" s="58"/>
      <c r="E103" s="54">
        <f>IF($E$4="","",Sheet1!C99)</f>
        <v>2078.8000000000002</v>
      </c>
      <c r="F103" s="53" t="str">
        <f>IF($E$6="","",IF($E$4&gt;=($E$6/2),"Ineligible",Sheet1!D99))</f>
        <v>Ineligible</v>
      </c>
      <c r="G103" s="64">
        <f>IF($E$6="","",IF(AND($E$2&gt;20455,$E$2&lt;22283),Sheet1!E95,IF(AND($E$2&gt;20090,$E$2&lt;22648),Sheet1!E97,Sheet1!E99)))</f>
        <v>829.7</v>
      </c>
    </row>
    <row r="104" spans="1:8" s="10" customFormat="1" ht="12" customHeight="1">
      <c r="A104" s="22">
        <v>46</v>
      </c>
      <c r="B104" s="34" t="str">
        <f t="shared" si="9"/>
        <v/>
      </c>
      <c r="C104" s="57">
        <f>IF($E$2="","",Sheet1!F100)</f>
        <v>42908</v>
      </c>
      <c r="D104" s="58"/>
      <c r="E104" s="54">
        <f>IF($E$4="","",Sheet1!C100)</f>
        <v>2067.4</v>
      </c>
      <c r="F104" s="53" t="str">
        <f>IF($E$6="","",IF($E$4&gt;=($E$6/2),"Ineligible",Sheet1!D100))</f>
        <v>Ineligible</v>
      </c>
      <c r="G104" s="64">
        <f>IF($E$6="","",IF(AND($E$2&gt;20455,$E$2&lt;22283),Sheet1!E96,IF(AND($E$2&gt;20090,$E$2&lt;22648),Sheet1!E98,Sheet1!E100)))</f>
        <v>825.8</v>
      </c>
    </row>
    <row r="105" spans="1:8" s="10" customFormat="1" ht="12" customHeight="1">
      <c r="A105" s="22">
        <v>47</v>
      </c>
      <c r="B105" s="34" t="str">
        <f>IF(C105=EDATE($E$2,756),"Age 63",(IF(C105=EDATE($E$2,744),"Age 62","")))</f>
        <v/>
      </c>
      <c r="C105" s="57">
        <f>IF($E$2="","",Sheet1!F101)</f>
        <v>42877</v>
      </c>
      <c r="D105" s="58"/>
      <c r="E105" s="54">
        <f>IF($E$4="","",Sheet1!C101)</f>
        <v>2056</v>
      </c>
      <c r="F105" s="53" t="str">
        <f>IF($E$6="","",IF($E$4&gt;=($E$6/2),"Ineligible",Sheet1!D101))</f>
        <v>Ineligible</v>
      </c>
      <c r="G105" s="64">
        <f>IF($E$6="","",IF(AND($E$2&gt;20455,$E$2&lt;22283),Sheet1!E97,IF(AND($E$2&gt;20090,$E$2&lt;22648),Sheet1!E99,Sheet1!E101)))</f>
        <v>821.8</v>
      </c>
    </row>
    <row r="106" spans="1:8" s="10" customFormat="1" ht="12" customHeight="1">
      <c r="A106" s="22">
        <v>48</v>
      </c>
      <c r="B106" s="34" t="str">
        <f>IF(C106=EDATE($E$2,756),"Age 63",(IF(C106=EDATE($E$2,744),"Age 62","")))</f>
        <v/>
      </c>
      <c r="C106" s="59">
        <f>IF($E$2="","",Sheet1!F102)</f>
        <v>42847</v>
      </c>
      <c r="D106" s="60"/>
      <c r="E106" s="55">
        <f>IF($E$4="","",IF(Sheet1!H3=2,Sheet1!C102,IF($G$2&gt;C107,"",Sheet1!C102)))</f>
        <v>2044.7</v>
      </c>
      <c r="F106" s="55" t="str">
        <f>IF(AND(B106="age 62",Sheet1!$H$3&gt;2),"",IF(OR($E$6="",C106&lt;$G$2),"",IF($E$4&gt;=($E$6/2),"Ineligible",Sheet1!D102)))</f>
        <v>Ineligible</v>
      </c>
      <c r="G106" s="65">
        <f>IF($E$6="","",IF(AND($E$2&gt;20455,$E$2&lt;22283),Sheet1!E98,IF(AND($E$2&gt;20090,$E$2&lt;22648),Sheet1!E100,Sheet1!E102)))</f>
        <v>817.9</v>
      </c>
    </row>
    <row r="107" spans="1:8" s="10" customFormat="1" ht="12" customHeight="1">
      <c r="A107" s="22">
        <v>49</v>
      </c>
      <c r="B107" s="34" t="str">
        <f t="shared" ref="B107:B116" si="10">IF(C107=$G$2,"Age 62","")</f>
        <v/>
      </c>
      <c r="C107" s="57">
        <f>IF($E$2="","",Sheet1!F103)</f>
        <v>42816</v>
      </c>
      <c r="D107" s="58"/>
      <c r="E107" s="54">
        <f>IF($E$4="","",IF(AND(B107="Age 62",Sheet1!$H$3&lt;3),Sheet1!C103,IF($G$2&gt;C108,"",Sheet1!C103)))</f>
        <v>2033.3</v>
      </c>
      <c r="F107" s="54" t="str">
        <f>IF(AND(B107="age 62",Sheet1!$H$3&gt;2),"",IF(OR($E$6="",C107&lt;$G$2),"",IF($E$4&gt;=($E$6/2),"Ineligible",Sheet1!D103)))</f>
        <v>Ineligible</v>
      </c>
      <c r="G107" s="64">
        <f>IF($E$6="","",IF(AND($E$2&gt;20455,$E$2&lt;22283),Sheet1!E99,IF(AND($E$2&gt;20090,$E$2&lt;22648),Sheet1!E101,Sheet1!E103)))</f>
        <v>813.9</v>
      </c>
    </row>
    <row r="108" spans="1:8" s="10" customFormat="1" ht="12" customHeight="1">
      <c r="A108" s="22">
        <v>50</v>
      </c>
      <c r="B108" s="34" t="str">
        <f t="shared" si="10"/>
        <v>Age 62</v>
      </c>
      <c r="C108" s="57">
        <f>IF($E$2="","",Sheet1!F104)</f>
        <v>42788</v>
      </c>
      <c r="D108" s="58"/>
      <c r="E108" s="54" t="str">
        <f>IF($E$4="","",IF(AND(B108="Age 62",Sheet1!$H$3&lt;3),Sheet1!C104,IF($G$2&gt;C109,"",Sheet1!C104)))</f>
        <v/>
      </c>
      <c r="F108" s="54" t="str">
        <f>IF(AND(B108="age 62",Sheet1!$H$3&gt;2),"",IF(OR($E$6="",C108&lt;$G$2),"",IF($E$4&gt;=($E$6/2),"Ineligible",Sheet1!D104)))</f>
        <v/>
      </c>
      <c r="G108" s="64">
        <f>IF($E$6="","",IF(AND($E$2&gt;20455,$E$2&lt;22283),Sheet1!E100,IF(AND($E$2&gt;20090,$E$2&lt;22648),Sheet1!E102,Sheet1!E104)))</f>
        <v>810</v>
      </c>
    </row>
    <row r="109" spans="1:8" s="10" customFormat="1" ht="12" customHeight="1">
      <c r="A109" s="22">
        <v>51</v>
      </c>
      <c r="B109" s="34" t="str">
        <f t="shared" si="10"/>
        <v/>
      </c>
      <c r="C109" s="57">
        <f>IF($E$2="","",Sheet1!F105)</f>
        <v>42757</v>
      </c>
      <c r="D109" s="58"/>
      <c r="E109" s="54" t="str">
        <f>IF($E$4="","",IF(AND(B109="Age 62",Sheet1!$H$3&lt;3),Sheet1!C105,IF($G$2&gt;C110,"",Sheet1!C105)))</f>
        <v/>
      </c>
      <c r="F109" s="54" t="str">
        <f>IF(AND(B109="age 62",Sheet1!$H$3&gt;2),"",IF(OR($E$6="",C109&lt;$G$2),"",IF($E$4&gt;=($E$6/2),"Ineligible",Sheet1!D105)))</f>
        <v/>
      </c>
      <c r="G109" s="64">
        <f>IF($E$6="","",IF(AND($E$2&gt;20455,$E$2&lt;22283),Sheet1!E101,IF(AND($E$2&gt;20090,$E$2&lt;22648),Sheet1!E103,Sheet1!E105)))</f>
        <v>806</v>
      </c>
    </row>
    <row r="110" spans="1:8" s="10" customFormat="1" ht="12" customHeight="1">
      <c r="A110" s="22">
        <v>52</v>
      </c>
      <c r="B110" s="34" t="str">
        <f t="shared" si="10"/>
        <v/>
      </c>
      <c r="C110" s="57">
        <f>IF($E$2="","",Sheet1!F106)</f>
        <v>42726</v>
      </c>
      <c r="D110" s="58"/>
      <c r="E110" s="54" t="str">
        <f>IF($E$4="","",IF(AND(B110="Age 62",Sheet1!$H$3&lt;3),Sheet1!C106,IF($G$2&gt;C111,"",Sheet1!C106)))</f>
        <v/>
      </c>
      <c r="F110" s="54" t="str">
        <f>IF(AND(B110="age 62",Sheet1!$H$3&gt;2),"",IF(OR($E$6="",C110&lt;$G$2),"",IF($E$4&gt;=($E$6/2),"Ineligible",Sheet1!D106)))</f>
        <v/>
      </c>
      <c r="G110" s="64">
        <f>IF($E$6="","",IF(AND($E$2&gt;20455,$E$2&lt;22283),Sheet1!E102,IF(AND($E$2&gt;20090,$E$2&lt;22648),Sheet1!E104,Sheet1!E106)))</f>
        <v>802</v>
      </c>
    </row>
    <row r="111" spans="1:8" s="10" customFormat="1" ht="12" customHeight="1">
      <c r="A111" s="22">
        <v>53</v>
      </c>
      <c r="B111" s="34" t="str">
        <f t="shared" si="10"/>
        <v/>
      </c>
      <c r="C111" s="57">
        <f>IF($E$2="","",Sheet1!F107)</f>
        <v>42696</v>
      </c>
      <c r="D111" s="58"/>
      <c r="E111" s="54" t="str">
        <f>IF($E$4="","",IF(AND(B111="Age 62",Sheet1!$H$3&lt;3),Sheet1!C107,IF($G$2&gt;C112,"",Sheet1!C107)))</f>
        <v/>
      </c>
      <c r="F111" s="54" t="str">
        <f>IF(AND(B111="age 62",Sheet1!$H$3&gt;2),"",IF(OR($E$6="",C111&lt;$G$2),"",IF($E$4&gt;=($E$6/2),"Ineligible",Sheet1!D107)))</f>
        <v/>
      </c>
      <c r="G111" s="64">
        <f>IF($E$6="","",IF(AND($E$2&gt;20455,$E$2&lt;22283),Sheet1!E103,IF(AND($E$2&gt;20090,$E$2&lt;22648),Sheet1!E105,Sheet1!E107)))</f>
        <v>798.1</v>
      </c>
    </row>
    <row r="112" spans="1:8" s="10" customFormat="1" ht="12" customHeight="1">
      <c r="A112" s="22">
        <v>54</v>
      </c>
      <c r="B112" s="34" t="str">
        <f t="shared" si="10"/>
        <v/>
      </c>
      <c r="C112" s="57">
        <f>IF($E$2="","",Sheet1!F108)</f>
        <v>42665</v>
      </c>
      <c r="D112" s="58"/>
      <c r="E112" s="54" t="str">
        <f>IF($E$4="","",IF(AND(B112="Age 62",Sheet1!$H$3&lt;3),Sheet1!C108,IF($G$2&gt;C113,"",Sheet1!C108)))</f>
        <v/>
      </c>
      <c r="F112" s="54" t="str">
        <f>IF(AND(B112="age 62",Sheet1!$H$3&gt;2),"",IF(OR($E$6="",C112&lt;$G$2),"",IF($E$4&gt;($E$6/2),"Ineligible",Sheet1!D108)))</f>
        <v/>
      </c>
      <c r="G112" s="64">
        <f>IF($E$6="","",IF(AND($E$2&gt;20455,$E$2&lt;22283),Sheet1!E104,IF(AND($E$2&gt;20090,$E$2&lt;22648),Sheet1!E106,Sheet1!E108)))</f>
        <v>794.1</v>
      </c>
    </row>
    <row r="113" spans="1:7" s="10" customFormat="1" ht="12" customHeight="1">
      <c r="A113" s="22">
        <v>55</v>
      </c>
      <c r="B113" s="34" t="str">
        <f t="shared" si="10"/>
        <v/>
      </c>
      <c r="C113" s="57">
        <f>IF($E$2="","",Sheet1!F109)</f>
        <v>42635</v>
      </c>
      <c r="D113" s="58"/>
      <c r="E113" s="54" t="str">
        <f>IF($E$4="","",IF(AND(B113="Age 62",Sheet1!$H$3&lt;3),Sheet1!C109,IF($G$2&gt;C114,"",Sheet1!C109)))</f>
        <v/>
      </c>
      <c r="F113" s="54" t="str">
        <f>IF(AND(B113="age 62",Sheet1!$H$3&gt;2),"",IF(OR($E$6="",C113&lt;$G$2),"",IF($E$4&gt;($E$6/2),"Ineligible",Sheet1!D109)))</f>
        <v/>
      </c>
      <c r="G113" s="64">
        <f>IF($E$6="","",IF(AND($E$2&gt;20455,$E$2&lt;22283),Sheet1!E105,IF(AND($E$2&gt;20090,$E$2&lt;22648),Sheet1!E107,Sheet1!E109)))</f>
        <v>790.2</v>
      </c>
    </row>
    <row r="114" spans="1:7" s="10" customFormat="1" ht="12" customHeight="1">
      <c r="A114" s="22">
        <v>56</v>
      </c>
      <c r="B114" s="34" t="str">
        <f t="shared" si="10"/>
        <v/>
      </c>
      <c r="C114" s="57">
        <f>IF($E$2="","",Sheet1!F110)</f>
        <v>42604</v>
      </c>
      <c r="D114" s="58"/>
      <c r="E114" s="54" t="str">
        <f>IF($E$4="","",IF(AND(B114="Age 62",Sheet1!$H$3&lt;3),Sheet1!C110,IF($G$2&gt;C115,"",Sheet1!C110)))</f>
        <v/>
      </c>
      <c r="F114" s="54" t="str">
        <f>IF(AND(B114="age 62",Sheet1!$H$3&gt;2),"",IF(OR($E$6="",C114&lt;$G$2),"",IF($E$4&gt;($E$6/2),"Ineligible",Sheet1!D110)))</f>
        <v/>
      </c>
      <c r="G114" s="64">
        <f>IF($E$6="","",IF(AND($E$2&gt;20455,$E$2&lt;22283),Sheet1!E106,IF(AND($E$2&gt;20090,$E$2&lt;22648),Sheet1!E108,Sheet1!E110)))</f>
        <v>786.2</v>
      </c>
    </row>
    <row r="115" spans="1:7" s="10" customFormat="1" ht="12" customHeight="1">
      <c r="A115" s="22">
        <v>57</v>
      </c>
      <c r="B115" s="34" t="str">
        <f t="shared" si="10"/>
        <v/>
      </c>
      <c r="C115" s="57">
        <f>IF($E$2="","",Sheet1!F111)</f>
        <v>42573</v>
      </c>
      <c r="D115" s="58"/>
      <c r="E115" s="54" t="str">
        <f>IF($E$4="","",IF(AND(B115="Age 62",Sheet1!$H$3&lt;3),Sheet1!C111,IF($G$2&gt;C116,"",Sheet1!C111)))</f>
        <v/>
      </c>
      <c r="F115" s="54" t="str">
        <f>IF(AND(B115="age 62",Sheet1!$H$3&gt;2),"",IF(OR($E$6="",C115&lt;$G$2),"",IF($E$4&gt;($E$6/2),"Ineligible",Sheet1!D111)))</f>
        <v/>
      </c>
      <c r="G115" s="64">
        <f>IF($E$6="","",IF(AND($E$2&gt;20455,$E$2&lt;22283),Sheet1!E107,IF(AND($E$2&gt;20090,$E$2&lt;22648),Sheet1!E109,Sheet1!E111)))</f>
        <v>782.2</v>
      </c>
    </row>
    <row r="116" spans="1:7" s="10" customFormat="1" ht="12" customHeight="1">
      <c r="A116" s="22">
        <v>58</v>
      </c>
      <c r="B116" s="34" t="str">
        <f t="shared" si="10"/>
        <v/>
      </c>
      <c r="C116" s="57">
        <f>IF($E$2="","",Sheet1!F112)</f>
        <v>42543</v>
      </c>
      <c r="D116" s="58"/>
      <c r="E116" s="54" t="str">
        <f>IF($E$4="","",IF(AND(B116="Age 62",Sheet1!$H$3&lt;3),Sheet1!C112,IF($G$2&gt;C117,"",Sheet1!C112)))</f>
        <v/>
      </c>
      <c r="F116" s="54" t="str">
        <f>IF(AND(B116="age 62",Sheet1!$H$3&gt;2),"",IF(OR($E$6="",C116&lt;$G$2),"",IF($E$4&gt;($E$6/2),"Ineligible",Sheet1!D112)))</f>
        <v/>
      </c>
      <c r="G116" s="64">
        <f>IF($E$6="","",IF(AND($E$2&gt;20455,$E$2&lt;22283),Sheet1!E108,IF(AND($E$2&gt;20090,$E$2&lt;22648),Sheet1!E110,Sheet1!E112)))</f>
        <v>778.3</v>
      </c>
    </row>
    <row r="117" spans="1:7" s="10" customFormat="1" ht="12" customHeight="1">
      <c r="A117" s="22">
        <v>59</v>
      </c>
      <c r="B117" s="34" t="str">
        <f>IF(C117=EDATE($E$2,744),"Age 62",(IF(C117=EDATE($E$2,732),"Age 61","")))</f>
        <v/>
      </c>
      <c r="C117" s="57">
        <f>IF($E$2="","",Sheet1!F113)</f>
        <v>42512</v>
      </c>
      <c r="D117" s="58"/>
      <c r="E117" s="54" t="str">
        <f>IF($E$4="","",IF(AND(B117="Age 62",Sheet1!$H$3&lt;3),Sheet1!C113,IF($G$2&gt;C118,"",Sheet1!C113)))</f>
        <v/>
      </c>
      <c r="F117" s="54" t="str">
        <f>IF(AND(B117="age 62",Sheet1!$H$3&gt;2),"",IF(OR($E$6="",C117&lt;$G$2),"",IF($E$4&gt;($E$6/2),"Ineligible",Sheet1!D113)))</f>
        <v/>
      </c>
      <c r="G117" s="64">
        <f>IF($E$6="","",IF(AND($E$2&gt;20455,$E$2&lt;22283),Sheet1!E109,IF(AND($E$2&gt;20090,$E$2&lt;22648),Sheet1!E111,Sheet1!E113)))</f>
        <v>774.3</v>
      </c>
    </row>
    <row r="118" spans="1:7" s="10" customFormat="1" ht="12" customHeight="1">
      <c r="A118" s="22">
        <v>60</v>
      </c>
      <c r="B118" s="34" t="str">
        <f>IF(C118=EDATE($E$2,744),"Age 62",(IF(C118=EDATE($E$2,732),"Age 61","")))</f>
        <v/>
      </c>
      <c r="C118" s="59">
        <f>IF($E$2="","",Sheet1!F114)</f>
        <v>42482</v>
      </c>
      <c r="D118" s="60"/>
      <c r="E118" s="55" t="str">
        <f>IF($E$4="","",IF(AND(B118="Age 62",Sheet1!$H$3&lt;3),Sheet1!C114,IF($G$2&gt;C119,"",Sheet1!C114)))</f>
        <v/>
      </c>
      <c r="F118" s="55" t="str">
        <f>IF(AND(Sheet1!$H$3=2,B118="age 62"),IF($E$6="","",IF($E$4&gt;($E$6/2),"Ineligible",Sheet1!D114)),"")</f>
        <v/>
      </c>
      <c r="G118" s="65">
        <f>IF($E$6="","",IF(AND($E$2&gt;20455,$E$2&lt;22283),Sheet1!E110,IF(AND($E$2&gt;20090,$E$2&lt;22648),Sheet1!E112,Sheet1!E114)))</f>
        <v>770.4</v>
      </c>
    </row>
    <row r="119" spans="1:7" s="10" customFormat="1" ht="12" customHeight="1">
      <c r="A119" s="22">
        <v>61</v>
      </c>
      <c r="B119" s="34" t="str">
        <f t="shared" ref="B119:B128" si="11">IF(C119=EDATE($E$2,732),"Age 61","")</f>
        <v/>
      </c>
      <c r="C119" s="57">
        <f>IF($E$2="","",Sheet1!F115)</f>
        <v>42451</v>
      </c>
      <c r="D119" s="58"/>
      <c r="E119" s="54"/>
      <c r="F119" s="54"/>
      <c r="G119" s="64">
        <f>IF($E$6="","",IF(AND($E$2&gt;20455,$E$2&lt;22283),Sheet1!E111,IF(AND($E$2&gt;20090,$E$2&lt;22648),Sheet1!E113,Sheet1!E115)))</f>
        <v>766.4</v>
      </c>
    </row>
    <row r="120" spans="1:7" s="10" customFormat="1" ht="12" customHeight="1">
      <c r="A120" s="22">
        <v>62</v>
      </c>
      <c r="B120" s="34" t="str">
        <f t="shared" si="11"/>
        <v>Age 61</v>
      </c>
      <c r="C120" s="57">
        <f>IF($E$2="","",Sheet1!F116)</f>
        <v>42422</v>
      </c>
      <c r="D120" s="58"/>
      <c r="E120" s="54"/>
      <c r="F120" s="54"/>
      <c r="G120" s="64">
        <f>IF($E$6="","",IF(AND($E$2&gt;20455,$E$2&lt;22283),Sheet1!E112,IF(AND($E$2&gt;20090,$E$2&lt;22648),Sheet1!E114,Sheet1!E116)))</f>
        <v>762.5</v>
      </c>
    </row>
    <row r="121" spans="1:7" s="10" customFormat="1" ht="12" customHeight="1">
      <c r="A121" s="22">
        <v>63</v>
      </c>
      <c r="B121" s="34" t="str">
        <f t="shared" si="11"/>
        <v/>
      </c>
      <c r="C121" s="57">
        <f>IF($E$2="","",Sheet1!F117)</f>
        <v>42391</v>
      </c>
      <c r="D121" s="58"/>
      <c r="E121" s="54"/>
      <c r="F121" s="54"/>
      <c r="G121" s="64">
        <f>IF($E$6="","",IF(AND($E$2&gt;20455,$E$2&lt;22283),Sheet1!E113,IF(AND($E$2&gt;20090,$E$2&lt;22648),Sheet1!E115,Sheet1!E117)))</f>
        <v>758.5</v>
      </c>
    </row>
    <row r="122" spans="1:7" s="10" customFormat="1" ht="12" customHeight="1">
      <c r="A122" s="22">
        <v>64</v>
      </c>
      <c r="B122" s="34" t="str">
        <f t="shared" si="11"/>
        <v/>
      </c>
      <c r="C122" s="57">
        <f>IF($E$2="","",Sheet1!F118)</f>
        <v>42360</v>
      </c>
      <c r="D122" s="58"/>
      <c r="E122" s="54"/>
      <c r="F122" s="54"/>
      <c r="G122" s="64">
        <f>IF($E$6="","",IF(AND($E$2&gt;20455,$E$2&lt;22283),Sheet1!E114,IF(AND($E$2&gt;20090,$E$2&lt;22648),Sheet1!E116,Sheet1!E118)))</f>
        <v>754.5</v>
      </c>
    </row>
    <row r="123" spans="1:7" s="10" customFormat="1" ht="12" customHeight="1">
      <c r="A123" s="22">
        <v>65</v>
      </c>
      <c r="B123" s="34" t="str">
        <f t="shared" si="11"/>
        <v/>
      </c>
      <c r="C123" s="57">
        <f>IF($E$2="","",Sheet1!F119)</f>
        <v>42330</v>
      </c>
      <c r="D123" s="58"/>
      <c r="E123" s="54"/>
      <c r="F123" s="54"/>
      <c r="G123" s="64">
        <f>IF($E$6="","",IF(AND($E$2&gt;20455,$E$2&lt;22283),Sheet1!E115,IF(AND($E$2&gt;20090,$E$2&lt;22648),Sheet1!E117,Sheet1!E119)))</f>
        <v>750.6</v>
      </c>
    </row>
    <row r="124" spans="1:7" s="10" customFormat="1" ht="12" customHeight="1">
      <c r="A124" s="22">
        <v>66</v>
      </c>
      <c r="B124" s="34" t="str">
        <f t="shared" si="11"/>
        <v/>
      </c>
      <c r="C124" s="57">
        <f>IF($E$2="","",Sheet1!F120)</f>
        <v>42299</v>
      </c>
      <c r="D124" s="58"/>
      <c r="E124" s="54"/>
      <c r="F124" s="54"/>
      <c r="G124" s="64">
        <f>IF($E$6="","",IF(AND($E$2&gt;20455,$E$2&lt;22283),Sheet1!E116,IF(AND($E$2&gt;20090,$E$2&lt;22648),Sheet1!E118,Sheet1!E120)))</f>
        <v>746.6</v>
      </c>
    </row>
    <row r="125" spans="1:7" s="10" customFormat="1" ht="12" customHeight="1">
      <c r="A125" s="22">
        <v>67</v>
      </c>
      <c r="B125" s="34" t="str">
        <f t="shared" si="11"/>
        <v/>
      </c>
      <c r="C125" s="57">
        <f>IF($E$2="","",Sheet1!F121)</f>
        <v>42269</v>
      </c>
      <c r="D125" s="58"/>
      <c r="E125" s="54"/>
      <c r="F125" s="54"/>
      <c r="G125" s="64">
        <f>IF($E$6="","",IF(AND($E$2&gt;20455,$E$2&lt;22283),Sheet1!E117,IF(AND($E$2&gt;20090,$E$2&lt;22648),Sheet1!E119,Sheet1!E121)))</f>
        <v>742.7</v>
      </c>
    </row>
    <row r="126" spans="1:7" s="10" customFormat="1" ht="12" customHeight="1">
      <c r="A126" s="22">
        <v>68</v>
      </c>
      <c r="B126" s="34" t="str">
        <f t="shared" si="11"/>
        <v/>
      </c>
      <c r="C126" s="57">
        <f>IF($E$2="","",Sheet1!F122)</f>
        <v>42238</v>
      </c>
      <c r="D126" s="58"/>
      <c r="E126" s="54"/>
      <c r="F126" s="54"/>
      <c r="G126" s="64">
        <f>IF($E$6="","",IF(AND($E$2&gt;20455,$E$2&lt;22283),Sheet1!E118,IF(AND($E$2&gt;20090,$E$2&lt;22648),Sheet1!E120,Sheet1!E122)))</f>
        <v>738.7</v>
      </c>
    </row>
    <row r="127" spans="1:7" s="10" customFormat="1" ht="12" customHeight="1">
      <c r="A127" s="22">
        <v>69</v>
      </c>
      <c r="B127" s="34" t="str">
        <f t="shared" si="11"/>
        <v/>
      </c>
      <c r="C127" s="57">
        <f>IF($E$2="","",Sheet1!F123)</f>
        <v>42207</v>
      </c>
      <c r="D127" s="58"/>
      <c r="E127" s="54"/>
      <c r="F127" s="54"/>
      <c r="G127" s="64">
        <f>IF($E$6="","",IF(AND($E$2&gt;20455,$E$2&lt;22283),Sheet1!E119,IF(AND($E$2&gt;20090,$E$2&lt;22648),Sheet1!E121,Sheet1!E123)))</f>
        <v>734.7</v>
      </c>
    </row>
    <row r="128" spans="1:7" s="10" customFormat="1" ht="12" customHeight="1">
      <c r="A128" s="22">
        <v>70</v>
      </c>
      <c r="B128" s="34" t="str">
        <f t="shared" si="11"/>
        <v/>
      </c>
      <c r="C128" s="57">
        <f>IF($E$2="","",Sheet1!F124)</f>
        <v>42177</v>
      </c>
      <c r="D128" s="58"/>
      <c r="E128" s="54"/>
      <c r="F128" s="54"/>
      <c r="G128" s="64">
        <f>IF($E$6="","",IF(AND($E$2&gt;20455,$E$2&lt;22283),Sheet1!E120,IF(AND($E$2&gt;20090,$E$2&lt;22648),Sheet1!E122,Sheet1!E124)))</f>
        <v>730.8</v>
      </c>
    </row>
    <row r="129" spans="1:8" s="10" customFormat="1" ht="12" customHeight="1">
      <c r="A129" s="22">
        <v>71</v>
      </c>
      <c r="B129" s="34" t="str">
        <f>IF(C129=EDATE($E$2,732),"Age 61",(IF(C129=EDATE($E$2,720),"Age 60","")))</f>
        <v/>
      </c>
      <c r="C129" s="57">
        <f>IF($E$2="","",Sheet1!F125)</f>
        <v>42146</v>
      </c>
      <c r="D129" s="58"/>
      <c r="E129" s="54"/>
      <c r="F129" s="54"/>
      <c r="G129" s="64">
        <f>IF($E$6="","",IF(AND($E$2&gt;20455,$E$2&lt;22283),Sheet1!E121,IF(AND($E$2&gt;20090,$E$2&lt;22648),Sheet1!E123,Sheet1!E125)))</f>
        <v>726.8</v>
      </c>
      <c r="H129" s="84"/>
    </row>
    <row r="131" spans="1:8" s="26" customFormat="1">
      <c r="B131" s="27"/>
    </row>
    <row r="132" spans="1:8" s="26" customFormat="1">
      <c r="B132" s="27"/>
    </row>
    <row r="133" spans="1:8" s="26" customFormat="1">
      <c r="B133" s="27"/>
    </row>
    <row r="134" spans="1:8" s="26" customFormat="1">
      <c r="B134" s="27"/>
    </row>
    <row r="135" spans="1:8" s="26" customFormat="1">
      <c r="B135" s="27"/>
    </row>
    <row r="136" spans="1:8" s="26" customFormat="1">
      <c r="B136" s="27"/>
    </row>
    <row r="137" spans="1:8" s="26" customFormat="1">
      <c r="B137" s="27"/>
    </row>
    <row r="138" spans="1:8" s="26" customFormat="1">
      <c r="B138" s="27"/>
    </row>
    <row r="139" spans="1:8" s="26" customFormat="1">
      <c r="B139" s="27"/>
    </row>
    <row r="140" spans="1:8" s="26" customFormat="1">
      <c r="B140" s="27"/>
    </row>
    <row r="141" spans="1:8" s="26" customFormat="1">
      <c r="B141" s="27"/>
    </row>
    <row r="142" spans="1:8" s="26" customFormat="1">
      <c r="B142" s="27"/>
    </row>
    <row r="143" spans="1:8" s="26" customFormat="1">
      <c r="B143" s="27"/>
    </row>
    <row r="144" spans="1:8" s="26" customFormat="1">
      <c r="B144" s="27"/>
    </row>
    <row r="145" spans="2:2" s="26" customFormat="1">
      <c r="B145" s="27"/>
    </row>
    <row r="146" spans="2:2" s="26" customFormat="1">
      <c r="B146" s="27"/>
    </row>
    <row r="147" spans="2:2" s="26" customFormat="1">
      <c r="B147" s="27"/>
    </row>
    <row r="148" spans="2:2" s="26" customFormat="1">
      <c r="B148" s="27"/>
    </row>
    <row r="149" spans="2:2" s="26" customFormat="1">
      <c r="B149" s="27"/>
    </row>
    <row r="150" spans="2:2" s="26" customFormat="1">
      <c r="B150" s="27"/>
    </row>
    <row r="151" spans="2:2" s="26" customFormat="1">
      <c r="B151" s="27"/>
    </row>
    <row r="152" spans="2:2" s="26" customFormat="1">
      <c r="B152" s="27"/>
    </row>
    <row r="153" spans="2:2" s="26" customFormat="1">
      <c r="B153" s="27"/>
    </row>
    <row r="154" spans="2:2" s="26" customFormat="1">
      <c r="B154" s="27"/>
    </row>
    <row r="155" spans="2:2" s="26" customFormat="1">
      <c r="B155" s="27"/>
    </row>
    <row r="156" spans="2:2" s="26" customFormat="1">
      <c r="B156" s="27"/>
    </row>
    <row r="157" spans="2:2" s="26" customFormat="1">
      <c r="B157" s="27"/>
    </row>
    <row r="158" spans="2:2" s="26" customFormat="1">
      <c r="B158" s="27"/>
    </row>
    <row r="159" spans="2:2" s="26" customFormat="1">
      <c r="B159" s="27"/>
    </row>
    <row r="160" spans="2:2" s="26" customFormat="1">
      <c r="B160" s="27"/>
    </row>
    <row r="161" spans="2:2" s="26" customFormat="1">
      <c r="B161" s="27"/>
    </row>
    <row r="162" spans="2:2" s="26" customFormat="1">
      <c r="B162" s="27"/>
    </row>
    <row r="163" spans="2:2" s="26" customFormat="1">
      <c r="B163" s="27"/>
    </row>
    <row r="164" spans="2:2" s="26" customFormat="1">
      <c r="B164" s="27"/>
    </row>
    <row r="165" spans="2:2" s="26" customFormat="1">
      <c r="B165" s="27"/>
    </row>
    <row r="166" spans="2:2" s="26" customFormat="1">
      <c r="B166" s="27"/>
    </row>
    <row r="167" spans="2:2" s="26" customFormat="1">
      <c r="B167" s="27"/>
    </row>
    <row r="168" spans="2:2" s="26" customFormat="1">
      <c r="B168" s="27"/>
    </row>
    <row r="169" spans="2:2" s="26" customFormat="1">
      <c r="B169" s="27"/>
    </row>
    <row r="170" spans="2:2" s="26" customFormat="1">
      <c r="B170" s="27"/>
    </row>
    <row r="171" spans="2:2" s="26" customFormat="1">
      <c r="B171" s="27"/>
    </row>
    <row r="172" spans="2:2" s="26" customFormat="1">
      <c r="B172" s="27"/>
    </row>
    <row r="173" spans="2:2" s="26" customFormat="1">
      <c r="B173" s="27"/>
    </row>
    <row r="174" spans="2:2" s="26" customFormat="1">
      <c r="B174" s="27"/>
    </row>
    <row r="175" spans="2:2" s="26" customFormat="1">
      <c r="B175" s="27"/>
    </row>
    <row r="176" spans="2:2" s="26" customFormat="1">
      <c r="B176" s="27"/>
    </row>
    <row r="177" spans="2:2" s="26" customFormat="1">
      <c r="B177" s="27"/>
    </row>
    <row r="178" spans="2:2" s="26" customFormat="1">
      <c r="B178" s="27"/>
    </row>
    <row r="179" spans="2:2" s="26" customFormat="1">
      <c r="B179" s="27"/>
    </row>
    <row r="180" spans="2:2" s="26" customFormat="1">
      <c r="B180" s="27"/>
    </row>
    <row r="181" spans="2:2" s="26" customFormat="1">
      <c r="B181" s="27"/>
    </row>
    <row r="182" spans="2:2" s="26" customFormat="1">
      <c r="B182" s="27"/>
    </row>
    <row r="183" spans="2:2" s="26" customFormat="1">
      <c r="B183" s="27"/>
    </row>
    <row r="184" spans="2:2" s="26" customFormat="1">
      <c r="B184" s="27"/>
    </row>
    <row r="185" spans="2:2" s="26" customFormat="1">
      <c r="B185" s="27"/>
    </row>
    <row r="186" spans="2:2" s="26" customFormat="1">
      <c r="B186" s="27"/>
    </row>
    <row r="187" spans="2:2" s="26" customFormat="1">
      <c r="B187" s="27"/>
    </row>
    <row r="188" spans="2:2" s="26" customFormat="1">
      <c r="B188" s="27"/>
    </row>
    <row r="189" spans="2:2" s="26" customFormat="1">
      <c r="B189" s="27"/>
    </row>
    <row r="190" spans="2:2" s="26" customFormat="1">
      <c r="B190" s="27"/>
    </row>
    <row r="191" spans="2:2" s="26" customFormat="1">
      <c r="B191" s="27"/>
    </row>
    <row r="192" spans="2:2" s="26" customFormat="1">
      <c r="B192" s="27"/>
    </row>
    <row r="193" spans="2:2" s="26" customFormat="1">
      <c r="B193" s="27"/>
    </row>
    <row r="194" spans="2:2" s="26" customFormat="1">
      <c r="B194" s="27"/>
    </row>
    <row r="195" spans="2:2" s="26" customFormat="1">
      <c r="B195" s="27"/>
    </row>
    <row r="196" spans="2:2" s="26" customFormat="1">
      <c r="B196" s="27"/>
    </row>
    <row r="197" spans="2:2" s="26" customFormat="1">
      <c r="B197" s="27"/>
    </row>
    <row r="198" spans="2:2" s="26" customFormat="1">
      <c r="B198" s="27"/>
    </row>
    <row r="199" spans="2:2" s="26" customFormat="1">
      <c r="B199" s="27"/>
    </row>
    <row r="200" spans="2:2" s="26" customFormat="1">
      <c r="B200" s="27"/>
    </row>
    <row r="201" spans="2:2" s="26" customFormat="1">
      <c r="B201" s="27"/>
    </row>
    <row r="202" spans="2:2" s="26" customFormat="1">
      <c r="B202" s="27"/>
    </row>
    <row r="203" spans="2:2" s="26" customFormat="1">
      <c r="B203" s="27"/>
    </row>
    <row r="204" spans="2:2" s="26" customFormat="1">
      <c r="B204" s="27"/>
    </row>
    <row r="205" spans="2:2" s="26" customFormat="1">
      <c r="B205" s="27"/>
    </row>
    <row r="206" spans="2:2" s="26" customFormat="1">
      <c r="B206" s="27"/>
    </row>
    <row r="207" spans="2:2" s="26" customFormat="1">
      <c r="B207" s="27"/>
    </row>
    <row r="208" spans="2:2" s="26" customFormat="1">
      <c r="B208" s="27"/>
    </row>
    <row r="209" spans="2:2" s="26" customFormat="1">
      <c r="B209" s="27"/>
    </row>
    <row r="210" spans="2:2" s="26" customFormat="1">
      <c r="B210" s="27"/>
    </row>
    <row r="211" spans="2:2" s="26" customFormat="1">
      <c r="B211" s="27"/>
    </row>
    <row r="212" spans="2:2" s="26" customFormat="1">
      <c r="B212" s="27"/>
    </row>
    <row r="213" spans="2:2" s="26" customFormat="1">
      <c r="B213" s="27"/>
    </row>
    <row r="214" spans="2:2" s="26" customFormat="1">
      <c r="B214" s="27"/>
    </row>
    <row r="215" spans="2:2" s="26" customFormat="1">
      <c r="B215" s="27"/>
    </row>
    <row r="216" spans="2:2" s="26" customFormat="1">
      <c r="B216" s="27"/>
    </row>
    <row r="217" spans="2:2" s="26" customFormat="1">
      <c r="B217" s="27"/>
    </row>
    <row r="218" spans="2:2" s="26" customFormat="1">
      <c r="B218" s="27"/>
    </row>
    <row r="219" spans="2:2" s="26" customFormat="1">
      <c r="B219" s="27"/>
    </row>
    <row r="220" spans="2:2" s="26" customFormat="1">
      <c r="B220" s="27"/>
    </row>
    <row r="221" spans="2:2" s="26" customFormat="1">
      <c r="B221" s="27"/>
    </row>
    <row r="222" spans="2:2" s="26" customFormat="1">
      <c r="B222" s="27"/>
    </row>
    <row r="223" spans="2:2" s="26" customFormat="1">
      <c r="B223" s="27"/>
    </row>
    <row r="224" spans="2:2" s="26" customFormat="1">
      <c r="B224" s="27"/>
    </row>
    <row r="225" spans="2:2" s="26" customFormat="1">
      <c r="B225" s="27"/>
    </row>
    <row r="226" spans="2:2" s="26" customFormat="1">
      <c r="B226" s="27"/>
    </row>
    <row r="227" spans="2:2" s="26" customFormat="1">
      <c r="B227" s="27"/>
    </row>
    <row r="228" spans="2:2" s="26" customFormat="1">
      <c r="B228" s="27"/>
    </row>
    <row r="229" spans="2:2" s="26" customFormat="1">
      <c r="B229" s="27"/>
    </row>
    <row r="230" spans="2:2" s="26" customFormat="1">
      <c r="B230" s="27"/>
    </row>
    <row r="231" spans="2:2" s="26" customFormat="1">
      <c r="B231" s="27"/>
    </row>
    <row r="232" spans="2:2" s="26" customFormat="1">
      <c r="B232" s="27"/>
    </row>
    <row r="233" spans="2:2" s="26" customFormat="1">
      <c r="B233" s="27"/>
    </row>
    <row r="234" spans="2:2" s="26" customFormat="1">
      <c r="B234" s="27"/>
    </row>
    <row r="235" spans="2:2" s="26" customFormat="1">
      <c r="B235" s="27"/>
    </row>
    <row r="236" spans="2:2" s="26" customFormat="1">
      <c r="B236" s="27"/>
    </row>
    <row r="237" spans="2:2" s="26" customFormat="1">
      <c r="B237" s="27"/>
    </row>
    <row r="238" spans="2:2" s="26" customFormat="1">
      <c r="B238" s="27"/>
    </row>
    <row r="239" spans="2:2" s="26" customFormat="1">
      <c r="B239" s="27"/>
    </row>
    <row r="240" spans="2:2" s="26" customFormat="1">
      <c r="B240" s="27"/>
    </row>
    <row r="241" spans="2:2" s="26" customFormat="1">
      <c r="B241" s="27"/>
    </row>
    <row r="242" spans="2:2" s="26" customFormat="1">
      <c r="B242" s="27"/>
    </row>
    <row r="243" spans="2:2" s="26" customFormat="1">
      <c r="B243" s="27"/>
    </row>
    <row r="244" spans="2:2" s="26" customFormat="1">
      <c r="B244" s="27"/>
    </row>
    <row r="245" spans="2:2" s="26" customFormat="1">
      <c r="B245" s="27"/>
    </row>
    <row r="246" spans="2:2" s="26" customFormat="1">
      <c r="B246" s="27"/>
    </row>
    <row r="247" spans="2:2" s="26" customFormat="1">
      <c r="B247" s="27"/>
    </row>
    <row r="248" spans="2:2" s="26" customFormat="1">
      <c r="B248" s="27"/>
    </row>
    <row r="249" spans="2:2" s="26" customFormat="1">
      <c r="B249" s="27"/>
    </row>
    <row r="250" spans="2:2" s="26" customFormat="1">
      <c r="B250" s="27"/>
    </row>
    <row r="251" spans="2:2" s="26" customFormat="1">
      <c r="B251" s="27"/>
    </row>
    <row r="252" spans="2:2" s="26" customFormat="1">
      <c r="B252" s="27"/>
    </row>
    <row r="253" spans="2:2" s="26" customFormat="1">
      <c r="B253" s="27"/>
    </row>
    <row r="254" spans="2:2" s="26" customFormat="1">
      <c r="B254" s="27"/>
    </row>
    <row r="255" spans="2:2" s="26" customFormat="1">
      <c r="B255" s="27"/>
    </row>
    <row r="256" spans="2:2" s="26" customFormat="1">
      <c r="B256" s="27"/>
    </row>
    <row r="257" spans="2:2" s="26" customFormat="1">
      <c r="B257" s="27"/>
    </row>
    <row r="258" spans="2:2" s="26" customFormat="1">
      <c r="B258" s="27"/>
    </row>
    <row r="259" spans="2:2" s="26" customFormat="1">
      <c r="B259" s="27"/>
    </row>
    <row r="260" spans="2:2" s="26" customFormat="1">
      <c r="B260" s="27"/>
    </row>
    <row r="261" spans="2:2" s="26" customFormat="1">
      <c r="B261" s="27"/>
    </row>
    <row r="262" spans="2:2" s="26" customFormat="1">
      <c r="B262" s="27"/>
    </row>
    <row r="263" spans="2:2" s="26" customFormat="1">
      <c r="B263" s="27"/>
    </row>
    <row r="264" spans="2:2" s="26" customFormat="1">
      <c r="B264" s="27"/>
    </row>
    <row r="265" spans="2:2" s="26" customFormat="1">
      <c r="B265" s="27"/>
    </row>
    <row r="266" spans="2:2" s="26" customFormat="1">
      <c r="B266" s="27"/>
    </row>
    <row r="267" spans="2:2" s="26" customFormat="1">
      <c r="B267" s="27"/>
    </row>
    <row r="268" spans="2:2" s="26" customFormat="1">
      <c r="B268" s="27"/>
    </row>
    <row r="269" spans="2:2" s="26" customFormat="1">
      <c r="B269" s="27"/>
    </row>
    <row r="270" spans="2:2" s="26" customFormat="1">
      <c r="B270" s="27"/>
    </row>
    <row r="271" spans="2:2" s="26" customFormat="1">
      <c r="B271" s="27"/>
    </row>
    <row r="272" spans="2:2" s="26" customFormat="1">
      <c r="B272" s="27"/>
    </row>
    <row r="273" spans="2:2" s="26" customFormat="1">
      <c r="B273" s="27"/>
    </row>
    <row r="274" spans="2:2" s="26" customFormat="1">
      <c r="B274" s="27"/>
    </row>
    <row r="275" spans="2:2" s="26" customFormat="1">
      <c r="B275" s="27"/>
    </row>
    <row r="276" spans="2:2" s="26" customFormat="1">
      <c r="B276" s="27"/>
    </row>
    <row r="277" spans="2:2" s="26" customFormat="1">
      <c r="B277" s="27"/>
    </row>
    <row r="278" spans="2:2" s="26" customFormat="1">
      <c r="B278" s="27"/>
    </row>
    <row r="279" spans="2:2" s="26" customFormat="1">
      <c r="B279" s="27"/>
    </row>
    <row r="280" spans="2:2" s="26" customFormat="1">
      <c r="B280" s="27"/>
    </row>
    <row r="281" spans="2:2" s="26" customFormat="1">
      <c r="B281" s="27"/>
    </row>
    <row r="282" spans="2:2" s="26" customFormat="1">
      <c r="B282" s="27"/>
    </row>
    <row r="283" spans="2:2" s="26" customFormat="1">
      <c r="B283" s="27"/>
    </row>
    <row r="284" spans="2:2" s="26" customFormat="1">
      <c r="B284" s="27"/>
    </row>
    <row r="285" spans="2:2" s="26" customFormat="1">
      <c r="B285" s="27"/>
    </row>
    <row r="286" spans="2:2" s="26" customFormat="1">
      <c r="B286" s="27"/>
    </row>
    <row r="287" spans="2:2" s="26" customFormat="1">
      <c r="B287" s="27"/>
    </row>
    <row r="288" spans="2:2" s="26" customFormat="1">
      <c r="B288" s="27"/>
    </row>
    <row r="289" spans="2:2" s="26" customFormat="1">
      <c r="B289" s="27"/>
    </row>
    <row r="290" spans="2:2" s="26" customFormat="1">
      <c r="B290" s="27"/>
    </row>
    <row r="291" spans="2:2" s="26" customFormat="1">
      <c r="B291" s="27"/>
    </row>
    <row r="292" spans="2:2" s="26" customFormat="1">
      <c r="B292" s="27"/>
    </row>
    <row r="293" spans="2:2" s="26" customFormat="1">
      <c r="B293" s="27"/>
    </row>
    <row r="294" spans="2:2" s="26" customFormat="1">
      <c r="B294" s="27"/>
    </row>
    <row r="295" spans="2:2" s="26" customFormat="1">
      <c r="B295" s="27"/>
    </row>
    <row r="296" spans="2:2" s="26" customFormat="1">
      <c r="B296" s="27"/>
    </row>
    <row r="297" spans="2:2" s="26" customFormat="1">
      <c r="B297" s="27"/>
    </row>
    <row r="298" spans="2:2" s="26" customFormat="1">
      <c r="B298" s="27"/>
    </row>
    <row r="299" spans="2:2" s="26" customFormat="1">
      <c r="B299" s="27"/>
    </row>
    <row r="300" spans="2:2" s="26" customFormat="1">
      <c r="B300" s="27"/>
    </row>
    <row r="301" spans="2:2" s="26" customFormat="1">
      <c r="B301" s="27"/>
    </row>
    <row r="302" spans="2:2" s="26" customFormat="1">
      <c r="B302" s="27"/>
    </row>
    <row r="303" spans="2:2" s="26" customFormat="1">
      <c r="B303" s="27"/>
    </row>
    <row r="304" spans="2:2" s="26" customFormat="1">
      <c r="B304" s="27"/>
    </row>
    <row r="305" spans="2:2" s="26" customFormat="1">
      <c r="B305" s="27"/>
    </row>
    <row r="306" spans="2:2" s="26" customFormat="1">
      <c r="B306" s="27"/>
    </row>
    <row r="307" spans="2:2" s="26" customFormat="1">
      <c r="B307" s="27"/>
    </row>
    <row r="308" spans="2:2" s="26" customFormat="1">
      <c r="B308" s="27"/>
    </row>
    <row r="309" spans="2:2" s="26" customFormat="1">
      <c r="B309" s="27"/>
    </row>
    <row r="310" spans="2:2" s="26" customFormat="1">
      <c r="B310" s="27"/>
    </row>
    <row r="311" spans="2:2" s="26" customFormat="1">
      <c r="B311" s="27"/>
    </row>
    <row r="312" spans="2:2" s="26" customFormat="1">
      <c r="B312" s="27"/>
    </row>
    <row r="313" spans="2:2" s="26" customFormat="1">
      <c r="B313" s="27"/>
    </row>
    <row r="314" spans="2:2" s="26" customFormat="1">
      <c r="B314" s="27"/>
    </row>
    <row r="315" spans="2:2" s="26" customFormat="1">
      <c r="B315" s="27"/>
    </row>
    <row r="316" spans="2:2" s="26" customFormat="1">
      <c r="B316" s="27"/>
    </row>
    <row r="317" spans="2:2" s="26" customFormat="1">
      <c r="B317" s="27"/>
    </row>
    <row r="318" spans="2:2" s="26" customFormat="1">
      <c r="B318" s="27"/>
    </row>
    <row r="319" spans="2:2" s="26" customFormat="1">
      <c r="B319" s="27"/>
    </row>
    <row r="320" spans="2:2" s="26" customFormat="1">
      <c r="B320" s="27"/>
    </row>
    <row r="321" spans="2:2" s="26" customFormat="1">
      <c r="B321" s="27"/>
    </row>
    <row r="322" spans="2:2" s="26" customFormat="1">
      <c r="B322" s="27"/>
    </row>
    <row r="323" spans="2:2" s="26" customFormat="1">
      <c r="B323" s="27"/>
    </row>
    <row r="324" spans="2:2" s="26" customFormat="1">
      <c r="B324" s="27"/>
    </row>
    <row r="325" spans="2:2" s="26" customFormat="1">
      <c r="B325" s="27"/>
    </row>
    <row r="326" spans="2:2" s="26" customFormat="1">
      <c r="B326" s="27"/>
    </row>
    <row r="327" spans="2:2" s="26" customFormat="1">
      <c r="B327" s="27"/>
    </row>
    <row r="328" spans="2:2" s="26" customFormat="1">
      <c r="B328" s="27"/>
    </row>
    <row r="329" spans="2:2" s="26" customFormat="1">
      <c r="B329" s="27"/>
    </row>
    <row r="330" spans="2:2" s="26" customFormat="1">
      <c r="B330" s="27"/>
    </row>
    <row r="331" spans="2:2" s="26" customFormat="1">
      <c r="B331" s="27"/>
    </row>
    <row r="332" spans="2:2" s="26" customFormat="1">
      <c r="B332" s="27"/>
    </row>
    <row r="333" spans="2:2" s="26" customFormat="1">
      <c r="B333" s="27"/>
    </row>
    <row r="334" spans="2:2" s="26" customFormat="1">
      <c r="B334" s="27"/>
    </row>
    <row r="335" spans="2:2" s="26" customFormat="1">
      <c r="B335" s="27"/>
    </row>
    <row r="336" spans="2:2" s="26" customFormat="1">
      <c r="B336" s="27"/>
    </row>
    <row r="337" spans="2:2" s="26" customFormat="1">
      <c r="B337" s="27"/>
    </row>
    <row r="338" spans="2:2" s="26" customFormat="1">
      <c r="B338" s="27"/>
    </row>
    <row r="339" spans="2:2" s="26" customFormat="1">
      <c r="B339" s="27"/>
    </row>
    <row r="340" spans="2:2" s="26" customFormat="1">
      <c r="B340" s="27"/>
    </row>
    <row r="341" spans="2:2" s="26" customFormat="1">
      <c r="B341" s="27"/>
    </row>
    <row r="342" spans="2:2" s="26" customFormat="1">
      <c r="B342" s="27"/>
    </row>
    <row r="343" spans="2:2" s="26" customFormat="1">
      <c r="B343" s="27"/>
    </row>
    <row r="344" spans="2:2" s="26" customFormat="1">
      <c r="B344" s="27"/>
    </row>
    <row r="345" spans="2:2" s="26" customFormat="1">
      <c r="B345" s="27"/>
    </row>
    <row r="346" spans="2:2" s="26" customFormat="1">
      <c r="B346" s="27"/>
    </row>
    <row r="347" spans="2:2" s="26" customFormat="1">
      <c r="B347" s="27"/>
    </row>
    <row r="348" spans="2:2" s="26" customFormat="1">
      <c r="B348" s="27"/>
    </row>
    <row r="349" spans="2:2" s="26" customFormat="1">
      <c r="B349" s="27"/>
    </row>
    <row r="350" spans="2:2" s="26" customFormat="1">
      <c r="B350" s="27"/>
    </row>
    <row r="351" spans="2:2" s="26" customFormat="1">
      <c r="B351" s="27"/>
    </row>
    <row r="352" spans="2:2" s="26" customFormat="1">
      <c r="B352" s="27"/>
    </row>
    <row r="353" spans="2:2" s="26" customFormat="1">
      <c r="B353" s="27"/>
    </row>
    <row r="354" spans="2:2" s="26" customFormat="1">
      <c r="B354" s="27"/>
    </row>
    <row r="355" spans="2:2" s="26" customFormat="1">
      <c r="B355" s="27"/>
    </row>
    <row r="356" spans="2:2" s="26" customFormat="1">
      <c r="B356" s="27"/>
    </row>
    <row r="357" spans="2:2" s="26" customFormat="1">
      <c r="B357" s="27"/>
    </row>
    <row r="358" spans="2:2" s="26" customFormat="1">
      <c r="B358" s="27"/>
    </row>
    <row r="359" spans="2:2" s="26" customFormat="1">
      <c r="B359" s="27"/>
    </row>
    <row r="360" spans="2:2" s="26" customFormat="1">
      <c r="B360" s="27"/>
    </row>
    <row r="361" spans="2:2" s="26" customFormat="1">
      <c r="B361" s="27"/>
    </row>
    <row r="362" spans="2:2" s="26" customFormat="1">
      <c r="B362" s="27"/>
    </row>
    <row r="363" spans="2:2" s="26" customFormat="1">
      <c r="B363" s="27"/>
    </row>
    <row r="364" spans="2:2" s="26" customFormat="1">
      <c r="B364" s="27"/>
    </row>
    <row r="365" spans="2:2" s="26" customFormat="1">
      <c r="B365" s="27"/>
    </row>
    <row r="366" spans="2:2" s="26" customFormat="1">
      <c r="B366" s="27"/>
    </row>
    <row r="367" spans="2:2" s="26" customFormat="1">
      <c r="B367" s="27"/>
    </row>
    <row r="368" spans="2:2" s="26" customFormat="1">
      <c r="B368" s="27"/>
    </row>
    <row r="369" spans="2:2" s="26" customFormat="1">
      <c r="B369" s="27"/>
    </row>
    <row r="370" spans="2:2" s="26" customFormat="1">
      <c r="B370" s="27"/>
    </row>
    <row r="371" spans="2:2" s="26" customFormat="1">
      <c r="B371" s="27"/>
    </row>
    <row r="372" spans="2:2" s="26" customFormat="1">
      <c r="B372" s="27"/>
    </row>
    <row r="373" spans="2:2" s="26" customFormat="1">
      <c r="B373" s="27"/>
    </row>
    <row r="374" spans="2:2" s="26" customFormat="1">
      <c r="B374" s="27"/>
    </row>
    <row r="375" spans="2:2" s="26" customFormat="1">
      <c r="B375" s="27"/>
    </row>
    <row r="376" spans="2:2" s="26" customFormat="1">
      <c r="B376" s="27"/>
    </row>
    <row r="377" spans="2:2" s="26" customFormat="1">
      <c r="B377" s="27"/>
    </row>
    <row r="378" spans="2:2" s="26" customFormat="1">
      <c r="B378" s="27"/>
    </row>
    <row r="379" spans="2:2" s="26" customFormat="1">
      <c r="B379" s="27"/>
    </row>
    <row r="380" spans="2:2" s="26" customFormat="1">
      <c r="B380" s="27"/>
    </row>
    <row r="381" spans="2:2" s="26" customFormat="1">
      <c r="B381" s="27"/>
    </row>
    <row r="382" spans="2:2" s="26" customFormat="1">
      <c r="B382" s="27"/>
    </row>
    <row r="383" spans="2:2" s="26" customFormat="1">
      <c r="B383" s="27"/>
    </row>
    <row r="384" spans="2:2" s="26" customFormat="1">
      <c r="B384" s="27"/>
    </row>
    <row r="385" spans="2:2" s="26" customFormat="1">
      <c r="B385" s="27"/>
    </row>
    <row r="386" spans="2:2" s="26" customFormat="1">
      <c r="B386" s="27"/>
    </row>
    <row r="387" spans="2:2" s="26" customFormat="1">
      <c r="B387" s="27"/>
    </row>
    <row r="388" spans="2:2" s="26" customFormat="1">
      <c r="B388" s="27"/>
    </row>
    <row r="389" spans="2:2" s="26" customFormat="1">
      <c r="B389" s="27"/>
    </row>
    <row r="390" spans="2:2" s="26" customFormat="1">
      <c r="B390" s="27"/>
    </row>
    <row r="391" spans="2:2" s="26" customFormat="1">
      <c r="B391" s="27"/>
    </row>
    <row r="392" spans="2:2" s="26" customFormat="1">
      <c r="B392" s="27"/>
    </row>
    <row r="393" spans="2:2" s="26" customFormat="1">
      <c r="B393" s="27"/>
    </row>
    <row r="394" spans="2:2" s="26" customFormat="1">
      <c r="B394" s="27"/>
    </row>
    <row r="395" spans="2:2" s="26" customFormat="1">
      <c r="B395" s="27"/>
    </row>
    <row r="396" spans="2:2" s="26" customFormat="1">
      <c r="B396" s="27"/>
    </row>
    <row r="397" spans="2:2" s="26" customFormat="1">
      <c r="B397" s="27"/>
    </row>
    <row r="398" spans="2:2" s="26" customFormat="1">
      <c r="B398" s="27"/>
    </row>
    <row r="399" spans="2:2" s="26" customFormat="1">
      <c r="B399" s="27"/>
    </row>
    <row r="400" spans="2:2" s="26" customFormat="1">
      <c r="B400" s="27"/>
    </row>
    <row r="401" spans="2:2" s="26" customFormat="1">
      <c r="B401" s="27"/>
    </row>
    <row r="402" spans="2:2" s="26" customFormat="1">
      <c r="B402" s="27"/>
    </row>
    <row r="403" spans="2:2" s="26" customFormat="1">
      <c r="B403" s="27"/>
    </row>
    <row r="404" spans="2:2" s="26" customFormat="1">
      <c r="B404" s="27"/>
    </row>
    <row r="405" spans="2:2" s="26" customFormat="1">
      <c r="B405" s="27"/>
    </row>
    <row r="406" spans="2:2" s="26" customFormat="1">
      <c r="B406" s="27"/>
    </row>
    <row r="407" spans="2:2" s="26" customFormat="1">
      <c r="B407" s="27"/>
    </row>
    <row r="408" spans="2:2" s="26" customFormat="1">
      <c r="B408" s="27"/>
    </row>
    <row r="409" spans="2:2" s="26" customFormat="1">
      <c r="B409" s="27"/>
    </row>
    <row r="410" spans="2:2" s="26" customFormat="1">
      <c r="B410" s="27"/>
    </row>
    <row r="411" spans="2:2" s="26" customFormat="1">
      <c r="B411" s="27"/>
    </row>
    <row r="412" spans="2:2" s="26" customFormat="1">
      <c r="B412" s="27"/>
    </row>
    <row r="413" spans="2:2" s="26" customFormat="1">
      <c r="B413" s="27"/>
    </row>
    <row r="414" spans="2:2" s="26" customFormat="1">
      <c r="B414" s="27"/>
    </row>
    <row r="415" spans="2:2" s="26" customFormat="1">
      <c r="B415" s="27"/>
    </row>
    <row r="416" spans="2:2" s="26" customFormat="1">
      <c r="B416" s="27"/>
    </row>
    <row r="417" spans="2:2" s="26" customFormat="1">
      <c r="B417" s="27"/>
    </row>
    <row r="418" spans="2:2" s="26" customFormat="1">
      <c r="B418" s="27"/>
    </row>
    <row r="419" spans="2:2" s="26" customFormat="1">
      <c r="B419" s="27"/>
    </row>
    <row r="420" spans="2:2" s="26" customFormat="1">
      <c r="B420" s="27"/>
    </row>
    <row r="421" spans="2:2" s="26" customFormat="1">
      <c r="B421" s="27"/>
    </row>
  </sheetData>
  <sheetProtection algorithmName="SHA-512" hashValue="1YCk06z5BBFdRH7ZYKLWMo1a9XFFAJYuSoKiC0nrC0btBREcb0uf8WwgTR0zJvL/Wu1K4dl4oqY1lq8SgAT3NA==" saltValue="y9z7KmypDpbva+6zRe4Ntg==" spinCount="100000" sheet="1" objects="1" scenarios="1" selectLockedCells="1"/>
  <mergeCells count="8">
    <mergeCell ref="H75:H102"/>
    <mergeCell ref="C2:D2"/>
    <mergeCell ref="C8:D8"/>
    <mergeCell ref="C65:D65"/>
    <mergeCell ref="H2:H15"/>
    <mergeCell ref="B6:D6"/>
    <mergeCell ref="B4:D4"/>
    <mergeCell ref="H16:H43"/>
  </mergeCells>
  <conditionalFormatting sqref="F78">
    <cfRule type="containsText" dxfId="6" priority="10" operator="containsText" text="Ineligible">
      <formula>NOT(ISERROR(SEARCH("Ineligible",F78)))</formula>
    </cfRule>
  </conditionalFormatting>
  <conditionalFormatting sqref="A2:G3 E4:G7 A4:B7 A14:B14 A62:C64 A61:B61 A15:C60 A67:C129 A9:C13 A130:H1048576 N69:XFD69 E66:G129 A65:B66 E9:G64 A8:G8 I2:XFD68 I70:XFD1048576">
    <cfRule type="containsText" dxfId="5" priority="9" operator="containsText" text="Inelliigible">
      <formula>NOT(ISERROR(SEARCH("Inelliigible",A2)))</formula>
    </cfRule>
  </conditionalFormatting>
  <conditionalFormatting sqref="F66:G129 F58:G64">
    <cfRule type="containsText" dxfId="4" priority="8" operator="containsText" text="Ineligible">
      <formula>NOT(ISERROR(SEARCH("Ineligible",F58)))</formula>
    </cfRule>
  </conditionalFormatting>
  <conditionalFormatting sqref="C65 E65 G65">
    <cfRule type="containsText" dxfId="3" priority="7" operator="containsText" text="Inelliigible">
      <formula>NOT(ISERROR(SEARCH("Inelliigible",C65)))</formula>
    </cfRule>
  </conditionalFormatting>
  <conditionalFormatting sqref="C14">
    <cfRule type="containsText" dxfId="2" priority="6" operator="containsText" text="Inelliigible">
      <formula>NOT(ISERROR(SEARCH("Inelliigible",C14)))</formula>
    </cfRule>
  </conditionalFormatting>
  <conditionalFormatting sqref="C66">
    <cfRule type="containsText" dxfId="1" priority="5" operator="containsText" text="Inelliigible">
      <formula>NOT(ISERROR(SEARCH("Inelliigible",C66)))</formula>
    </cfRule>
  </conditionalFormatting>
  <conditionalFormatting sqref="C61">
    <cfRule type="containsText" dxfId="0" priority="3" operator="containsText" text="Inelliigible">
      <formula>NOT(ISERROR(SEARCH("Inelliigible",C61)))</formula>
    </cfRule>
  </conditionalFormatting>
  <pageMargins left="0.25" right="0.25" top="0.25" bottom="0.25" header="0" footer="0"/>
  <pageSetup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workbookViewId="0">
      <selection activeCell="J6" sqref="J6"/>
    </sheetView>
  </sheetViews>
  <sheetFormatPr defaultRowHeight="15"/>
  <sheetData>
    <row r="4" spans="2:8">
      <c r="B4" t="s">
        <v>46</v>
      </c>
    </row>
    <row r="5" spans="2:8" ht="15" customHeight="1">
      <c r="B5" s="102" t="s">
        <v>47</v>
      </c>
      <c r="C5" s="103" t="s">
        <v>48</v>
      </c>
      <c r="D5" s="102" t="s">
        <v>49</v>
      </c>
      <c r="E5" s="102" t="s">
        <v>50</v>
      </c>
      <c r="F5" s="102"/>
      <c r="G5" s="102"/>
      <c r="H5" s="102"/>
    </row>
    <row r="6" spans="2:8" ht="148.5">
      <c r="B6" s="102"/>
      <c r="C6" s="103"/>
      <c r="D6" s="102"/>
      <c r="E6" s="91" t="s">
        <v>51</v>
      </c>
      <c r="F6" s="90" t="s">
        <v>52</v>
      </c>
      <c r="G6" s="91" t="s">
        <v>53</v>
      </c>
      <c r="H6" s="90" t="s">
        <v>54</v>
      </c>
    </row>
    <row r="7" spans="2:8" ht="30">
      <c r="B7" s="1" t="s">
        <v>55</v>
      </c>
      <c r="C7" s="2">
        <v>65</v>
      </c>
      <c r="D7" s="2">
        <v>36</v>
      </c>
      <c r="E7" s="3">
        <v>800</v>
      </c>
      <c r="F7" s="4">
        <v>0.2</v>
      </c>
      <c r="G7" s="3">
        <v>375</v>
      </c>
      <c r="H7" s="4">
        <v>0.25</v>
      </c>
    </row>
    <row r="8" spans="2:8" ht="33">
      <c r="B8" s="1">
        <v>1938</v>
      </c>
      <c r="C8" s="2" t="s">
        <v>56</v>
      </c>
      <c r="D8" s="2">
        <v>38</v>
      </c>
      <c r="E8" s="3">
        <v>791</v>
      </c>
      <c r="F8" s="4">
        <v>0.20830000000000001</v>
      </c>
      <c r="G8" s="3">
        <v>370</v>
      </c>
      <c r="H8" s="4">
        <v>0.25829999999999997</v>
      </c>
    </row>
    <row r="9" spans="2:8" ht="33">
      <c r="B9" s="1">
        <v>1939</v>
      </c>
      <c r="C9" s="2" t="s">
        <v>57</v>
      </c>
      <c r="D9" s="2">
        <v>40</v>
      </c>
      <c r="E9" s="3">
        <v>783</v>
      </c>
      <c r="F9" s="4">
        <v>0.2167</v>
      </c>
      <c r="G9" s="3">
        <v>366</v>
      </c>
      <c r="H9" s="4">
        <v>0.26669999999999999</v>
      </c>
    </row>
    <row r="10" spans="2:8" ht="33">
      <c r="B10" s="1">
        <v>1940</v>
      </c>
      <c r="C10" s="2" t="s">
        <v>58</v>
      </c>
      <c r="D10" s="2">
        <v>42</v>
      </c>
      <c r="E10" s="3">
        <v>775</v>
      </c>
      <c r="F10" s="4">
        <v>0.22500000000000001</v>
      </c>
      <c r="G10" s="3">
        <v>362</v>
      </c>
      <c r="H10" s="4">
        <v>0.27500000000000002</v>
      </c>
    </row>
    <row r="11" spans="2:8" ht="33">
      <c r="B11" s="1">
        <v>1941</v>
      </c>
      <c r="C11" s="2" t="s">
        <v>59</v>
      </c>
      <c r="D11" s="2">
        <v>44</v>
      </c>
      <c r="E11" s="3">
        <v>766</v>
      </c>
      <c r="F11" s="4">
        <v>0.23330000000000001</v>
      </c>
      <c r="G11" s="3">
        <v>358</v>
      </c>
      <c r="H11" s="4">
        <v>0.2833</v>
      </c>
    </row>
    <row r="12" spans="2:8" ht="49.5">
      <c r="B12" s="1">
        <v>1942</v>
      </c>
      <c r="C12" s="2" t="s">
        <v>60</v>
      </c>
      <c r="D12" s="2">
        <v>46</v>
      </c>
      <c r="E12" s="3">
        <v>758</v>
      </c>
      <c r="F12" s="4">
        <v>0.2417</v>
      </c>
      <c r="G12" s="3">
        <v>354</v>
      </c>
      <c r="H12" s="4">
        <v>0.29170000000000001</v>
      </c>
    </row>
    <row r="13" spans="2:8" ht="30">
      <c r="B13" s="1" t="s">
        <v>61</v>
      </c>
      <c r="C13" s="2">
        <v>66</v>
      </c>
      <c r="D13" s="2">
        <v>48</v>
      </c>
      <c r="E13" s="3">
        <v>750</v>
      </c>
      <c r="F13" s="4">
        <v>0.25</v>
      </c>
      <c r="G13" s="3">
        <v>350</v>
      </c>
      <c r="H13" s="4">
        <v>0.3</v>
      </c>
    </row>
    <row r="14" spans="2:8" ht="33">
      <c r="B14" s="1">
        <v>1955</v>
      </c>
      <c r="C14" s="2" t="s">
        <v>62</v>
      </c>
      <c r="D14" s="2">
        <v>50</v>
      </c>
      <c r="E14" s="3">
        <v>741</v>
      </c>
      <c r="F14" s="4">
        <v>0.25829999999999997</v>
      </c>
      <c r="G14" s="3">
        <v>345</v>
      </c>
      <c r="H14" s="4">
        <v>0.30830000000000002</v>
      </c>
    </row>
    <row r="15" spans="2:8" ht="33">
      <c r="B15" s="1">
        <v>1956</v>
      </c>
      <c r="C15" s="2" t="s">
        <v>63</v>
      </c>
      <c r="D15" s="2">
        <v>52</v>
      </c>
      <c r="E15" s="3">
        <v>733</v>
      </c>
      <c r="F15" s="4">
        <v>0.26669999999999999</v>
      </c>
      <c r="G15" s="3">
        <v>341</v>
      </c>
      <c r="H15" s="4">
        <v>0.31669999999999998</v>
      </c>
    </row>
    <row r="16" spans="2:8" ht="33">
      <c r="B16" s="1">
        <v>1957</v>
      </c>
      <c r="C16" s="2" t="s">
        <v>64</v>
      </c>
      <c r="D16" s="2">
        <v>54</v>
      </c>
      <c r="E16" s="3">
        <v>725</v>
      </c>
      <c r="F16" s="4">
        <v>0.27500000000000002</v>
      </c>
      <c r="G16" s="3">
        <v>337</v>
      </c>
      <c r="H16" s="4">
        <v>0.32500000000000001</v>
      </c>
    </row>
    <row r="17" spans="2:8" ht="33">
      <c r="B17" s="1">
        <v>1958</v>
      </c>
      <c r="C17" s="2" t="s">
        <v>65</v>
      </c>
      <c r="D17" s="2">
        <v>56</v>
      </c>
      <c r="E17" s="3">
        <v>716</v>
      </c>
      <c r="F17" s="4">
        <v>0.2833</v>
      </c>
      <c r="G17" s="3">
        <v>333</v>
      </c>
      <c r="H17" s="4">
        <v>0.33329999999999999</v>
      </c>
    </row>
    <row r="18" spans="2:8" ht="49.5">
      <c r="B18" s="1">
        <v>1959</v>
      </c>
      <c r="C18" s="2" t="s">
        <v>66</v>
      </c>
      <c r="D18" s="2">
        <v>58</v>
      </c>
      <c r="E18" s="3">
        <v>708</v>
      </c>
      <c r="F18" s="4">
        <v>0.29170000000000001</v>
      </c>
      <c r="G18" s="3">
        <v>329</v>
      </c>
      <c r="H18" s="4">
        <v>0.3417</v>
      </c>
    </row>
    <row r="19" spans="2:8" ht="30">
      <c r="B19" s="1" t="s">
        <v>67</v>
      </c>
      <c r="C19" s="2">
        <v>67</v>
      </c>
      <c r="D19" s="2">
        <v>60</v>
      </c>
      <c r="E19" s="3">
        <v>700</v>
      </c>
      <c r="F19" s="4">
        <v>0.3</v>
      </c>
      <c r="G19" s="3">
        <v>325</v>
      </c>
      <c r="H19" s="4">
        <v>0.35</v>
      </c>
    </row>
  </sheetData>
  <sheetProtection password="E1B0" sheet="1" objects="1" scenarios="1"/>
  <mergeCells count="4">
    <mergeCell ref="B5:B6"/>
    <mergeCell ref="C5:C6"/>
    <mergeCell ref="D5:D6"/>
    <mergeCell ref="E5:H5"/>
  </mergeCells>
  <hyperlinks>
    <hyperlink ref="B5" location="year" display="year" xr:uid="{00000000-0004-0000-0200-000000000000}"/>
    <hyperlink ref="D5" location="month" display="month" xr:uid="{00000000-0004-0000-0200-000001000000}"/>
    <hyperlink ref="E5" location="min" display="min" xr:uid="{00000000-0004-0000-0200-000002000000}"/>
    <hyperlink ref="F6" location="about" display="about" xr:uid="{00000000-0004-0000-0200-000003000000}"/>
    <hyperlink ref="H6" location="spouse" display="spouse" xr:uid="{00000000-0004-0000-0200-000004000000}"/>
    <hyperlink ref="B7" r:id="rId1" display="http://www.socialsecurity.gov/planners/retire/1937.html" xr:uid="{00000000-0004-0000-0200-000005000000}"/>
    <hyperlink ref="B8" r:id="rId2" display="http://www.socialsecurity.gov/planners/retire/1938.html" xr:uid="{00000000-0004-0000-0200-000006000000}"/>
    <hyperlink ref="B9" r:id="rId3" display="http://www.socialsecurity.gov/planners/retire/1939.html" xr:uid="{00000000-0004-0000-0200-000007000000}"/>
    <hyperlink ref="B10" r:id="rId4" display="http://www.socialsecurity.gov/planners/retire/1940.html" xr:uid="{00000000-0004-0000-0200-000008000000}"/>
    <hyperlink ref="B11" r:id="rId5" display="http://www.socialsecurity.gov/planners/retire/1941.html" xr:uid="{00000000-0004-0000-0200-000009000000}"/>
    <hyperlink ref="B12" r:id="rId6" display="http://www.socialsecurity.gov/planners/retire/1942.html" xr:uid="{00000000-0004-0000-0200-00000A000000}"/>
    <hyperlink ref="B13" r:id="rId7" display="http://www.socialsecurity.gov/planners/retire/1943.html" xr:uid="{00000000-0004-0000-0200-00000B000000}"/>
    <hyperlink ref="B14" r:id="rId8" display="http://www.socialsecurity.gov/planners/retire/1955.html" xr:uid="{00000000-0004-0000-0200-00000C000000}"/>
    <hyperlink ref="B15" r:id="rId9" display="http://www.socialsecurity.gov/planners/retire/1956.html" xr:uid="{00000000-0004-0000-0200-00000D000000}"/>
    <hyperlink ref="B16" r:id="rId10" display="http://www.socialsecurity.gov/planners/retire/1957.html" xr:uid="{00000000-0004-0000-0200-00000E000000}"/>
    <hyperlink ref="B17" r:id="rId11" display="http://www.socialsecurity.gov/planners/retire/1958.html" xr:uid="{00000000-0004-0000-0200-00000F000000}"/>
    <hyperlink ref="B18" r:id="rId12" display="http://www.socialsecurity.gov/planners/retire/1959.html" xr:uid="{00000000-0004-0000-0200-000010000000}"/>
    <hyperlink ref="B19" r:id="rId13" display="http://www.socialsecurity.gov/planners/retire/1960.html" xr:uid="{00000000-0004-0000-0200-000011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Social Security Administration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Jonathan C.</dc:creator>
  <cp:keywords/>
  <dc:description/>
  <cp:lastModifiedBy>Carlson, Jonathan</cp:lastModifiedBy>
  <cp:revision/>
  <dcterms:created xsi:type="dcterms:W3CDTF">2015-04-06T17:52:10Z</dcterms:created>
  <dcterms:modified xsi:type="dcterms:W3CDTF">2019-07-10T18:04:54Z</dcterms:modified>
  <cp:category/>
  <cp:contentStatus/>
</cp:coreProperties>
</file>