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campm19\Desktop\Newsletter\"/>
    </mc:Choice>
  </mc:AlternateContent>
  <xr:revisionPtr revIDLastSave="0" documentId="13_ncr:1_{812E3CEC-672D-4E8A-B2CC-A3513D2CB5E3}" xr6:coauthVersionLast="44" xr6:coauthVersionMax="44" xr10:uidLastSave="{00000000-0000-0000-0000-000000000000}"/>
  <bookViews>
    <workbookView xWindow="-108" yWindow="-108" windowWidth="23256" windowHeight="12600" xr2:uid="{00000000-000D-0000-FFFF-FFFF00000000}"/>
  </bookViews>
  <sheets>
    <sheet name="Data &amp; Graph" sheetId="1" r:id="rId1"/>
    <sheet name="Decision Cod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6" i="2" l="1"/>
  <c r="E5" i="2"/>
  <c r="F24" i="2"/>
  <c r="D23" i="2"/>
  <c r="I23" i="2" s="1"/>
  <c r="D24" i="2"/>
  <c r="I24" i="2" s="1"/>
  <c r="D25" i="2"/>
  <c r="K25" i="2" s="1"/>
  <c r="D22" i="2"/>
  <c r="K22" i="2" s="1"/>
  <c r="D14" i="2"/>
  <c r="I14" i="2" s="1"/>
  <c r="C4" i="1"/>
  <c r="D17" i="2"/>
  <c r="I17" i="2" s="1"/>
  <c r="D15" i="2"/>
  <c r="J15" i="2" s="1"/>
  <c r="D16" i="2"/>
  <c r="E16" i="2" s="1"/>
  <c r="G9" i="1"/>
  <c r="G10" i="1"/>
  <c r="G11" i="1"/>
  <c r="G12" i="1"/>
  <c r="G13" i="1"/>
  <c r="G14" i="1"/>
  <c r="G15" i="1"/>
  <c r="G16" i="1"/>
  <c r="G17" i="1"/>
  <c r="G18" i="1"/>
  <c r="G19" i="1"/>
  <c r="G20" i="1"/>
  <c r="G21" i="1"/>
  <c r="G22" i="1"/>
  <c r="G23" i="1"/>
  <c r="G24" i="1"/>
  <c r="G25" i="1"/>
  <c r="G26" i="1"/>
  <c r="G27" i="1"/>
  <c r="G28" i="1"/>
  <c r="G29" i="1"/>
  <c r="G30" i="1"/>
  <c r="G31" i="1"/>
  <c r="G32" i="1"/>
  <c r="G33" i="1"/>
  <c r="F9" i="1"/>
  <c r="F10" i="1"/>
  <c r="F11" i="1"/>
  <c r="F12" i="1"/>
  <c r="F13" i="1"/>
  <c r="F14" i="1"/>
  <c r="F15" i="1"/>
  <c r="F16" i="1"/>
  <c r="F17" i="1"/>
  <c r="F18" i="1"/>
  <c r="F19" i="1"/>
  <c r="F20" i="1"/>
  <c r="F21" i="1"/>
  <c r="F22" i="1"/>
  <c r="F23" i="1"/>
  <c r="F24" i="1"/>
  <c r="F25" i="1"/>
  <c r="F26" i="1"/>
  <c r="F27" i="1"/>
  <c r="F28" i="1"/>
  <c r="F29" i="1"/>
  <c r="F30" i="1"/>
  <c r="F31" i="1"/>
  <c r="F32" i="1"/>
  <c r="F33" i="1"/>
  <c r="E9" i="1"/>
  <c r="E10" i="1"/>
  <c r="E11" i="1"/>
  <c r="E12" i="1"/>
  <c r="E13" i="1"/>
  <c r="E14" i="1"/>
  <c r="E15" i="1"/>
  <c r="E16" i="1"/>
  <c r="E17" i="1"/>
  <c r="E18" i="1"/>
  <c r="E19" i="1"/>
  <c r="E20" i="1"/>
  <c r="E21" i="1"/>
  <c r="E22" i="1"/>
  <c r="E23" i="1"/>
  <c r="E24" i="1"/>
  <c r="E25" i="1"/>
  <c r="E26" i="1"/>
  <c r="E27" i="1"/>
  <c r="E28" i="1"/>
  <c r="E29" i="1"/>
  <c r="E30" i="1"/>
  <c r="E31" i="1"/>
  <c r="E32" i="1"/>
  <c r="E33" i="1"/>
  <c r="D9" i="1"/>
  <c r="D10" i="1"/>
  <c r="D11" i="1"/>
  <c r="D12" i="1"/>
  <c r="D13" i="1"/>
  <c r="D14" i="1"/>
  <c r="D15" i="1"/>
  <c r="D16" i="1"/>
  <c r="D17" i="1"/>
  <c r="D18" i="1"/>
  <c r="D19" i="1"/>
  <c r="D20" i="1"/>
  <c r="D21" i="1"/>
  <c r="D22" i="1"/>
  <c r="D23" i="1"/>
  <c r="D24" i="1"/>
  <c r="D25" i="1"/>
  <c r="D26" i="1"/>
  <c r="D27" i="1"/>
  <c r="D28" i="1"/>
  <c r="D29" i="1"/>
  <c r="D30" i="1"/>
  <c r="D31" i="1"/>
  <c r="D32" i="1"/>
  <c r="D33" i="1"/>
  <c r="E7" i="2" l="1"/>
  <c r="G14" i="2"/>
  <c r="I25" i="2"/>
  <c r="F14" i="2"/>
  <c r="E22" i="2"/>
  <c r="J16" i="2"/>
  <c r="G16" i="2"/>
  <c r="F16" i="2"/>
  <c r="E14" i="2"/>
  <c r="J14" i="2"/>
  <c r="E17" i="2"/>
  <c r="K14" i="2"/>
  <c r="E25" i="2"/>
  <c r="I16" i="2"/>
  <c r="K16" i="2"/>
  <c r="G24" i="2"/>
  <c r="H24" i="2" s="1"/>
  <c r="J25" i="2"/>
  <c r="L25" i="2" s="1"/>
  <c r="G17" i="2"/>
  <c r="K17" i="2"/>
  <c r="E24" i="2"/>
  <c r="G23" i="2"/>
  <c r="K24" i="2"/>
  <c r="E15" i="2"/>
  <c r="F17" i="2"/>
  <c r="J17" i="2"/>
  <c r="E23" i="2"/>
  <c r="F23" i="2"/>
  <c r="J24" i="2"/>
  <c r="F22" i="2"/>
  <c r="I22" i="2"/>
  <c r="G22" i="2"/>
  <c r="J22" i="2"/>
  <c r="K23" i="2"/>
  <c r="G15" i="2"/>
  <c r="K15" i="2"/>
  <c r="G25" i="2"/>
  <c r="J23" i="2"/>
  <c r="I15" i="2"/>
  <c r="F15" i="2"/>
  <c r="F25" i="2"/>
  <c r="H16" i="2" l="1"/>
  <c r="H14" i="2"/>
  <c r="L16" i="2"/>
  <c r="H17" i="2"/>
  <c r="L14" i="2"/>
  <c r="H22" i="2"/>
  <c r="L22" i="2"/>
  <c r="H23" i="2"/>
  <c r="L17" i="2"/>
  <c r="H15" i="2"/>
  <c r="L15" i="2"/>
  <c r="L23" i="2"/>
  <c r="L24" i="2"/>
  <c r="M24" i="2" s="1"/>
  <c r="N24" i="2" s="1"/>
  <c r="H25" i="2"/>
  <c r="M25" i="2" s="1"/>
  <c r="N25" i="2" s="1"/>
  <c r="M22" i="2" l="1"/>
  <c r="N22" i="2" s="1"/>
  <c r="M16" i="2"/>
  <c r="N16" i="2" s="1"/>
  <c r="M14" i="2"/>
  <c r="N14" i="2" s="1"/>
  <c r="M23" i="2"/>
  <c r="N23" i="2" s="1"/>
  <c r="M17" i="2"/>
  <c r="N17" i="2" s="1"/>
  <c r="M15" i="2"/>
  <c r="N15" i="2" s="1"/>
  <c r="I5" i="2" l="1"/>
  <c r="I6" i="2" s="1"/>
  <c r="I7" i="2"/>
  <c r="L6" i="2" l="1"/>
  <c r="K5" i="2"/>
  <c r="L5" i="2"/>
  <c r="K6" i="2"/>
</calcChain>
</file>

<file path=xl/sharedStrings.xml><?xml version="1.0" encoding="utf-8"?>
<sst xmlns="http://schemas.openxmlformats.org/spreadsheetml/2006/main" count="77" uniqueCount="33">
  <si>
    <t>Shoe Slipperiness</t>
  </si>
  <si>
    <t>Floor Slipperiness</t>
  </si>
  <si>
    <t>No Fall</t>
  </si>
  <si>
    <t>Fall</t>
  </si>
  <si>
    <t>Outcome</t>
  </si>
  <si>
    <t>Decision Tree Split Decision Demonstrator</t>
  </si>
  <si>
    <t>No Fall X Vals</t>
  </si>
  <si>
    <t>No Fall Y Vals</t>
  </si>
  <si>
    <t>Fall X Vals</t>
  </si>
  <si>
    <t>Fall Y Vals</t>
  </si>
  <si>
    <t>This data is just copy and pasted then duplicates removed</t>
  </si>
  <si>
    <t>Potential Cut Points</t>
  </si>
  <si>
    <t>Floor</t>
  </si>
  <si>
    <t>Total in Group</t>
  </si>
  <si>
    <t>No. Falls</t>
  </si>
  <si>
    <t>No. No Falls</t>
  </si>
  <si>
    <t>Gini Impurity</t>
  </si>
  <si>
    <t>Shoe</t>
  </si>
  <si>
    <t>Impurity Score</t>
  </si>
  <si>
    <t>Best Split</t>
  </si>
  <si>
    <t>Best Gain</t>
  </si>
  <si>
    <t>Best Criteria</t>
  </si>
  <si>
    <t>Best Column</t>
  </si>
  <si>
    <t>Plotting Code</t>
  </si>
  <si>
    <t>Group 2
(Greater Than or Equal to Cut Point)</t>
  </si>
  <si>
    <t>Group 1
(Less Than Cut Point)</t>
  </si>
  <si>
    <t>Current Gini Impurity
(for whole unsplit group)</t>
  </si>
  <si>
    <t>Weighted Impurity
(Group 1 and 2 Purity Combined)</t>
  </si>
  <si>
    <t>Gain of Impurity
(Weighted  - Current</t>
  </si>
  <si>
    <t>Weighted Impurity is calculated by taking the fraction each group is of the original group and multiplying with the groups gini impurity. These are then Summed</t>
  </si>
  <si>
    <t>The gain of Impurity is the difference between the weighted impurity and the current impurity score for all the data taken as a whole (Not split). Those cells are then coloured green to mark the largest gains</t>
  </si>
  <si>
    <t>Notes:</t>
  </si>
  <si>
    <t>Gini Impurity is calculated by for each class (Fall and No Fall) and finding the probability of selecting it randomly from the group and then multiplied by the probability it is classed wrong (if label randomly assigned). This is done for both classes and then summed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</si>
</sst>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000"/>
  </numFmts>
  <fonts count="5" x14ac:knownFonts="1">
    <font>
      <sz val="11"/>
      <color theme="1"/>
      <name val="Calibri"/>
      <family val="2"/>
      <scheme val="minor"/>
    </font>
    <font>
      <b/>
      <sz val="11"/>
      <color theme="0"/>
      <name val="Calibri"/>
      <family val="2"/>
      <scheme val="minor"/>
    </font>
    <font>
      <b/>
      <sz val="11"/>
      <color theme="1"/>
      <name val="Calibri"/>
      <family val="2"/>
      <scheme val="minor"/>
    </font>
    <font>
      <b/>
      <u/>
      <sz val="11"/>
      <color theme="1"/>
      <name val="Calibri"/>
      <family val="2"/>
      <scheme val="minor"/>
    </font>
    <font>
      <b/>
      <u/>
      <sz val="22"/>
      <color theme="1"/>
      <name val="Calibri"/>
      <family val="2"/>
      <scheme val="minor"/>
    </font>
  </fonts>
  <fills count="11">
    <fill>
      <patternFill patternType="none"/>
    </fill>
    <fill>
      <patternFill patternType="gray125"/>
    </fill>
    <fill>
      <patternFill patternType="solid">
        <fgColor theme="1"/>
        <bgColor theme="1"/>
      </patternFill>
    </fill>
    <fill>
      <patternFill patternType="solid">
        <fgColor theme="0" tint="-0.14999847407452621"/>
        <bgColor theme="0" tint="-0.14999847407452621"/>
      </patternFill>
    </fill>
    <fill>
      <patternFill patternType="solid">
        <fgColor rgb="FF00B0F0"/>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7" tint="0.39997558519241921"/>
        <bgColor indexed="64"/>
      </patternFill>
    </fill>
  </fills>
  <borders count="8">
    <border>
      <left/>
      <right/>
      <top/>
      <bottom/>
      <diagonal/>
    </border>
    <border>
      <left style="thin">
        <color theme="1"/>
      </left>
      <right style="thin">
        <color theme="1"/>
      </right>
      <top style="medium">
        <color theme="1"/>
      </top>
      <bottom style="medium">
        <color theme="1"/>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1">
    <xf numFmtId="0" fontId="0" fillId="0" borderId="0" xfId="0"/>
    <xf numFmtId="0" fontId="2" fillId="0" borderId="0" xfId="0" applyFont="1"/>
    <xf numFmtId="0" fontId="3" fillId="0" borderId="0" xfId="0" applyFont="1"/>
    <xf numFmtId="0" fontId="4" fillId="0" borderId="0" xfId="0" applyFont="1"/>
    <xf numFmtId="0" fontId="1" fillId="2" borderId="1" xfId="0" applyFont="1" applyFill="1" applyBorder="1" applyAlignment="1">
      <alignment horizontal="center" vertical="center"/>
    </xf>
    <xf numFmtId="0" fontId="0" fillId="3" borderId="2" xfId="0" applyFont="1" applyFill="1" applyBorder="1" applyAlignment="1">
      <alignment horizontal="center" vertical="center"/>
    </xf>
    <xf numFmtId="0" fontId="0" fillId="0" borderId="2" xfId="0" applyFont="1" applyBorder="1" applyAlignment="1">
      <alignment horizontal="center" vertical="center"/>
    </xf>
    <xf numFmtId="0" fontId="0" fillId="0" borderId="3" xfId="0" applyBorder="1" applyAlignment="1">
      <alignment horizontal="center" vertical="center"/>
    </xf>
    <xf numFmtId="165" fontId="0" fillId="0" borderId="3" xfId="0" applyNumberFormat="1" applyBorder="1" applyAlignment="1">
      <alignment horizontal="center" vertical="center"/>
    </xf>
    <xf numFmtId="0" fontId="2" fillId="4" borderId="3" xfId="0" applyFont="1" applyFill="1" applyBorder="1" applyAlignment="1">
      <alignment horizontal="center"/>
    </xf>
    <xf numFmtId="0" fontId="0" fillId="0" borderId="3" xfId="0" applyBorder="1"/>
    <xf numFmtId="0" fontId="2" fillId="4" borderId="3" xfId="0" applyFont="1" applyFill="1" applyBorder="1" applyAlignment="1">
      <alignment horizontal="center"/>
    </xf>
    <xf numFmtId="0" fontId="2" fillId="0" borderId="3" xfId="0" applyFont="1" applyBorder="1"/>
    <xf numFmtId="0" fontId="0" fillId="0" borderId="3" xfId="0" applyBorder="1" applyAlignment="1">
      <alignment horizontal="center"/>
    </xf>
    <xf numFmtId="0" fontId="0" fillId="4" borderId="3" xfId="0" applyFill="1" applyBorder="1" applyAlignment="1">
      <alignment horizontal="center" vertical="center" wrapText="1"/>
    </xf>
    <xf numFmtId="0" fontId="0" fillId="5" borderId="3" xfId="0" applyFill="1" applyBorder="1" applyAlignment="1">
      <alignment horizontal="center" vertical="center"/>
    </xf>
    <xf numFmtId="2" fontId="0" fillId="5" borderId="3" xfId="0" applyNumberFormat="1" applyFill="1" applyBorder="1" applyAlignment="1">
      <alignment horizontal="center" vertical="center"/>
    </xf>
    <xf numFmtId="0" fontId="2" fillId="6" borderId="3" xfId="0" applyFont="1" applyFill="1" applyBorder="1" applyAlignment="1">
      <alignment horizontal="center" vertical="center" wrapText="1"/>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2" fillId="6" borderId="5" xfId="0" applyFont="1" applyFill="1" applyBorder="1" applyAlignment="1">
      <alignment horizontal="center" vertical="center"/>
    </xf>
    <xf numFmtId="0" fontId="2" fillId="6" borderId="3" xfId="0" applyFont="1" applyFill="1" applyBorder="1" applyAlignment="1">
      <alignment horizontal="center"/>
    </xf>
    <xf numFmtId="0" fontId="0" fillId="7" borderId="3" xfId="0" applyFill="1" applyBorder="1" applyAlignment="1">
      <alignment horizontal="center" vertical="center"/>
    </xf>
    <xf numFmtId="2" fontId="0" fillId="7" borderId="3" xfId="0" applyNumberFormat="1" applyFill="1" applyBorder="1" applyAlignment="1">
      <alignment horizontal="center" vertical="center"/>
    </xf>
    <xf numFmtId="0" fontId="2" fillId="8" borderId="3" xfId="0" applyFont="1" applyFill="1" applyBorder="1" applyAlignment="1">
      <alignment horizontal="center" vertical="center" wrapText="1"/>
    </xf>
    <xf numFmtId="0" fontId="2" fillId="8" borderId="5" xfId="0" applyFont="1" applyFill="1" applyBorder="1" applyAlignment="1">
      <alignment horizontal="center" vertical="center" wrapText="1"/>
    </xf>
    <xf numFmtId="0" fontId="2" fillId="8" borderId="3" xfId="0" applyFont="1" applyFill="1" applyBorder="1" applyAlignment="1">
      <alignment horizontal="center"/>
    </xf>
    <xf numFmtId="165" fontId="0" fillId="9" borderId="3" xfId="0" applyNumberFormat="1" applyFill="1" applyBorder="1" applyAlignment="1">
      <alignment horizontal="center" vertical="center"/>
    </xf>
    <xf numFmtId="0" fontId="2" fillId="10" borderId="5" xfId="0" applyFont="1" applyFill="1" applyBorder="1" applyAlignment="1">
      <alignment horizontal="center" vertical="center" wrapText="1"/>
    </xf>
    <xf numFmtId="0" fontId="2" fillId="10" borderId="6" xfId="0" applyFont="1" applyFill="1" applyBorder="1" applyAlignment="1">
      <alignment horizontal="center" vertical="center" wrapText="1"/>
    </xf>
    <xf numFmtId="0" fontId="2" fillId="10" borderId="7" xfId="0" applyFont="1" applyFill="1" applyBorder="1" applyAlignment="1">
      <alignment horizontal="center" vertical="center" wrapText="1"/>
    </xf>
  </cellXfs>
  <cellStyles count="1">
    <cellStyle name="Normal" xfId="0" builtinId="0"/>
  </cellStyles>
  <dxfs count="5">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Likelihood of Falls vs. Shoe &amp; Floor Slip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No Fall</c:v>
          </c:tx>
          <c:spPr>
            <a:ln w="25400" cap="rnd">
              <a:noFill/>
              <a:round/>
            </a:ln>
            <a:effectLst/>
          </c:spPr>
          <c:marker>
            <c:symbol val="circle"/>
            <c:size val="10"/>
            <c:spPr>
              <a:solidFill>
                <a:srgbClr val="0070C0"/>
              </a:solidFill>
              <a:ln w="9525">
                <a:solidFill>
                  <a:srgbClr val="0070C0"/>
                </a:solidFill>
              </a:ln>
              <a:effectLst/>
            </c:spPr>
          </c:marker>
          <c:xVal>
            <c:numRef>
              <c:f>'Data &amp; Graph'!$D$9:$D$33</c:f>
              <c:numCache>
                <c:formatCode>General</c:formatCode>
                <c:ptCount val="25"/>
                <c:pt idx="0">
                  <c:v>0</c:v>
                </c:pt>
                <c:pt idx="1">
                  <c:v>0</c:v>
                </c:pt>
                <c:pt idx="2">
                  <c:v>#N/A</c:v>
                </c:pt>
                <c:pt idx="3">
                  <c:v>#N/A</c:v>
                </c:pt>
                <c:pt idx="4">
                  <c:v>#N/A</c:v>
                </c:pt>
                <c:pt idx="5">
                  <c:v>1</c:v>
                </c:pt>
                <c:pt idx="6">
                  <c:v>1</c:v>
                </c:pt>
                <c:pt idx="7">
                  <c:v>#N/A</c:v>
                </c:pt>
                <c:pt idx="8">
                  <c:v>#N/A</c:v>
                </c:pt>
                <c:pt idx="9">
                  <c:v>#N/A</c:v>
                </c:pt>
                <c:pt idx="10">
                  <c:v>#N/A</c:v>
                </c:pt>
                <c:pt idx="11">
                  <c:v>2</c:v>
                </c:pt>
                <c:pt idx="12">
                  <c:v>2</c:v>
                </c:pt>
                <c:pt idx="13">
                  <c:v>#N/A</c:v>
                </c:pt>
                <c:pt idx="14">
                  <c:v>#N/A</c:v>
                </c:pt>
                <c:pt idx="15">
                  <c:v>#N/A</c:v>
                </c:pt>
                <c:pt idx="16">
                  <c:v>#N/A</c:v>
                </c:pt>
                <c:pt idx="17">
                  <c:v>#N/A</c:v>
                </c:pt>
                <c:pt idx="18">
                  <c:v>#N/A</c:v>
                </c:pt>
                <c:pt idx="19">
                  <c:v>#N/A</c:v>
                </c:pt>
                <c:pt idx="20">
                  <c:v>#N/A</c:v>
                </c:pt>
                <c:pt idx="21">
                  <c:v>#N/A</c:v>
                </c:pt>
                <c:pt idx="22">
                  <c:v>#N/A</c:v>
                </c:pt>
                <c:pt idx="23">
                  <c:v>#N/A</c:v>
                </c:pt>
                <c:pt idx="24">
                  <c:v>#N/A</c:v>
                </c:pt>
              </c:numCache>
            </c:numRef>
          </c:xVal>
          <c:yVal>
            <c:numRef>
              <c:f>'Data &amp; Graph'!$E$9:$E$33</c:f>
              <c:numCache>
                <c:formatCode>General</c:formatCode>
                <c:ptCount val="25"/>
                <c:pt idx="0">
                  <c:v>0</c:v>
                </c:pt>
                <c:pt idx="1">
                  <c:v>1</c:v>
                </c:pt>
                <c:pt idx="2">
                  <c:v>#N/A</c:v>
                </c:pt>
                <c:pt idx="3">
                  <c:v>#N/A</c:v>
                </c:pt>
                <c:pt idx="4">
                  <c:v>#N/A</c:v>
                </c:pt>
                <c:pt idx="5">
                  <c:v>0</c:v>
                </c:pt>
                <c:pt idx="6">
                  <c:v>1</c:v>
                </c:pt>
                <c:pt idx="7">
                  <c:v>#N/A</c:v>
                </c:pt>
                <c:pt idx="8">
                  <c:v>#N/A</c:v>
                </c:pt>
                <c:pt idx="9">
                  <c:v>#N/A</c:v>
                </c:pt>
                <c:pt idx="10">
                  <c:v>#N/A</c:v>
                </c:pt>
                <c:pt idx="11">
                  <c:v>1</c:v>
                </c:pt>
                <c:pt idx="12">
                  <c:v>2</c:v>
                </c:pt>
                <c:pt idx="13">
                  <c:v>#N/A</c:v>
                </c:pt>
                <c:pt idx="14">
                  <c:v>#N/A</c:v>
                </c:pt>
                <c:pt idx="15">
                  <c:v>#N/A</c:v>
                </c:pt>
                <c:pt idx="16">
                  <c:v>#N/A</c:v>
                </c:pt>
                <c:pt idx="17">
                  <c:v>#N/A</c:v>
                </c:pt>
                <c:pt idx="18">
                  <c:v>#N/A</c:v>
                </c:pt>
                <c:pt idx="19">
                  <c:v>#N/A</c:v>
                </c:pt>
                <c:pt idx="20">
                  <c:v>#N/A</c:v>
                </c:pt>
                <c:pt idx="21">
                  <c:v>#N/A</c:v>
                </c:pt>
                <c:pt idx="22">
                  <c:v>#N/A</c:v>
                </c:pt>
                <c:pt idx="23">
                  <c:v>#N/A</c:v>
                </c:pt>
                <c:pt idx="24">
                  <c:v>#N/A</c:v>
                </c:pt>
              </c:numCache>
            </c:numRef>
          </c:yVal>
          <c:smooth val="0"/>
          <c:extLst>
            <c:ext xmlns:c16="http://schemas.microsoft.com/office/drawing/2014/chart" uri="{C3380CC4-5D6E-409C-BE32-E72D297353CC}">
              <c16:uniqueId val="{00000000-D58B-4FDE-982A-9389B428216E}"/>
            </c:ext>
          </c:extLst>
        </c:ser>
        <c:ser>
          <c:idx val="1"/>
          <c:order val="1"/>
          <c:tx>
            <c:v>Fall</c:v>
          </c:tx>
          <c:spPr>
            <a:ln w="25400" cap="rnd">
              <a:noFill/>
              <a:round/>
            </a:ln>
            <a:effectLst/>
          </c:spPr>
          <c:marker>
            <c:symbol val="diamond"/>
            <c:size val="10"/>
            <c:spPr>
              <a:solidFill>
                <a:srgbClr val="00B050"/>
              </a:solidFill>
              <a:ln w="9525">
                <a:solidFill>
                  <a:srgbClr val="00B050"/>
                </a:solidFill>
              </a:ln>
              <a:effectLst/>
            </c:spPr>
          </c:marker>
          <c:xVal>
            <c:numRef>
              <c:f>'Data &amp; Graph'!$F$9:$F$33</c:f>
              <c:numCache>
                <c:formatCode>General</c:formatCode>
                <c:ptCount val="25"/>
                <c:pt idx="0">
                  <c:v>#N/A</c:v>
                </c:pt>
                <c:pt idx="1">
                  <c:v>#N/A</c:v>
                </c:pt>
                <c:pt idx="2">
                  <c:v>0</c:v>
                </c:pt>
                <c:pt idx="3">
                  <c:v>0</c:v>
                </c:pt>
                <c:pt idx="4">
                  <c:v>0</c:v>
                </c:pt>
                <c:pt idx="5">
                  <c:v>#N/A</c:v>
                </c:pt>
                <c:pt idx="6">
                  <c:v>#N/A</c:v>
                </c:pt>
                <c:pt idx="7">
                  <c:v>1</c:v>
                </c:pt>
                <c:pt idx="8">
                  <c:v>1</c:v>
                </c:pt>
                <c:pt idx="9">
                  <c:v>1</c:v>
                </c:pt>
                <c:pt idx="10">
                  <c:v>2</c:v>
                </c:pt>
                <c:pt idx="11">
                  <c:v>#N/A</c:v>
                </c:pt>
                <c:pt idx="12">
                  <c:v>#N/A</c:v>
                </c:pt>
                <c:pt idx="13">
                  <c:v>2</c:v>
                </c:pt>
                <c:pt idx="14">
                  <c:v>2</c:v>
                </c:pt>
                <c:pt idx="15">
                  <c:v>3</c:v>
                </c:pt>
                <c:pt idx="16">
                  <c:v>3</c:v>
                </c:pt>
                <c:pt idx="17">
                  <c:v>3</c:v>
                </c:pt>
                <c:pt idx="18">
                  <c:v>3</c:v>
                </c:pt>
                <c:pt idx="19">
                  <c:v>3</c:v>
                </c:pt>
                <c:pt idx="20">
                  <c:v>4</c:v>
                </c:pt>
                <c:pt idx="21">
                  <c:v>4</c:v>
                </c:pt>
                <c:pt idx="22">
                  <c:v>4</c:v>
                </c:pt>
                <c:pt idx="23">
                  <c:v>4</c:v>
                </c:pt>
                <c:pt idx="24">
                  <c:v>4</c:v>
                </c:pt>
              </c:numCache>
            </c:numRef>
          </c:xVal>
          <c:yVal>
            <c:numRef>
              <c:f>'Data &amp; Graph'!$G$9:$G$33</c:f>
              <c:numCache>
                <c:formatCode>General</c:formatCode>
                <c:ptCount val="25"/>
                <c:pt idx="0">
                  <c:v>#N/A</c:v>
                </c:pt>
                <c:pt idx="1">
                  <c:v>#N/A</c:v>
                </c:pt>
                <c:pt idx="2">
                  <c:v>2</c:v>
                </c:pt>
                <c:pt idx="3">
                  <c:v>3</c:v>
                </c:pt>
                <c:pt idx="4">
                  <c:v>4</c:v>
                </c:pt>
                <c:pt idx="5">
                  <c:v>#N/A</c:v>
                </c:pt>
                <c:pt idx="6">
                  <c:v>#N/A</c:v>
                </c:pt>
                <c:pt idx="7">
                  <c:v>2</c:v>
                </c:pt>
                <c:pt idx="8">
                  <c:v>3</c:v>
                </c:pt>
                <c:pt idx="9">
                  <c:v>4</c:v>
                </c:pt>
                <c:pt idx="10">
                  <c:v>0</c:v>
                </c:pt>
                <c:pt idx="11">
                  <c:v>#N/A</c:v>
                </c:pt>
                <c:pt idx="12">
                  <c:v>#N/A</c:v>
                </c:pt>
                <c:pt idx="13">
                  <c:v>3</c:v>
                </c:pt>
                <c:pt idx="14">
                  <c:v>4</c:v>
                </c:pt>
                <c:pt idx="15">
                  <c:v>0</c:v>
                </c:pt>
                <c:pt idx="16">
                  <c:v>1</c:v>
                </c:pt>
                <c:pt idx="17">
                  <c:v>2</c:v>
                </c:pt>
                <c:pt idx="18">
                  <c:v>3</c:v>
                </c:pt>
                <c:pt idx="19">
                  <c:v>4</c:v>
                </c:pt>
                <c:pt idx="20">
                  <c:v>0</c:v>
                </c:pt>
                <c:pt idx="21">
                  <c:v>1</c:v>
                </c:pt>
                <c:pt idx="22">
                  <c:v>2</c:v>
                </c:pt>
                <c:pt idx="23">
                  <c:v>3</c:v>
                </c:pt>
                <c:pt idx="24">
                  <c:v>4</c:v>
                </c:pt>
              </c:numCache>
            </c:numRef>
          </c:yVal>
          <c:smooth val="0"/>
          <c:extLst>
            <c:ext xmlns:c16="http://schemas.microsoft.com/office/drawing/2014/chart" uri="{C3380CC4-5D6E-409C-BE32-E72D297353CC}">
              <c16:uniqueId val="{00000002-D58B-4FDE-982A-9389B428216E}"/>
            </c:ext>
          </c:extLst>
        </c:ser>
        <c:ser>
          <c:idx val="2"/>
          <c:order val="2"/>
          <c:tx>
            <c:v>Best Split Line</c:v>
          </c:tx>
          <c:spPr>
            <a:ln w="25400" cap="rnd">
              <a:solidFill>
                <a:srgbClr val="FF0000"/>
              </a:solidFill>
              <a:prstDash val="sysDash"/>
              <a:round/>
            </a:ln>
            <a:effectLst/>
          </c:spPr>
          <c:marker>
            <c:symbol val="none"/>
          </c:marker>
          <c:xVal>
            <c:numRef>
              <c:f>'Decision Code'!$K$6:$L$6</c:f>
              <c:numCache>
                <c:formatCode>General</c:formatCode>
                <c:ptCount val="2"/>
                <c:pt idx="0">
                  <c:v>0</c:v>
                </c:pt>
                <c:pt idx="1">
                  <c:v>4.5</c:v>
                </c:pt>
              </c:numCache>
            </c:numRef>
          </c:xVal>
          <c:yVal>
            <c:numRef>
              <c:f>'Decision Code'!$K$5:$L$5</c:f>
              <c:numCache>
                <c:formatCode>General</c:formatCode>
                <c:ptCount val="2"/>
                <c:pt idx="0">
                  <c:v>1.5</c:v>
                </c:pt>
                <c:pt idx="1">
                  <c:v>1.5</c:v>
                </c:pt>
              </c:numCache>
            </c:numRef>
          </c:yVal>
          <c:smooth val="0"/>
          <c:extLst>
            <c:ext xmlns:c16="http://schemas.microsoft.com/office/drawing/2014/chart" uri="{C3380CC4-5D6E-409C-BE32-E72D297353CC}">
              <c16:uniqueId val="{00000003-D58B-4FDE-982A-9389B428216E}"/>
            </c:ext>
          </c:extLst>
        </c:ser>
        <c:dLbls>
          <c:showLegendKey val="0"/>
          <c:showVal val="0"/>
          <c:showCatName val="0"/>
          <c:showSerName val="0"/>
          <c:showPercent val="0"/>
          <c:showBubbleSize val="0"/>
        </c:dLbls>
        <c:axId val="445992872"/>
        <c:axId val="445993200"/>
      </c:scatterChart>
      <c:valAx>
        <c:axId val="445992872"/>
        <c:scaling>
          <c:orientation val="minMax"/>
          <c:max val="4.5"/>
          <c:min val="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strRef>
              <c:f>Table1[[#Headers],[Floor Slipperiness]]</c:f>
              <c:strCache>
                <c:ptCount val="1"/>
                <c:pt idx="0">
                  <c:v>Floor Slipperiness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993200"/>
        <c:crosses val="autoZero"/>
        <c:crossBetween val="midCat"/>
        <c:majorUnit val="1"/>
        <c:minorUnit val="0.5"/>
      </c:valAx>
      <c:valAx>
        <c:axId val="445993200"/>
        <c:scaling>
          <c:orientation val="minMax"/>
          <c:max val="4.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strRef>
              <c:f>Table1[[#Headers],[Shoe Slipperiness]]</c:f>
              <c:strCache>
                <c:ptCount val="1"/>
                <c:pt idx="0">
                  <c:v>Shoe Slipperiness</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992872"/>
        <c:crosses val="autoZero"/>
        <c:crossBetween val="midCat"/>
        <c:majorUnit val="1"/>
        <c:minorUnit val="0.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106680</xdr:colOff>
      <xdr:row>4</xdr:row>
      <xdr:rowOff>11430</xdr:rowOff>
    </xdr:from>
    <xdr:to>
      <xdr:col>16</xdr:col>
      <xdr:colOff>281940</xdr:colOff>
      <xdr:row>29</xdr:row>
      <xdr:rowOff>91440</xdr:rowOff>
    </xdr:to>
    <xdr:graphicFrame macro="">
      <xdr:nvGraphicFramePr>
        <xdr:cNvPr id="2" name="Chart 1">
          <a:extLst>
            <a:ext uri="{FF2B5EF4-FFF2-40B4-BE49-F238E27FC236}">
              <a16:creationId xmlns:a16="http://schemas.microsoft.com/office/drawing/2014/main" id="{946DDC99-8875-4464-9A6A-9E1F64A956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4C2528-88E1-46B3-9744-5F2E51360611}" name="Table1" displayName="Table1" ref="A8:G33" totalsRowShown="0" headerRowDxfId="4">
  <autoFilter ref="A8:G33" xr:uid="{C7F5CEE2-51AD-4662-9E09-93ADE64A3986}"/>
  <tableColumns count="7">
    <tableColumn id="1" xr3:uid="{DF5612AE-1CE5-47E2-B4C8-F838143FCEE1}" name="Shoe Slipperiness"/>
    <tableColumn id="2" xr3:uid="{4C45D1D9-1A91-4D9B-8EA1-6E8359E91146}" name="Floor Slipperiness"/>
    <tableColumn id="3" xr3:uid="{E9C3D793-62F9-452D-B118-345E671F2B33}" name="Outcome"/>
    <tableColumn id="4" xr3:uid="{A0B6B4D4-C304-43D2-A3E8-00CB645787E3}" name="No Fall X Vals" dataDxfId="3">
      <calculatedColumnFormula>IF(Table1[[#This Row],[Outcome]]="No Fall",Table1[[#This Row],[Floor Slipperiness]],#N/A)</calculatedColumnFormula>
    </tableColumn>
    <tableColumn id="5" xr3:uid="{FF48275B-EBF3-4CDD-885B-229EF83E2747}" name="No Fall Y Vals" dataDxfId="2">
      <calculatedColumnFormula>IF(Table1[[#This Row],[Outcome]]="No Fall",Table1[[#This Row],[Shoe Slipperiness]],#N/A)</calculatedColumnFormula>
    </tableColumn>
    <tableColumn id="6" xr3:uid="{06932B80-03D1-4522-89DF-E5285EA27BC2}" name="Fall X Vals" dataDxfId="1">
      <calculatedColumnFormula>IF(Table1[[#This Row],[Outcome]]="Fall",Table1[[#This Row],[Floor Slipperiness]],#N/A)</calculatedColumnFormula>
    </tableColumn>
    <tableColumn id="7" xr3:uid="{53020EA3-DFF2-4A63-90A4-0D18BE62C44B}" name="Fall Y Vals" dataDxfId="0">
      <calculatedColumnFormula>IF(Table1[[#This Row],[Outcome]]="Fall",Table1[[#This Row],[Shoe Slipperiness]],#N/A)</calculatedColumnFormula>
    </tableColumn>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3"/>
  <sheetViews>
    <sheetView tabSelected="1" topLeftCell="C4" workbookViewId="0">
      <selection activeCell="C27" sqref="C27"/>
    </sheetView>
  </sheetViews>
  <sheetFormatPr defaultRowHeight="14.4" x14ac:dyDescent="0.3"/>
  <cols>
    <col min="1" max="2" width="17.44140625" customWidth="1"/>
    <col min="3" max="7" width="10.6640625" customWidth="1"/>
  </cols>
  <sheetData>
    <row r="1" spans="1:7" ht="28.8" x14ac:dyDescent="0.55000000000000004">
      <c r="A1" s="3" t="s">
        <v>5</v>
      </c>
    </row>
    <row r="4" spans="1:7" x14ac:dyDescent="0.3">
      <c r="C4">
        <f>COUNTIF(Table1[Floor Slipperiness],"&lt;1")</f>
        <v>5</v>
      </c>
    </row>
    <row r="8" spans="1:7" x14ac:dyDescent="0.3">
      <c r="A8" s="1" t="s">
        <v>0</v>
      </c>
      <c r="B8" s="1" t="s">
        <v>1</v>
      </c>
      <c r="C8" s="1" t="s">
        <v>4</v>
      </c>
      <c r="D8" s="1" t="s">
        <v>6</v>
      </c>
      <c r="E8" s="1" t="s">
        <v>7</v>
      </c>
      <c r="F8" s="1" t="s">
        <v>8</v>
      </c>
      <c r="G8" s="1" t="s">
        <v>9</v>
      </c>
    </row>
    <row r="9" spans="1:7" x14ac:dyDescent="0.3">
      <c r="A9">
        <v>0</v>
      </c>
      <c r="B9">
        <v>0</v>
      </c>
      <c r="C9" t="s">
        <v>2</v>
      </c>
      <c r="D9">
        <f>IF(Table1[[#This Row],[Outcome]]="No Fall",Table1[[#This Row],[Floor Slipperiness]],#N/A)</f>
        <v>0</v>
      </c>
      <c r="E9">
        <f>IF(Table1[[#This Row],[Outcome]]="No Fall",Table1[[#This Row],[Shoe Slipperiness]],#N/A)</f>
        <v>0</v>
      </c>
      <c r="F9" t="e">
        <f>IF(Table1[[#This Row],[Outcome]]="Fall",Table1[[#This Row],[Floor Slipperiness]],#N/A)</f>
        <v>#N/A</v>
      </c>
      <c r="G9" t="e">
        <f>IF(Table1[[#This Row],[Outcome]]="Fall",Table1[[#This Row],[Shoe Slipperiness]],#N/A)</f>
        <v>#N/A</v>
      </c>
    </row>
    <row r="10" spans="1:7" x14ac:dyDescent="0.3">
      <c r="A10">
        <v>1</v>
      </c>
      <c r="B10">
        <v>0</v>
      </c>
      <c r="C10" t="s">
        <v>2</v>
      </c>
      <c r="D10">
        <f>IF(Table1[[#This Row],[Outcome]]="No Fall",Table1[[#This Row],[Floor Slipperiness]],#N/A)</f>
        <v>0</v>
      </c>
      <c r="E10">
        <f>IF(Table1[[#This Row],[Outcome]]="No Fall",Table1[[#This Row],[Shoe Slipperiness]],#N/A)</f>
        <v>1</v>
      </c>
      <c r="F10" t="e">
        <f>IF(Table1[[#This Row],[Outcome]]="Fall",Table1[[#This Row],[Floor Slipperiness]],#N/A)</f>
        <v>#N/A</v>
      </c>
      <c r="G10" t="e">
        <f>IF(Table1[[#This Row],[Outcome]]="Fall",Table1[[#This Row],[Shoe Slipperiness]],#N/A)</f>
        <v>#N/A</v>
      </c>
    </row>
    <row r="11" spans="1:7" x14ac:dyDescent="0.3">
      <c r="A11">
        <v>2</v>
      </c>
      <c r="B11">
        <v>0</v>
      </c>
      <c r="C11" t="s">
        <v>3</v>
      </c>
      <c r="D11" t="e">
        <f>IF(Table1[[#This Row],[Outcome]]="No Fall",Table1[[#This Row],[Floor Slipperiness]],#N/A)</f>
        <v>#N/A</v>
      </c>
      <c r="E11" t="e">
        <f>IF(Table1[[#This Row],[Outcome]]="No Fall",Table1[[#This Row],[Shoe Slipperiness]],#N/A)</f>
        <v>#N/A</v>
      </c>
      <c r="F11">
        <f>IF(Table1[[#This Row],[Outcome]]="Fall",Table1[[#This Row],[Floor Slipperiness]],#N/A)</f>
        <v>0</v>
      </c>
      <c r="G11">
        <f>IF(Table1[[#This Row],[Outcome]]="Fall",Table1[[#This Row],[Shoe Slipperiness]],#N/A)</f>
        <v>2</v>
      </c>
    </row>
    <row r="12" spans="1:7" x14ac:dyDescent="0.3">
      <c r="A12">
        <v>3</v>
      </c>
      <c r="B12">
        <v>0</v>
      </c>
      <c r="C12" t="s">
        <v>3</v>
      </c>
      <c r="D12" t="e">
        <f>IF(Table1[[#This Row],[Outcome]]="No Fall",Table1[[#This Row],[Floor Slipperiness]],#N/A)</f>
        <v>#N/A</v>
      </c>
      <c r="E12" t="e">
        <f>IF(Table1[[#This Row],[Outcome]]="No Fall",Table1[[#This Row],[Shoe Slipperiness]],#N/A)</f>
        <v>#N/A</v>
      </c>
      <c r="F12">
        <f>IF(Table1[[#This Row],[Outcome]]="Fall",Table1[[#This Row],[Floor Slipperiness]],#N/A)</f>
        <v>0</v>
      </c>
      <c r="G12">
        <f>IF(Table1[[#This Row],[Outcome]]="Fall",Table1[[#This Row],[Shoe Slipperiness]],#N/A)</f>
        <v>3</v>
      </c>
    </row>
    <row r="13" spans="1:7" x14ac:dyDescent="0.3">
      <c r="A13">
        <v>4</v>
      </c>
      <c r="B13">
        <v>0</v>
      </c>
      <c r="C13" t="s">
        <v>3</v>
      </c>
      <c r="D13" t="e">
        <f>IF(Table1[[#This Row],[Outcome]]="No Fall",Table1[[#This Row],[Floor Slipperiness]],#N/A)</f>
        <v>#N/A</v>
      </c>
      <c r="E13" t="e">
        <f>IF(Table1[[#This Row],[Outcome]]="No Fall",Table1[[#This Row],[Shoe Slipperiness]],#N/A)</f>
        <v>#N/A</v>
      </c>
      <c r="F13">
        <f>IF(Table1[[#This Row],[Outcome]]="Fall",Table1[[#This Row],[Floor Slipperiness]],#N/A)</f>
        <v>0</v>
      </c>
      <c r="G13">
        <f>IF(Table1[[#This Row],[Outcome]]="Fall",Table1[[#This Row],[Shoe Slipperiness]],#N/A)</f>
        <v>4</v>
      </c>
    </row>
    <row r="14" spans="1:7" x14ac:dyDescent="0.3">
      <c r="A14">
        <v>0</v>
      </c>
      <c r="B14">
        <v>1</v>
      </c>
      <c r="C14" t="s">
        <v>2</v>
      </c>
      <c r="D14">
        <f>IF(Table1[[#This Row],[Outcome]]="No Fall",Table1[[#This Row],[Floor Slipperiness]],#N/A)</f>
        <v>1</v>
      </c>
      <c r="E14">
        <f>IF(Table1[[#This Row],[Outcome]]="No Fall",Table1[[#This Row],[Shoe Slipperiness]],#N/A)</f>
        <v>0</v>
      </c>
      <c r="F14" t="e">
        <f>IF(Table1[[#This Row],[Outcome]]="Fall",Table1[[#This Row],[Floor Slipperiness]],#N/A)</f>
        <v>#N/A</v>
      </c>
      <c r="G14" t="e">
        <f>IF(Table1[[#This Row],[Outcome]]="Fall",Table1[[#This Row],[Shoe Slipperiness]],#N/A)</f>
        <v>#N/A</v>
      </c>
    </row>
    <row r="15" spans="1:7" x14ac:dyDescent="0.3">
      <c r="A15">
        <v>1</v>
      </c>
      <c r="B15">
        <v>1</v>
      </c>
      <c r="C15" t="s">
        <v>2</v>
      </c>
      <c r="D15">
        <f>IF(Table1[[#This Row],[Outcome]]="No Fall",Table1[[#This Row],[Floor Slipperiness]],#N/A)</f>
        <v>1</v>
      </c>
      <c r="E15">
        <f>IF(Table1[[#This Row],[Outcome]]="No Fall",Table1[[#This Row],[Shoe Slipperiness]],#N/A)</f>
        <v>1</v>
      </c>
      <c r="F15" t="e">
        <f>IF(Table1[[#This Row],[Outcome]]="Fall",Table1[[#This Row],[Floor Slipperiness]],#N/A)</f>
        <v>#N/A</v>
      </c>
      <c r="G15" t="e">
        <f>IF(Table1[[#This Row],[Outcome]]="Fall",Table1[[#This Row],[Shoe Slipperiness]],#N/A)</f>
        <v>#N/A</v>
      </c>
    </row>
    <row r="16" spans="1:7" x14ac:dyDescent="0.3">
      <c r="A16">
        <v>2</v>
      </c>
      <c r="B16">
        <v>1</v>
      </c>
      <c r="C16" t="s">
        <v>3</v>
      </c>
      <c r="D16" t="e">
        <f>IF(Table1[[#This Row],[Outcome]]="No Fall",Table1[[#This Row],[Floor Slipperiness]],#N/A)</f>
        <v>#N/A</v>
      </c>
      <c r="E16" t="e">
        <f>IF(Table1[[#This Row],[Outcome]]="No Fall",Table1[[#This Row],[Shoe Slipperiness]],#N/A)</f>
        <v>#N/A</v>
      </c>
      <c r="F16">
        <f>IF(Table1[[#This Row],[Outcome]]="Fall",Table1[[#This Row],[Floor Slipperiness]],#N/A)</f>
        <v>1</v>
      </c>
      <c r="G16">
        <f>IF(Table1[[#This Row],[Outcome]]="Fall",Table1[[#This Row],[Shoe Slipperiness]],#N/A)</f>
        <v>2</v>
      </c>
    </row>
    <row r="17" spans="1:7" x14ac:dyDescent="0.3">
      <c r="A17">
        <v>3</v>
      </c>
      <c r="B17">
        <v>1</v>
      </c>
      <c r="C17" t="s">
        <v>3</v>
      </c>
      <c r="D17" t="e">
        <f>IF(Table1[[#This Row],[Outcome]]="No Fall",Table1[[#This Row],[Floor Slipperiness]],#N/A)</f>
        <v>#N/A</v>
      </c>
      <c r="E17" t="e">
        <f>IF(Table1[[#This Row],[Outcome]]="No Fall",Table1[[#This Row],[Shoe Slipperiness]],#N/A)</f>
        <v>#N/A</v>
      </c>
      <c r="F17">
        <f>IF(Table1[[#This Row],[Outcome]]="Fall",Table1[[#This Row],[Floor Slipperiness]],#N/A)</f>
        <v>1</v>
      </c>
      <c r="G17">
        <f>IF(Table1[[#This Row],[Outcome]]="Fall",Table1[[#This Row],[Shoe Slipperiness]],#N/A)</f>
        <v>3</v>
      </c>
    </row>
    <row r="18" spans="1:7" x14ac:dyDescent="0.3">
      <c r="A18">
        <v>4</v>
      </c>
      <c r="B18">
        <v>1</v>
      </c>
      <c r="C18" t="s">
        <v>3</v>
      </c>
      <c r="D18" t="e">
        <f>IF(Table1[[#This Row],[Outcome]]="No Fall",Table1[[#This Row],[Floor Slipperiness]],#N/A)</f>
        <v>#N/A</v>
      </c>
      <c r="E18" t="e">
        <f>IF(Table1[[#This Row],[Outcome]]="No Fall",Table1[[#This Row],[Shoe Slipperiness]],#N/A)</f>
        <v>#N/A</v>
      </c>
      <c r="F18">
        <f>IF(Table1[[#This Row],[Outcome]]="Fall",Table1[[#This Row],[Floor Slipperiness]],#N/A)</f>
        <v>1</v>
      </c>
      <c r="G18">
        <f>IF(Table1[[#This Row],[Outcome]]="Fall",Table1[[#This Row],[Shoe Slipperiness]],#N/A)</f>
        <v>4</v>
      </c>
    </row>
    <row r="19" spans="1:7" x14ac:dyDescent="0.3">
      <c r="A19">
        <v>0</v>
      </c>
      <c r="B19">
        <v>2</v>
      </c>
      <c r="C19" t="s">
        <v>3</v>
      </c>
      <c r="D19" t="e">
        <f>IF(Table1[[#This Row],[Outcome]]="No Fall",Table1[[#This Row],[Floor Slipperiness]],#N/A)</f>
        <v>#N/A</v>
      </c>
      <c r="E19" t="e">
        <f>IF(Table1[[#This Row],[Outcome]]="No Fall",Table1[[#This Row],[Shoe Slipperiness]],#N/A)</f>
        <v>#N/A</v>
      </c>
      <c r="F19">
        <f>IF(Table1[[#This Row],[Outcome]]="Fall",Table1[[#This Row],[Floor Slipperiness]],#N/A)</f>
        <v>2</v>
      </c>
      <c r="G19">
        <f>IF(Table1[[#This Row],[Outcome]]="Fall",Table1[[#This Row],[Shoe Slipperiness]],#N/A)</f>
        <v>0</v>
      </c>
    </row>
    <row r="20" spans="1:7" x14ac:dyDescent="0.3">
      <c r="A20">
        <v>1</v>
      </c>
      <c r="B20">
        <v>2</v>
      </c>
      <c r="C20" t="s">
        <v>2</v>
      </c>
      <c r="D20">
        <f>IF(Table1[[#This Row],[Outcome]]="No Fall",Table1[[#This Row],[Floor Slipperiness]],#N/A)</f>
        <v>2</v>
      </c>
      <c r="E20">
        <f>IF(Table1[[#This Row],[Outcome]]="No Fall",Table1[[#This Row],[Shoe Slipperiness]],#N/A)</f>
        <v>1</v>
      </c>
      <c r="F20" t="e">
        <f>IF(Table1[[#This Row],[Outcome]]="Fall",Table1[[#This Row],[Floor Slipperiness]],#N/A)</f>
        <v>#N/A</v>
      </c>
      <c r="G20" t="e">
        <f>IF(Table1[[#This Row],[Outcome]]="Fall",Table1[[#This Row],[Shoe Slipperiness]],#N/A)</f>
        <v>#N/A</v>
      </c>
    </row>
    <row r="21" spans="1:7" x14ac:dyDescent="0.3">
      <c r="A21">
        <v>2</v>
      </c>
      <c r="B21">
        <v>2</v>
      </c>
      <c r="C21" t="s">
        <v>2</v>
      </c>
      <c r="D21">
        <f>IF(Table1[[#This Row],[Outcome]]="No Fall",Table1[[#This Row],[Floor Slipperiness]],#N/A)</f>
        <v>2</v>
      </c>
      <c r="E21">
        <f>IF(Table1[[#This Row],[Outcome]]="No Fall",Table1[[#This Row],[Shoe Slipperiness]],#N/A)</f>
        <v>2</v>
      </c>
      <c r="F21" t="e">
        <f>IF(Table1[[#This Row],[Outcome]]="Fall",Table1[[#This Row],[Floor Slipperiness]],#N/A)</f>
        <v>#N/A</v>
      </c>
      <c r="G21" t="e">
        <f>IF(Table1[[#This Row],[Outcome]]="Fall",Table1[[#This Row],[Shoe Slipperiness]],#N/A)</f>
        <v>#N/A</v>
      </c>
    </row>
    <row r="22" spans="1:7" x14ac:dyDescent="0.3">
      <c r="A22">
        <v>3</v>
      </c>
      <c r="B22">
        <v>2</v>
      </c>
      <c r="C22" t="s">
        <v>3</v>
      </c>
      <c r="D22" t="e">
        <f>IF(Table1[[#This Row],[Outcome]]="No Fall",Table1[[#This Row],[Floor Slipperiness]],#N/A)</f>
        <v>#N/A</v>
      </c>
      <c r="E22" t="e">
        <f>IF(Table1[[#This Row],[Outcome]]="No Fall",Table1[[#This Row],[Shoe Slipperiness]],#N/A)</f>
        <v>#N/A</v>
      </c>
      <c r="F22">
        <f>IF(Table1[[#This Row],[Outcome]]="Fall",Table1[[#This Row],[Floor Slipperiness]],#N/A)</f>
        <v>2</v>
      </c>
      <c r="G22">
        <f>IF(Table1[[#This Row],[Outcome]]="Fall",Table1[[#This Row],[Shoe Slipperiness]],#N/A)</f>
        <v>3</v>
      </c>
    </row>
    <row r="23" spans="1:7" x14ac:dyDescent="0.3">
      <c r="A23">
        <v>4</v>
      </c>
      <c r="B23">
        <v>2</v>
      </c>
      <c r="C23" t="s">
        <v>3</v>
      </c>
      <c r="D23" t="e">
        <f>IF(Table1[[#This Row],[Outcome]]="No Fall",Table1[[#This Row],[Floor Slipperiness]],#N/A)</f>
        <v>#N/A</v>
      </c>
      <c r="E23" t="e">
        <f>IF(Table1[[#This Row],[Outcome]]="No Fall",Table1[[#This Row],[Shoe Slipperiness]],#N/A)</f>
        <v>#N/A</v>
      </c>
      <c r="F23">
        <f>IF(Table1[[#This Row],[Outcome]]="Fall",Table1[[#This Row],[Floor Slipperiness]],#N/A)</f>
        <v>2</v>
      </c>
      <c r="G23">
        <f>IF(Table1[[#This Row],[Outcome]]="Fall",Table1[[#This Row],[Shoe Slipperiness]],#N/A)</f>
        <v>4</v>
      </c>
    </row>
    <row r="24" spans="1:7" x14ac:dyDescent="0.3">
      <c r="A24">
        <v>0</v>
      </c>
      <c r="B24">
        <v>3</v>
      </c>
      <c r="C24" t="s">
        <v>3</v>
      </c>
      <c r="D24" t="e">
        <f>IF(Table1[[#This Row],[Outcome]]="No Fall",Table1[[#This Row],[Floor Slipperiness]],#N/A)</f>
        <v>#N/A</v>
      </c>
      <c r="E24" t="e">
        <f>IF(Table1[[#This Row],[Outcome]]="No Fall",Table1[[#This Row],[Shoe Slipperiness]],#N/A)</f>
        <v>#N/A</v>
      </c>
      <c r="F24">
        <f>IF(Table1[[#This Row],[Outcome]]="Fall",Table1[[#This Row],[Floor Slipperiness]],#N/A)</f>
        <v>3</v>
      </c>
      <c r="G24">
        <f>IF(Table1[[#This Row],[Outcome]]="Fall",Table1[[#This Row],[Shoe Slipperiness]],#N/A)</f>
        <v>0</v>
      </c>
    </row>
    <row r="25" spans="1:7" x14ac:dyDescent="0.3">
      <c r="A25">
        <v>1</v>
      </c>
      <c r="B25">
        <v>3</v>
      </c>
      <c r="C25" t="s">
        <v>3</v>
      </c>
      <c r="D25" t="e">
        <f>IF(Table1[[#This Row],[Outcome]]="No Fall",Table1[[#This Row],[Floor Slipperiness]],#N/A)</f>
        <v>#N/A</v>
      </c>
      <c r="E25" t="e">
        <f>IF(Table1[[#This Row],[Outcome]]="No Fall",Table1[[#This Row],[Shoe Slipperiness]],#N/A)</f>
        <v>#N/A</v>
      </c>
      <c r="F25">
        <f>IF(Table1[[#This Row],[Outcome]]="Fall",Table1[[#This Row],[Floor Slipperiness]],#N/A)</f>
        <v>3</v>
      </c>
      <c r="G25">
        <f>IF(Table1[[#This Row],[Outcome]]="Fall",Table1[[#This Row],[Shoe Slipperiness]],#N/A)</f>
        <v>1</v>
      </c>
    </row>
    <row r="26" spans="1:7" x14ac:dyDescent="0.3">
      <c r="A26">
        <v>2</v>
      </c>
      <c r="B26">
        <v>3</v>
      </c>
      <c r="C26" t="s">
        <v>3</v>
      </c>
      <c r="D26" t="e">
        <f>IF(Table1[[#This Row],[Outcome]]="No Fall",Table1[[#This Row],[Floor Slipperiness]],#N/A)</f>
        <v>#N/A</v>
      </c>
      <c r="E26" t="e">
        <f>IF(Table1[[#This Row],[Outcome]]="No Fall",Table1[[#This Row],[Shoe Slipperiness]],#N/A)</f>
        <v>#N/A</v>
      </c>
      <c r="F26">
        <f>IF(Table1[[#This Row],[Outcome]]="Fall",Table1[[#This Row],[Floor Slipperiness]],#N/A)</f>
        <v>3</v>
      </c>
      <c r="G26">
        <f>IF(Table1[[#This Row],[Outcome]]="Fall",Table1[[#This Row],[Shoe Slipperiness]],#N/A)</f>
        <v>2</v>
      </c>
    </row>
    <row r="27" spans="1:7" x14ac:dyDescent="0.3">
      <c r="A27">
        <v>3</v>
      </c>
      <c r="B27">
        <v>3</v>
      </c>
      <c r="C27" t="s">
        <v>3</v>
      </c>
      <c r="D27" t="e">
        <f>IF(Table1[[#This Row],[Outcome]]="No Fall",Table1[[#This Row],[Floor Slipperiness]],#N/A)</f>
        <v>#N/A</v>
      </c>
      <c r="E27" t="e">
        <f>IF(Table1[[#This Row],[Outcome]]="No Fall",Table1[[#This Row],[Shoe Slipperiness]],#N/A)</f>
        <v>#N/A</v>
      </c>
      <c r="F27">
        <f>IF(Table1[[#This Row],[Outcome]]="Fall",Table1[[#This Row],[Floor Slipperiness]],#N/A)</f>
        <v>3</v>
      </c>
      <c r="G27">
        <f>IF(Table1[[#This Row],[Outcome]]="Fall",Table1[[#This Row],[Shoe Slipperiness]],#N/A)</f>
        <v>3</v>
      </c>
    </row>
    <row r="28" spans="1:7" x14ac:dyDescent="0.3">
      <c r="A28">
        <v>4</v>
      </c>
      <c r="B28">
        <v>3</v>
      </c>
      <c r="C28" t="s">
        <v>3</v>
      </c>
      <c r="D28" t="e">
        <f>IF(Table1[[#This Row],[Outcome]]="No Fall",Table1[[#This Row],[Floor Slipperiness]],#N/A)</f>
        <v>#N/A</v>
      </c>
      <c r="E28" t="e">
        <f>IF(Table1[[#This Row],[Outcome]]="No Fall",Table1[[#This Row],[Shoe Slipperiness]],#N/A)</f>
        <v>#N/A</v>
      </c>
      <c r="F28">
        <f>IF(Table1[[#This Row],[Outcome]]="Fall",Table1[[#This Row],[Floor Slipperiness]],#N/A)</f>
        <v>3</v>
      </c>
      <c r="G28">
        <f>IF(Table1[[#This Row],[Outcome]]="Fall",Table1[[#This Row],[Shoe Slipperiness]],#N/A)</f>
        <v>4</v>
      </c>
    </row>
    <row r="29" spans="1:7" x14ac:dyDescent="0.3">
      <c r="A29">
        <v>0</v>
      </c>
      <c r="B29">
        <v>4</v>
      </c>
      <c r="C29" t="s">
        <v>3</v>
      </c>
      <c r="D29" t="e">
        <f>IF(Table1[[#This Row],[Outcome]]="No Fall",Table1[[#This Row],[Floor Slipperiness]],#N/A)</f>
        <v>#N/A</v>
      </c>
      <c r="E29" t="e">
        <f>IF(Table1[[#This Row],[Outcome]]="No Fall",Table1[[#This Row],[Shoe Slipperiness]],#N/A)</f>
        <v>#N/A</v>
      </c>
      <c r="F29">
        <f>IF(Table1[[#This Row],[Outcome]]="Fall",Table1[[#This Row],[Floor Slipperiness]],#N/A)</f>
        <v>4</v>
      </c>
      <c r="G29">
        <f>IF(Table1[[#This Row],[Outcome]]="Fall",Table1[[#This Row],[Shoe Slipperiness]],#N/A)</f>
        <v>0</v>
      </c>
    </row>
    <row r="30" spans="1:7" x14ac:dyDescent="0.3">
      <c r="A30">
        <v>1</v>
      </c>
      <c r="B30">
        <v>4</v>
      </c>
      <c r="C30" t="s">
        <v>3</v>
      </c>
      <c r="D30" t="e">
        <f>IF(Table1[[#This Row],[Outcome]]="No Fall",Table1[[#This Row],[Floor Slipperiness]],#N/A)</f>
        <v>#N/A</v>
      </c>
      <c r="E30" t="e">
        <f>IF(Table1[[#This Row],[Outcome]]="No Fall",Table1[[#This Row],[Shoe Slipperiness]],#N/A)</f>
        <v>#N/A</v>
      </c>
      <c r="F30">
        <f>IF(Table1[[#This Row],[Outcome]]="Fall",Table1[[#This Row],[Floor Slipperiness]],#N/A)</f>
        <v>4</v>
      </c>
      <c r="G30">
        <f>IF(Table1[[#This Row],[Outcome]]="Fall",Table1[[#This Row],[Shoe Slipperiness]],#N/A)</f>
        <v>1</v>
      </c>
    </row>
    <row r="31" spans="1:7" x14ac:dyDescent="0.3">
      <c r="A31">
        <v>2</v>
      </c>
      <c r="B31">
        <v>4</v>
      </c>
      <c r="C31" t="s">
        <v>3</v>
      </c>
      <c r="D31" t="e">
        <f>IF(Table1[[#This Row],[Outcome]]="No Fall",Table1[[#This Row],[Floor Slipperiness]],#N/A)</f>
        <v>#N/A</v>
      </c>
      <c r="E31" t="e">
        <f>IF(Table1[[#This Row],[Outcome]]="No Fall",Table1[[#This Row],[Shoe Slipperiness]],#N/A)</f>
        <v>#N/A</v>
      </c>
      <c r="F31">
        <f>IF(Table1[[#This Row],[Outcome]]="Fall",Table1[[#This Row],[Floor Slipperiness]],#N/A)</f>
        <v>4</v>
      </c>
      <c r="G31">
        <f>IF(Table1[[#This Row],[Outcome]]="Fall",Table1[[#This Row],[Shoe Slipperiness]],#N/A)</f>
        <v>2</v>
      </c>
    </row>
    <row r="32" spans="1:7" x14ac:dyDescent="0.3">
      <c r="A32">
        <v>3</v>
      </c>
      <c r="B32">
        <v>4</v>
      </c>
      <c r="C32" t="s">
        <v>3</v>
      </c>
      <c r="D32" t="e">
        <f>IF(Table1[[#This Row],[Outcome]]="No Fall",Table1[[#This Row],[Floor Slipperiness]],#N/A)</f>
        <v>#N/A</v>
      </c>
      <c r="E32" t="e">
        <f>IF(Table1[[#This Row],[Outcome]]="No Fall",Table1[[#This Row],[Shoe Slipperiness]],#N/A)</f>
        <v>#N/A</v>
      </c>
      <c r="F32">
        <f>IF(Table1[[#This Row],[Outcome]]="Fall",Table1[[#This Row],[Floor Slipperiness]],#N/A)</f>
        <v>4</v>
      </c>
      <c r="G32">
        <f>IF(Table1[[#This Row],[Outcome]]="Fall",Table1[[#This Row],[Shoe Slipperiness]],#N/A)</f>
        <v>3</v>
      </c>
    </row>
    <row r="33" spans="1:7" x14ac:dyDescent="0.3">
      <c r="A33">
        <v>4</v>
      </c>
      <c r="B33">
        <v>4</v>
      </c>
      <c r="C33" t="s">
        <v>3</v>
      </c>
      <c r="D33" t="e">
        <f>IF(Table1[[#This Row],[Outcome]]="No Fall",Table1[[#This Row],[Floor Slipperiness]],#N/A)</f>
        <v>#N/A</v>
      </c>
      <c r="E33" t="e">
        <f>IF(Table1[[#This Row],[Outcome]]="No Fall",Table1[[#This Row],[Shoe Slipperiness]],#N/A)</f>
        <v>#N/A</v>
      </c>
      <c r="F33">
        <f>IF(Table1[[#This Row],[Outcome]]="Fall",Table1[[#This Row],[Floor Slipperiness]],#N/A)</f>
        <v>4</v>
      </c>
      <c r="G33">
        <f>IF(Table1[[#This Row],[Outcome]]="Fall",Table1[[#This Row],[Shoe Slipperiness]],#N/A)</f>
        <v>4</v>
      </c>
    </row>
  </sheetData>
  <pageMargins left="0.7" right="0.7" top="0.75" bottom="0.75" header="0.3" footer="0.3"/>
  <pageSetup paperSize="9" orientation="portrait" verticalDpi="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479D1-DBA9-48F5-A68F-4EBBD3FABB24}">
  <dimension ref="A2:N30"/>
  <sheetViews>
    <sheetView topLeftCell="B1" workbookViewId="0">
      <selection activeCell="D29" sqref="D29"/>
    </sheetView>
  </sheetViews>
  <sheetFormatPr defaultRowHeight="14.4" x14ac:dyDescent="0.3"/>
  <cols>
    <col min="1" max="1" width="16.44140625" customWidth="1"/>
    <col min="2" max="2" width="15.6640625" bestFit="1" customWidth="1"/>
    <col min="4" max="4" width="17" customWidth="1"/>
    <col min="5" max="5" width="12.88671875" bestFit="1" customWidth="1"/>
    <col min="6" max="6" width="8" bestFit="1" customWidth="1"/>
    <col min="7" max="7" width="10.88671875" bestFit="1" customWidth="1"/>
    <col min="8" max="8" width="11.88671875" bestFit="1" customWidth="1"/>
    <col min="9" max="9" width="12.88671875" bestFit="1" customWidth="1"/>
    <col min="10" max="10" width="8" bestFit="1" customWidth="1"/>
    <col min="11" max="12" width="11.88671875" bestFit="1" customWidth="1"/>
    <col min="13" max="13" width="16.88671875" bestFit="1" customWidth="1"/>
    <col min="14" max="14" width="18.33203125" bestFit="1" customWidth="1"/>
  </cols>
  <sheetData>
    <row r="2" spans="1:14" x14ac:dyDescent="0.3">
      <c r="A2" t="s">
        <v>10</v>
      </c>
    </row>
    <row r="3" spans="1:14" ht="14.4" customHeight="1" x14ac:dyDescent="0.3">
      <c r="D3" s="14" t="s">
        <v>26</v>
      </c>
      <c r="E3" s="14"/>
    </row>
    <row r="4" spans="1:14" ht="14.4" customHeight="1" x14ac:dyDescent="0.3">
      <c r="D4" s="14"/>
      <c r="E4" s="14"/>
      <c r="H4" s="11" t="s">
        <v>19</v>
      </c>
      <c r="I4" s="11"/>
      <c r="K4" s="11" t="s">
        <v>23</v>
      </c>
      <c r="L4" s="11"/>
    </row>
    <row r="5" spans="1:14" ht="15" thickBot="1" x14ac:dyDescent="0.35">
      <c r="D5" s="10" t="s">
        <v>14</v>
      </c>
      <c r="E5" s="13">
        <f>COUNTIF(Table1[Outcome],"Fall")</f>
        <v>19</v>
      </c>
      <c r="H5" s="12" t="s">
        <v>20</v>
      </c>
      <c r="I5" s="8">
        <f>MAX(N:N)</f>
        <v>9.0133333333333343E-2</v>
      </c>
      <c r="K5" s="13">
        <f>IF(I7="Shoe",I6,0)</f>
        <v>1.5</v>
      </c>
      <c r="L5" s="13">
        <f>IF(I7="Shoe",I6,4.5)</f>
        <v>1.5</v>
      </c>
    </row>
    <row r="6" spans="1:14" ht="15" thickBot="1" x14ac:dyDescent="0.35">
      <c r="A6" s="4" t="s">
        <v>0</v>
      </c>
      <c r="B6" s="4" t="s">
        <v>1</v>
      </c>
      <c r="D6" s="10" t="s">
        <v>15</v>
      </c>
      <c r="E6" s="13">
        <f>COUNTIF(Table1[Outcome],"No Fall")</f>
        <v>6</v>
      </c>
      <c r="H6" s="12" t="s">
        <v>21</v>
      </c>
      <c r="I6" s="7">
        <f>INDEX(D:D,MATCH(I5,N:N,0))</f>
        <v>1.5</v>
      </c>
      <c r="K6" s="13">
        <f>IF(I7="Floor",I6,0)</f>
        <v>0</v>
      </c>
      <c r="L6" s="13">
        <f>IF(I7="Floor",I6,4.5)</f>
        <v>4.5</v>
      </c>
    </row>
    <row r="7" spans="1:14" x14ac:dyDescent="0.3">
      <c r="A7" s="5">
        <v>0</v>
      </c>
      <c r="B7" s="5">
        <v>0</v>
      </c>
      <c r="D7" s="10" t="s">
        <v>18</v>
      </c>
      <c r="E7" s="13">
        <f>E5/(E5+E6)*E6/(E5+E6)+E6/(E5+E6)*E5/(E5+E6)</f>
        <v>0.36480000000000001</v>
      </c>
      <c r="H7" s="12" t="s">
        <v>22</v>
      </c>
      <c r="I7" s="7" t="str">
        <f>IF(MATCH("Shoe",D:D,0)&lt;MATCH(I5,N:N,0),"Shoe","Floor")</f>
        <v>Shoe</v>
      </c>
    </row>
    <row r="8" spans="1:14" x14ac:dyDescent="0.3">
      <c r="A8" s="6">
        <v>1</v>
      </c>
      <c r="B8" s="6">
        <v>1</v>
      </c>
    </row>
    <row r="9" spans="1:14" x14ac:dyDescent="0.3">
      <c r="A9" s="5">
        <v>2</v>
      </c>
      <c r="B9" s="5">
        <v>2</v>
      </c>
    </row>
    <row r="10" spans="1:14" x14ac:dyDescent="0.3">
      <c r="A10" s="6">
        <v>3</v>
      </c>
      <c r="B10" s="6">
        <v>3</v>
      </c>
    </row>
    <row r="11" spans="1:14" ht="14.4" customHeight="1" x14ac:dyDescent="0.3">
      <c r="A11" s="5">
        <v>4</v>
      </c>
      <c r="B11" s="5">
        <v>4</v>
      </c>
      <c r="D11" s="1"/>
      <c r="E11" s="17" t="s">
        <v>25</v>
      </c>
      <c r="F11" s="18"/>
      <c r="G11" s="18"/>
      <c r="H11" s="18"/>
      <c r="I11" s="24" t="s">
        <v>24</v>
      </c>
      <c r="J11" s="24"/>
      <c r="K11" s="24"/>
      <c r="L11" s="24"/>
      <c r="M11" s="28" t="s">
        <v>27</v>
      </c>
      <c r="N11" s="28" t="s">
        <v>28</v>
      </c>
    </row>
    <row r="12" spans="1:14" x14ac:dyDescent="0.3">
      <c r="D12" s="9" t="s">
        <v>11</v>
      </c>
      <c r="E12" s="19"/>
      <c r="F12" s="20"/>
      <c r="G12" s="20"/>
      <c r="H12" s="20"/>
      <c r="I12" s="25"/>
      <c r="J12" s="25"/>
      <c r="K12" s="25"/>
      <c r="L12" s="25"/>
      <c r="M12" s="29"/>
      <c r="N12" s="29"/>
    </row>
    <row r="13" spans="1:14" x14ac:dyDescent="0.3">
      <c r="D13" s="9" t="s">
        <v>12</v>
      </c>
      <c r="E13" s="21" t="s">
        <v>13</v>
      </c>
      <c r="F13" s="21" t="s">
        <v>14</v>
      </c>
      <c r="G13" s="21" t="s">
        <v>15</v>
      </c>
      <c r="H13" s="21" t="s">
        <v>16</v>
      </c>
      <c r="I13" s="26" t="s">
        <v>13</v>
      </c>
      <c r="J13" s="26" t="s">
        <v>14</v>
      </c>
      <c r="K13" s="26" t="s">
        <v>15</v>
      </c>
      <c r="L13" s="26" t="s">
        <v>16</v>
      </c>
      <c r="M13" s="30"/>
      <c r="N13" s="30"/>
    </row>
    <row r="14" spans="1:14" x14ac:dyDescent="0.3">
      <c r="D14" s="7">
        <f t="shared" ref="D14:D16" si="0">AVERAGE(B7:B8)</f>
        <v>0.5</v>
      </c>
      <c r="E14" s="15">
        <f>COUNTIF(Table1[Floor Slipperiness],"&lt;"&amp;D14)</f>
        <v>5</v>
      </c>
      <c r="F14" s="15">
        <f>COUNTIFS(Table1[Floor Slipperiness],"&lt;"&amp;D14,Table1[Outcome],"Fall")</f>
        <v>3</v>
      </c>
      <c r="G14" s="15">
        <f>COUNTIFS(Table1[Floor Slipperiness],"&lt;"&amp;D14,Table1[Outcome],"No Fall")</f>
        <v>2</v>
      </c>
      <c r="H14" s="16">
        <f>G14/E14*F14/E14+F14/E14*G14/E14</f>
        <v>0.48000000000000004</v>
      </c>
      <c r="I14" s="22">
        <f>COUNTIF(Table1[Floor Slipperiness],"&gt;="&amp;D14)</f>
        <v>20</v>
      </c>
      <c r="J14" s="22">
        <f>COUNTIFS(Table1[Floor Slipperiness],"&gt;="&amp;D14,Table1[Outcome],"Fall")</f>
        <v>16</v>
      </c>
      <c r="K14" s="22">
        <f>COUNTIFS(Table1[Floor Slipperiness],"&gt;="&amp;D14,Table1[Outcome],"No Fall")</f>
        <v>4</v>
      </c>
      <c r="L14" s="23">
        <f>K14/I14*J14/I14+J14/I14*K14/I14</f>
        <v>0.32</v>
      </c>
      <c r="M14" s="27">
        <f>L14*I14/(I14+E14)+H14*E14/(I14+E14)</f>
        <v>0.35200000000000004</v>
      </c>
      <c r="N14" s="27">
        <f>$E$7-M14</f>
        <v>1.2799999999999978E-2</v>
      </c>
    </row>
    <row r="15" spans="1:14" x14ac:dyDescent="0.3">
      <c r="D15" s="7">
        <f t="shared" si="0"/>
        <v>1.5</v>
      </c>
      <c r="E15" s="15">
        <f>COUNTIF(Table1[Floor Slipperiness],"&lt;"&amp;D15)</f>
        <v>10</v>
      </c>
      <c r="F15" s="15">
        <f>COUNTIFS(Table1[Floor Slipperiness],"&lt;"&amp;D15,Table1[Outcome],"Fall")</f>
        <v>6</v>
      </c>
      <c r="G15" s="15">
        <f>COUNTIFS(Table1[Floor Slipperiness],"&lt;"&amp;D15,Table1[Outcome],"No Fall")</f>
        <v>4</v>
      </c>
      <c r="H15" s="16">
        <f t="shared" ref="H15:H17" si="1">G15/E15*F15/E15+F15/E15*G15/E15</f>
        <v>0.48000000000000004</v>
      </c>
      <c r="I15" s="22">
        <f>COUNTIF(Table1[Floor Slipperiness],"&gt;="&amp;D15)</f>
        <v>15</v>
      </c>
      <c r="J15" s="22">
        <f>COUNTIFS(Table1[Floor Slipperiness],"&gt;="&amp;D15,Table1[Outcome],"Fall")</f>
        <v>13</v>
      </c>
      <c r="K15" s="22">
        <f>COUNTIFS(Table1[Floor Slipperiness],"&gt;="&amp;D15,Table1[Outcome],"No Fall")</f>
        <v>2</v>
      </c>
      <c r="L15" s="23">
        <f t="shared" ref="L15:L17" si="2">K15/I15*J15/I15+J15/I15*K15/I15</f>
        <v>0.23111111111111113</v>
      </c>
      <c r="M15" s="27">
        <f t="shared" ref="M15:M17" si="3">L15*I15/(I15+E15)+H15*E15/(I15+E15)</f>
        <v>0.33066666666666666</v>
      </c>
      <c r="N15" s="27">
        <f t="shared" ref="N15:N17" si="4">$E$7-M15</f>
        <v>3.4133333333333349E-2</v>
      </c>
    </row>
    <row r="16" spans="1:14" x14ac:dyDescent="0.3">
      <c r="D16" s="7">
        <f t="shared" si="0"/>
        <v>2.5</v>
      </c>
      <c r="E16" s="15">
        <f>COUNTIF(Table1[Floor Slipperiness],"&lt;"&amp;D16)</f>
        <v>15</v>
      </c>
      <c r="F16" s="15">
        <f>COUNTIFS(Table1[Floor Slipperiness],"&lt;"&amp;D16,Table1[Outcome],"Fall")</f>
        <v>9</v>
      </c>
      <c r="G16" s="15">
        <f>COUNTIFS(Table1[Floor Slipperiness],"&lt;"&amp;D16,Table1[Outcome],"No Fall")</f>
        <v>6</v>
      </c>
      <c r="H16" s="16">
        <f t="shared" si="1"/>
        <v>0.48</v>
      </c>
      <c r="I16" s="22">
        <f>COUNTIF(Table1[Floor Slipperiness],"&gt;="&amp;D16)</f>
        <v>10</v>
      </c>
      <c r="J16" s="22">
        <f>COUNTIFS(Table1[Floor Slipperiness],"&gt;="&amp;D16,Table1[Outcome],"Fall")</f>
        <v>10</v>
      </c>
      <c r="K16" s="22">
        <f>COUNTIFS(Table1[Floor Slipperiness],"&gt;="&amp;D16,Table1[Outcome],"No Fall")</f>
        <v>0</v>
      </c>
      <c r="L16" s="23">
        <f t="shared" si="2"/>
        <v>0</v>
      </c>
      <c r="M16" s="27">
        <f t="shared" si="3"/>
        <v>0.28799999999999998</v>
      </c>
      <c r="N16" s="27">
        <f t="shared" si="4"/>
        <v>7.6800000000000035E-2</v>
      </c>
    </row>
    <row r="17" spans="4:14" x14ac:dyDescent="0.3">
      <c r="D17" s="7">
        <f>AVERAGE(B10:B11)</f>
        <v>3.5</v>
      </c>
      <c r="E17" s="15">
        <f>COUNTIF(Table1[Floor Slipperiness],"&lt;"&amp;D17)</f>
        <v>20</v>
      </c>
      <c r="F17" s="15">
        <f>COUNTIFS(Table1[Floor Slipperiness],"&lt;"&amp;D17,Table1[Outcome],"Fall")</f>
        <v>14</v>
      </c>
      <c r="G17" s="15">
        <f>COUNTIFS(Table1[Floor Slipperiness],"&lt;"&amp;D17,Table1[Outcome],"No Fall")</f>
        <v>6</v>
      </c>
      <c r="H17" s="16">
        <f t="shared" si="1"/>
        <v>0.42</v>
      </c>
      <c r="I17" s="22">
        <f>COUNTIF(Table1[Floor Slipperiness],"&gt;="&amp;D17)</f>
        <v>5</v>
      </c>
      <c r="J17" s="22">
        <f>COUNTIFS(Table1[Floor Slipperiness],"&gt;="&amp;D17,Table1[Outcome],"Fall")</f>
        <v>5</v>
      </c>
      <c r="K17" s="22">
        <f>COUNTIFS(Table1[Floor Slipperiness],"&gt;="&amp;D17,Table1[Outcome],"No Fall")</f>
        <v>0</v>
      </c>
      <c r="L17" s="23">
        <f t="shared" si="2"/>
        <v>0</v>
      </c>
      <c r="M17" s="27">
        <f t="shared" si="3"/>
        <v>0.33600000000000002</v>
      </c>
      <c r="N17" s="27">
        <f t="shared" si="4"/>
        <v>2.8799999999999992E-2</v>
      </c>
    </row>
    <row r="19" spans="4:14" ht="14.4" customHeight="1" x14ac:dyDescent="0.3">
      <c r="D19" s="1"/>
      <c r="E19" s="17" t="s">
        <v>25</v>
      </c>
      <c r="F19" s="18"/>
      <c r="G19" s="18"/>
      <c r="H19" s="18"/>
      <c r="I19" s="24" t="s">
        <v>24</v>
      </c>
      <c r="J19" s="24"/>
      <c r="K19" s="24"/>
      <c r="L19" s="24"/>
      <c r="M19" s="28" t="s">
        <v>27</v>
      </c>
      <c r="N19" s="28" t="s">
        <v>28</v>
      </c>
    </row>
    <row r="20" spans="4:14" x14ac:dyDescent="0.3">
      <c r="D20" s="9" t="s">
        <v>11</v>
      </c>
      <c r="E20" s="19"/>
      <c r="F20" s="20"/>
      <c r="G20" s="20"/>
      <c r="H20" s="20"/>
      <c r="I20" s="25"/>
      <c r="J20" s="25"/>
      <c r="K20" s="25"/>
      <c r="L20" s="25"/>
      <c r="M20" s="29"/>
      <c r="N20" s="29"/>
    </row>
    <row r="21" spans="4:14" x14ac:dyDescent="0.3">
      <c r="D21" s="9" t="s">
        <v>17</v>
      </c>
      <c r="E21" s="21" t="s">
        <v>13</v>
      </c>
      <c r="F21" s="21" t="s">
        <v>14</v>
      </c>
      <c r="G21" s="21" t="s">
        <v>15</v>
      </c>
      <c r="H21" s="21" t="s">
        <v>16</v>
      </c>
      <c r="I21" s="26" t="s">
        <v>13</v>
      </c>
      <c r="J21" s="26" t="s">
        <v>14</v>
      </c>
      <c r="K21" s="26" t="s">
        <v>15</v>
      </c>
      <c r="L21" s="26" t="s">
        <v>16</v>
      </c>
      <c r="M21" s="30"/>
      <c r="N21" s="30"/>
    </row>
    <row r="22" spans="4:14" x14ac:dyDescent="0.3">
      <c r="D22" s="7">
        <f>AVERAGE(A7:A8)</f>
        <v>0.5</v>
      </c>
      <c r="E22" s="15">
        <f>COUNTIF(Table1[Shoe Slipperiness],"&lt;"&amp;D22)</f>
        <v>5</v>
      </c>
      <c r="F22" s="15">
        <f>COUNTIFS(Table1[Shoe Slipperiness],"&lt;"&amp;D22,Table1[Outcome],"Fall")</f>
        <v>3</v>
      </c>
      <c r="G22" s="15">
        <f>COUNTIFS(Table1[Shoe Slipperiness],"&lt;"&amp;D22,Table1[Outcome],"No Fall")</f>
        <v>2</v>
      </c>
      <c r="H22" s="16">
        <f>G22/E22*F22/E22+F22/E22*G22/E22</f>
        <v>0.48000000000000004</v>
      </c>
      <c r="I22" s="22">
        <f>COUNTIF(Table1[Shoe Slipperiness],"&gt;="&amp;D22)</f>
        <v>20</v>
      </c>
      <c r="J22" s="22">
        <f>COUNTIFS(Table1[Shoe Slipperiness],"&gt;="&amp;D22,Table1[Outcome],"Fall")</f>
        <v>16</v>
      </c>
      <c r="K22" s="22">
        <f>COUNTIFS(Table1[Shoe Slipperiness],"&gt;="&amp;D22,Table1[Outcome],"No Fall")</f>
        <v>4</v>
      </c>
      <c r="L22" s="23">
        <f>K22/I22*J22/I22+J22/I22*K22/I22</f>
        <v>0.32</v>
      </c>
      <c r="M22" s="27">
        <f>L22*I22/(I22+E22)+H22*E22/(I22+E22)</f>
        <v>0.35200000000000004</v>
      </c>
      <c r="N22" s="27">
        <f>$E$7-M22</f>
        <v>1.2799999999999978E-2</v>
      </c>
    </row>
    <row r="23" spans="4:14" x14ac:dyDescent="0.3">
      <c r="D23" s="7">
        <f t="shared" ref="D23:D25" si="5">AVERAGE(A8:A9)</f>
        <v>1.5</v>
      </c>
      <c r="E23" s="15">
        <f>COUNTIF(Table1[Shoe Slipperiness],"&lt;"&amp;D23)</f>
        <v>10</v>
      </c>
      <c r="F23" s="15">
        <f>COUNTIFS(Table1[Shoe Slipperiness],"&lt;"&amp;D23,Table1[Outcome],"Fall")</f>
        <v>5</v>
      </c>
      <c r="G23" s="15">
        <f>COUNTIFS(Table1[Shoe Slipperiness],"&lt;"&amp;D23,Table1[Outcome],"No Fall")</f>
        <v>5</v>
      </c>
      <c r="H23" s="16">
        <f t="shared" ref="H23:H25" si="6">G23/E23*F23/E23+F23/E23*G23/E23</f>
        <v>0.5</v>
      </c>
      <c r="I23" s="22">
        <f>COUNTIF(Table1[Shoe Slipperiness],"&gt;="&amp;D23)</f>
        <v>15</v>
      </c>
      <c r="J23" s="22">
        <f>COUNTIFS(Table1[Shoe Slipperiness],"&gt;="&amp;D23,Table1[Outcome],"Fall")</f>
        <v>14</v>
      </c>
      <c r="K23" s="22">
        <f>COUNTIFS(Table1[Shoe Slipperiness],"&gt;="&amp;D23,Table1[Outcome],"No Fall")</f>
        <v>1</v>
      </c>
      <c r="L23" s="23">
        <f t="shared" ref="L23:L25" si="7">K23/I23*J23/I23+J23/I23*K23/I23</f>
        <v>0.12444444444444444</v>
      </c>
      <c r="M23" s="27">
        <f t="shared" ref="M23:M25" si="8">L23*I23/(I23+E23)+H23*E23/(I23+E23)</f>
        <v>0.27466666666666667</v>
      </c>
      <c r="N23" s="27">
        <f t="shared" ref="N23:N25" si="9">$E$7-M23</f>
        <v>9.0133333333333343E-2</v>
      </c>
    </row>
    <row r="24" spans="4:14" x14ac:dyDescent="0.3">
      <c r="D24" s="7">
        <f t="shared" si="5"/>
        <v>2.5</v>
      </c>
      <c r="E24" s="15">
        <f>COUNTIF(Table1[Shoe Slipperiness],"&lt;"&amp;D24)</f>
        <v>15</v>
      </c>
      <c r="F24" s="15">
        <f>COUNTIFS(Table1[Shoe Slipperiness],"&lt;"&amp;D24,Table1[Outcome],"Fall")</f>
        <v>9</v>
      </c>
      <c r="G24" s="15">
        <f>COUNTIFS(Table1[Shoe Slipperiness],"&lt;"&amp;D24,Table1[Outcome],"No Fall")</f>
        <v>6</v>
      </c>
      <c r="H24" s="16">
        <f t="shared" si="6"/>
        <v>0.48</v>
      </c>
      <c r="I24" s="22">
        <f>COUNTIF(Table1[Shoe Slipperiness],"&gt;="&amp;D24)</f>
        <v>10</v>
      </c>
      <c r="J24" s="22">
        <f>COUNTIFS(Table1[Shoe Slipperiness],"&gt;="&amp;D24,Table1[Outcome],"Fall")</f>
        <v>10</v>
      </c>
      <c r="K24" s="22">
        <f>COUNTIFS(Table1[Shoe Slipperiness],"&gt;="&amp;D24,Table1[Outcome],"No Fall")</f>
        <v>0</v>
      </c>
      <c r="L24" s="23">
        <f t="shared" si="7"/>
        <v>0</v>
      </c>
      <c r="M24" s="27">
        <f t="shared" si="8"/>
        <v>0.28799999999999998</v>
      </c>
      <c r="N24" s="27">
        <f t="shared" si="9"/>
        <v>7.6800000000000035E-2</v>
      </c>
    </row>
    <row r="25" spans="4:14" x14ac:dyDescent="0.3">
      <c r="D25" s="7">
        <f t="shared" si="5"/>
        <v>3.5</v>
      </c>
      <c r="E25" s="15">
        <f>COUNTIF(Table1[Shoe Slipperiness],"&lt;"&amp;D25)</f>
        <v>20</v>
      </c>
      <c r="F25" s="15">
        <f>COUNTIFS(Table1[Shoe Slipperiness],"&lt;"&amp;D25,Table1[Outcome],"Fall")</f>
        <v>14</v>
      </c>
      <c r="G25" s="15">
        <f>COUNTIFS(Table1[Shoe Slipperiness],"&lt;"&amp;D25,Table1[Outcome],"No Fall")</f>
        <v>6</v>
      </c>
      <c r="H25" s="16">
        <f t="shared" si="6"/>
        <v>0.42</v>
      </c>
      <c r="I25" s="22">
        <f>COUNTIF(Table1[Shoe Slipperiness],"&gt;="&amp;D25)</f>
        <v>5</v>
      </c>
      <c r="J25" s="22">
        <f>COUNTIFS(Table1[Shoe Slipperiness],"&gt;="&amp;D25,Table1[Outcome],"Fall")</f>
        <v>5</v>
      </c>
      <c r="K25" s="22">
        <f>COUNTIFS(Table1[Shoe Slipperiness],"&gt;="&amp;D25,Table1[Outcome],"No Fall")</f>
        <v>0</v>
      </c>
      <c r="L25" s="23">
        <f t="shared" si="7"/>
        <v>0</v>
      </c>
      <c r="M25" s="27">
        <f t="shared" si="8"/>
        <v>0.33600000000000002</v>
      </c>
      <c r="N25" s="27">
        <f t="shared" si="9"/>
        <v>2.8799999999999992E-2</v>
      </c>
    </row>
    <row r="27" spans="4:14" x14ac:dyDescent="0.3">
      <c r="D27" s="2" t="s">
        <v>31</v>
      </c>
    </row>
    <row r="28" spans="4:14" x14ac:dyDescent="0.3">
      <c r="D28" t="s">
        <v>32</v>
      </c>
    </row>
    <row r="29" spans="4:14" x14ac:dyDescent="0.3">
      <c r="D29" t="s">
        <v>29</v>
      </c>
    </row>
    <row r="30" spans="4:14" x14ac:dyDescent="0.3">
      <c r="D30" t="s">
        <v>30</v>
      </c>
    </row>
  </sheetData>
  <mergeCells count="11">
    <mergeCell ref="M11:M13"/>
    <mergeCell ref="N11:N13"/>
    <mergeCell ref="M19:M21"/>
    <mergeCell ref="N19:N21"/>
    <mergeCell ref="E11:H12"/>
    <mergeCell ref="I11:L12"/>
    <mergeCell ref="E19:H20"/>
    <mergeCell ref="I19:L20"/>
    <mergeCell ref="D3:E4"/>
    <mergeCell ref="H4:I4"/>
    <mergeCell ref="K4:L4"/>
  </mergeCells>
  <conditionalFormatting sqref="N22:N25 N14:N17">
    <cfRule type="colorScale" priority="1">
      <colorScale>
        <cfvo type="min"/>
        <cfvo type="max"/>
        <color rgb="FFFCFCFF"/>
        <color rgb="FF63BE7B"/>
      </colorScale>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&amp; Graph</vt:lpstr>
      <vt:lpstr>Decision 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May</dc:creator>
  <cp:lastModifiedBy>Paul May</cp:lastModifiedBy>
  <dcterms:created xsi:type="dcterms:W3CDTF">2015-06-05T18:17:20Z</dcterms:created>
  <dcterms:modified xsi:type="dcterms:W3CDTF">2020-02-27T18:39:02Z</dcterms:modified>
</cp:coreProperties>
</file>