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740" firstSheet="2" activeTab="2"/>
  </bookViews>
  <sheets>
    <sheet name="Inversión proyecto" sheetId="1" state="hidden" r:id="rId1"/>
    <sheet name="Costos  de Capacitación" sheetId="2" state="hidden" r:id="rId2"/>
    <sheet name="presupuesto" sheetId="11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1" l="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10" i="11" l="1"/>
  <c r="D50" i="11"/>
  <c r="D49" i="11"/>
  <c r="D48" i="11"/>
  <c r="D47" i="11"/>
  <c r="D46" i="11"/>
  <c r="D45" i="11"/>
  <c r="D44" i="11"/>
  <c r="D7" i="11"/>
  <c r="D11" i="11" l="1"/>
  <c r="D43" i="11" l="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69" i="11" l="1"/>
  <c r="E76" i="1"/>
  <c r="E34" i="1"/>
  <c r="D53" i="2"/>
  <c r="D52" i="2"/>
  <c r="C51" i="2"/>
  <c r="D51" i="2" s="1"/>
  <c r="C50" i="2"/>
  <c r="D50" i="2" s="1"/>
  <c r="C49" i="2"/>
  <c r="D49" i="2" s="1"/>
  <c r="D48" i="2"/>
  <c r="C47" i="2"/>
  <c r="D47" i="2" s="1"/>
  <c r="D42" i="2"/>
  <c r="D41" i="2"/>
  <c r="C40" i="2"/>
  <c r="D40" i="2" s="1"/>
  <c r="C39" i="2"/>
  <c r="D39" i="2" s="1"/>
  <c r="C38" i="2"/>
  <c r="D38" i="2" s="1"/>
  <c r="D37" i="2"/>
  <c r="C36" i="2"/>
  <c r="D36" i="2" s="1"/>
  <c r="D31" i="2"/>
  <c r="D30" i="2"/>
  <c r="C29" i="2"/>
  <c r="D29" i="2" s="1"/>
  <c r="C28" i="2"/>
  <c r="D28" i="2" s="1"/>
  <c r="C27" i="2"/>
  <c r="D27" i="2" s="1"/>
  <c r="D26" i="2"/>
  <c r="C25" i="2"/>
  <c r="D25" i="2" s="1"/>
  <c r="D20" i="2"/>
  <c r="D19" i="2"/>
  <c r="C18" i="2"/>
  <c r="D18" i="2" s="1"/>
  <c r="C17" i="2"/>
  <c r="D17" i="2" s="1"/>
  <c r="C16" i="2"/>
  <c r="D16" i="2" s="1"/>
  <c r="D15" i="2"/>
  <c r="C14" i="2"/>
  <c r="D14" i="2" s="1"/>
  <c r="C7" i="2"/>
  <c r="D7" i="2" s="1"/>
  <c r="C6" i="2"/>
  <c r="D6" i="2" s="1"/>
  <c r="C5" i="2"/>
  <c r="D5" i="2" s="1"/>
  <c r="C3" i="2"/>
  <c r="D3" i="2" s="1"/>
  <c r="D4" i="2"/>
  <c r="D8" i="2"/>
  <c r="D9" i="2"/>
  <c r="E20" i="1"/>
  <c r="D43" i="2" l="1"/>
  <c r="D54" i="2"/>
  <c r="D32" i="2"/>
  <c r="D21" i="2"/>
  <c r="E85" i="1" l="1"/>
  <c r="E84" i="1"/>
  <c r="E83" i="1"/>
  <c r="E82" i="1"/>
  <c r="E80" i="1"/>
  <c r="E79" i="1"/>
  <c r="E78" i="1"/>
  <c r="E77" i="1"/>
  <c r="E75" i="1"/>
  <c r="E74" i="1"/>
  <c r="E73" i="1"/>
  <c r="E71" i="1"/>
  <c r="E86" i="1" l="1"/>
  <c r="D7" i="1"/>
  <c r="E87" i="1" l="1"/>
  <c r="B88" i="1" s="1"/>
  <c r="C98" i="1" s="1"/>
  <c r="E28" i="1" l="1"/>
  <c r="E27" i="1"/>
  <c r="E26" i="1"/>
  <c r="E25" i="1"/>
  <c r="E19" i="1"/>
  <c r="E13" i="1"/>
  <c r="E12" i="1"/>
  <c r="D11" i="1"/>
  <c r="D10" i="1"/>
  <c r="D9" i="1"/>
  <c r="E8" i="1"/>
  <c r="E7" i="1"/>
  <c r="B111" i="1"/>
  <c r="B119" i="1" s="1"/>
  <c r="A96" i="1"/>
  <c r="E10" i="1" l="1"/>
  <c r="E9" i="1"/>
  <c r="E11" i="1"/>
  <c r="B29" i="1"/>
  <c r="B21" i="1"/>
  <c r="B118" i="1"/>
  <c r="B120" i="1" s="1"/>
  <c r="B115" i="1"/>
  <c r="B116" i="1" s="1"/>
  <c r="B114" i="1"/>
  <c r="B113" i="1"/>
  <c r="B14" i="1" l="1"/>
  <c r="C93" i="1" s="1"/>
  <c r="D93" i="1" s="1"/>
  <c r="C94" i="1"/>
  <c r="D94" i="1" s="1"/>
  <c r="C95" i="1"/>
  <c r="D95" i="1" s="1"/>
  <c r="B117" i="1"/>
  <c r="B121" i="1" s="1"/>
  <c r="B122" i="1" s="1"/>
  <c r="D63" i="1" l="1"/>
  <c r="E62" i="1"/>
  <c r="E61" i="1"/>
  <c r="E60" i="1"/>
  <c r="E59" i="1"/>
  <c r="E58" i="1"/>
  <c r="E57" i="1"/>
  <c r="E56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D40" i="1"/>
  <c r="E40" i="1" s="1"/>
  <c r="E49" i="1" l="1"/>
  <c r="E50" i="1" s="1"/>
  <c r="E63" i="1"/>
  <c r="E64" i="1" s="1"/>
  <c r="B65" i="1" s="1"/>
  <c r="C97" i="1" s="1"/>
  <c r="B51" i="1" l="1"/>
  <c r="C96" i="1" s="1"/>
  <c r="E52" i="1"/>
  <c r="D10" i="2" l="1"/>
  <c r="A98" i="1" l="1"/>
  <c r="A97" i="1"/>
  <c r="D98" i="1" l="1"/>
  <c r="D96" i="1"/>
  <c r="D97" i="1"/>
  <c r="D99" i="1" l="1"/>
  <c r="D74" i="11"/>
</calcChain>
</file>

<file path=xl/sharedStrings.xml><?xml version="1.0" encoding="utf-8"?>
<sst xmlns="http://schemas.openxmlformats.org/spreadsheetml/2006/main" count="309" uniqueCount="169">
  <si>
    <t>1. INVERSIÓN INICIAL</t>
  </si>
  <si>
    <t>CONCEPTO</t>
  </si>
  <si>
    <t>CANTIDAD</t>
  </si>
  <si>
    <t>VALOR UNITARIO</t>
  </si>
  <si>
    <t xml:space="preserve">VALOR TOTAL </t>
  </si>
  <si>
    <t>TOTAL</t>
  </si>
  <si>
    <t>TOTAL INVERSIÓN</t>
  </si>
  <si>
    <t>DESCRIPCION</t>
  </si>
  <si>
    <t>VALOR TOTAL</t>
  </si>
  <si>
    <t>TOTAL INVERSION</t>
  </si>
  <si>
    <t xml:space="preserve">UNIDAD ( Unidad, hora, kg, m3 y otros) </t>
  </si>
  <si>
    <t>Horas</t>
  </si>
  <si>
    <t xml:space="preserve">JARDINES VERTICALES </t>
  </si>
  <si>
    <t>MANO DE OBRA DIRECTA</t>
  </si>
  <si>
    <t>Pintura Fungicida y algicida</t>
  </si>
  <si>
    <t xml:space="preserve">impermeabilización </t>
  </si>
  <si>
    <t xml:space="preserve">Vegetación </t>
  </si>
  <si>
    <t>Consumo de Agua</t>
  </si>
  <si>
    <t xml:space="preserve">Sustrato </t>
  </si>
  <si>
    <t xml:space="preserve">Piedritas de filtro </t>
  </si>
  <si>
    <t>Motobomba 1/2 hp</t>
  </si>
  <si>
    <t xml:space="preserve">Energía </t>
  </si>
  <si>
    <t xml:space="preserve">Transportes </t>
  </si>
  <si>
    <t>Imprevistos</t>
  </si>
  <si>
    <t>TANQUE PETAR</t>
  </si>
  <si>
    <t xml:space="preserve">Ladrillos </t>
  </si>
  <si>
    <t xml:space="preserve">Cemento </t>
  </si>
  <si>
    <t xml:space="preserve">Arena </t>
  </si>
  <si>
    <t xml:space="preserve">Impermeabilizante </t>
  </si>
  <si>
    <t xml:space="preserve">Tanque en polipropileno </t>
  </si>
  <si>
    <t>SUBTOTAL</t>
  </si>
  <si>
    <t>Subtotal</t>
  </si>
  <si>
    <t>COSTO M2</t>
  </si>
  <si>
    <t>ADECUACIÓN DE TEJAS</t>
  </si>
  <si>
    <t>Salario</t>
  </si>
  <si>
    <t xml:space="preserve">Subsidio </t>
  </si>
  <si>
    <t xml:space="preserve">Vacaciones </t>
  </si>
  <si>
    <t xml:space="preserve">Prima </t>
  </si>
  <si>
    <t>Cesantias</t>
  </si>
  <si>
    <t xml:space="preserve">Intereses de cesantias </t>
  </si>
  <si>
    <t xml:space="preserve">liquidación salario </t>
  </si>
  <si>
    <t>Salud</t>
  </si>
  <si>
    <t>Pensión</t>
  </si>
  <si>
    <t xml:space="preserve">Parafiscales </t>
  </si>
  <si>
    <t>Salario Total</t>
  </si>
  <si>
    <t>Salario por día</t>
  </si>
  <si>
    <t>CAPACITACION</t>
  </si>
  <si>
    <t xml:space="preserve">Planificar las actividades que se registrarán en el folleto para capacitación  </t>
  </si>
  <si>
    <t xml:space="preserve">Entregar folleto para socialización del Pycs en planta de producción </t>
  </si>
  <si>
    <t xml:space="preserve">Designar un comité de compras Verdes </t>
  </si>
  <si>
    <t>MANEJO DE RESIDUOS</t>
  </si>
  <si>
    <t>ENCADENAMIENTO</t>
  </si>
  <si>
    <t xml:space="preserve">Enviar propuesta al proveedor para generar una alianza con el fin de lograr el reuso de los bidones del ácido cítrico </t>
  </si>
  <si>
    <t>Realizar un análisis de costos en cuanto al ahorro obtenido con la alianza de reuso de los bidones</t>
  </si>
  <si>
    <t xml:space="preserve">Divulgar los resultados obtenidos con esta alianza al proveedor </t>
  </si>
  <si>
    <t>DESMONTE</t>
  </si>
  <si>
    <t>DESMONTE DEL  TEJADO EXISTENTE CON PERSONAL CALIFCADO EN  CURSO DE ALTURAS Y DOTACION DE SISTEMA ANTICAIDAS</t>
  </si>
  <si>
    <t xml:space="preserve">UND </t>
  </si>
  <si>
    <t>CONSTRUCCION DE VIGA CONCRETO</t>
  </si>
  <si>
    <t>VIGA DE 15*15 DE 30M</t>
  </si>
  <si>
    <t>PINTURA VITUMINOSA</t>
  </si>
  <si>
    <t>14 C DE ALTO 15CM CALIBRE 14</t>
  </si>
  <si>
    <t>CANAL GALVANIZADA DE 5M CON ZOSCO 20CM DE ANCHO</t>
  </si>
  <si>
    <t>TUBO PVC AGUA LLUVIA DE 3"</t>
  </si>
  <si>
    <t>CODO DE 3"</t>
  </si>
  <si>
    <t>VARILLA DE 6M DE 1/2"</t>
  </si>
  <si>
    <t>CERCHAS O CORREAS DE 6M DE ALTO 15 CM</t>
  </si>
  <si>
    <t>TORNILLOS BROCADOS DE 31/16"</t>
  </si>
  <si>
    <t>ANDAMIO MULTIDIRECCIONAL</t>
  </si>
  <si>
    <t>MANO DE OBRA</t>
  </si>
  <si>
    <t>PLACA METALICA 1*1M PARA SOPORTE DEL TANQUE DE AGUA</t>
  </si>
  <si>
    <t>TANQUE DE MIL LITROS CON FLOTADOR</t>
  </si>
  <si>
    <t>UNIDAD ( Unidad, hora, kg, m3 y otros)</t>
  </si>
  <si>
    <t xml:space="preserve">Asignar el personal que se encargará  de tomar  las mediciones en las áreas a intervenir </t>
  </si>
  <si>
    <t>días</t>
  </si>
  <si>
    <t>gal</t>
  </si>
  <si>
    <t>Unidad</t>
  </si>
  <si>
    <t>m3</t>
  </si>
  <si>
    <t>kg</t>
  </si>
  <si>
    <t>kw</t>
  </si>
  <si>
    <t xml:space="preserve">unidad </t>
  </si>
  <si>
    <t>%</t>
  </si>
  <si>
    <t>m</t>
  </si>
  <si>
    <t>pulg</t>
  </si>
  <si>
    <t xml:space="preserve">Unidad </t>
  </si>
  <si>
    <t xml:space="preserve"> CAPACITACION</t>
  </si>
  <si>
    <t>Realizar base de datos de la empresas interesadas en el producto y escoger la empresa que se encargará de realizar el manejo.(Computador Portatíl)</t>
  </si>
  <si>
    <t>Proyectar Presentación de como se realizarán los procedimientos de compras verdes y asistencias a ferias de negocios verdes -Video beam</t>
  </si>
  <si>
    <t>Realizar actas de conformación y de reuniones-Resma papel carta</t>
  </si>
  <si>
    <t>Imprimir el folleto PyCS- planchón para 100 unidades</t>
  </si>
  <si>
    <t>Realizar acta de compromiso del reuso de los bidones con el proveedor -Resma papel carta</t>
  </si>
  <si>
    <t>PROGRAMA EDUCACION AMBIENTAL / SENSIBILIZACION, DIVULGACION Y ENTRENAMIENTO / SEGUNDO AÑO</t>
  </si>
  <si>
    <t>PROGRAMA EDUCACION AMBIENTAL / SENSIBILIZACION, DIVULGACION Y ENTRENAMIENTO / PRIMER AÑO</t>
  </si>
  <si>
    <t>PROGRAMA EDUCACION AMBIENTAL / SENSIBILIZACION, DIVULGACION Y ENTRENAMIENTO / TERCER AÑO</t>
  </si>
  <si>
    <t>PROGRAMA EDUCACION AMBIENTAL / SENSIBILIZACION, DIVULGACION Y ENTRENAMIENTO / CUARTO  AÑO</t>
  </si>
  <si>
    <t>PROGRAMA EDUCACION AMBIENTAL / SENSIBILIZACION, DIVULGACION Y ENTRENAMIENTO / QUINTO  AÑO</t>
  </si>
  <si>
    <t>Geotextil y fieltro 3m x  6m</t>
  </si>
  <si>
    <t>Sistema de Riego 3m x  6m</t>
  </si>
  <si>
    <t>Canal 3m x 4"</t>
  </si>
  <si>
    <t>Estructura  2,35 x 6 m</t>
  </si>
  <si>
    <t>Muro Portante  3mx  6m</t>
  </si>
  <si>
    <t>PRESUPUESTO PSC S.A.S.</t>
  </si>
  <si>
    <t>Diseñar, desarrollar e implementar un sistema de información para el control del inventario del almacén de obra en la empresa PSC S.A.S</t>
  </si>
  <si>
    <t xml:space="preserve">Realizar la recolección de la información de PSC S.A.S. respecto a los insumos y materiales para el desarrollo de los proyectos de obra civil.
</t>
  </si>
  <si>
    <t>Apoyar el programa de producción y consumo sostenible en obra.</t>
  </si>
  <si>
    <t>Tener una base de datos para uso del almacén de obra que garantice la fácil consulta por todas las partes interesadas.</t>
  </si>
  <si>
    <t>Cumplir con el sistema de gestión de seguridad y salud en el trabajo en los procesos que competen al almacén de obra</t>
  </si>
  <si>
    <t xml:space="preserve">Implementar el uso del sistema de información para el control del inventario del almacén de PSC S.A.S.
</t>
  </si>
  <si>
    <t>formulario de entrevista a Gerente de PSC S.A.S</t>
  </si>
  <si>
    <t>Diagramas UML</t>
  </si>
  <si>
    <t>fotmato IEEE 830</t>
  </si>
  <si>
    <t>Formatos de caso de uso extendido</t>
  </si>
  <si>
    <t>DIAGRAMA BPMN</t>
  </si>
  <si>
    <t>Primera consolidacion del texto del proyecto y presentacion de power point</t>
  </si>
  <si>
    <t>Primera evaluacion del proyecto</t>
  </si>
  <si>
    <t>TRABAJO EN HORAS</t>
  </si>
  <si>
    <t>COSTO/HORA</t>
  </si>
  <si>
    <t>ACTIVOS ADMINISTRATIVOS</t>
  </si>
  <si>
    <t>AÑOS</t>
  </si>
  <si>
    <t>VIDA UTIL ESTIMADA 5 AÑOS</t>
  </si>
  <si>
    <t>Ajustes anuales del activo (%)</t>
  </si>
  <si>
    <t>Depreciacion del 20% sobre costo</t>
  </si>
  <si>
    <t>Total depreciacion sobre costo</t>
  </si>
  <si>
    <t>Depreciacion acumulada</t>
  </si>
  <si>
    <t>Neto del activo</t>
  </si>
  <si>
    <t>Computadores</t>
  </si>
  <si>
    <t>UNITARIO</t>
  </si>
  <si>
    <t>COSTO UNITARIO</t>
  </si>
  <si>
    <t xml:space="preserve">DETALLE </t>
  </si>
  <si>
    <t>COSTO Total</t>
  </si>
  <si>
    <t>ACTIVIDAD</t>
  </si>
  <si>
    <t>Varios (luz,internet)</t>
  </si>
  <si>
    <t>TOTAL EQUIPOS DE COMPUTO,OFICINA Y VARIOS</t>
  </si>
  <si>
    <t>TOTAL DEPRECIACION ACUMULADA</t>
  </si>
  <si>
    <t>TOTAL COSTOS ACTIVIDADES DEL PROYECTO</t>
  </si>
  <si>
    <t>COSTO TOTAL DEL PROYECTO</t>
  </si>
  <si>
    <t xml:space="preserve">Modelo Entidad Relación MER notacion crow's foot
</t>
  </si>
  <si>
    <t>Diccionario de datos</t>
  </si>
  <si>
    <t>Cronograma, presupuesto y selección de personal. Actividad diagrama de Gantt, informes de uso de recursos y presupuestos</t>
  </si>
  <si>
    <t>Diagrama de distribucion usando el estandar UML</t>
  </si>
  <si>
    <t>Diagrama de clases usando el estandar UML</t>
  </si>
  <si>
    <t>Prototipo no funcional Mockup con el uso de la herramienta Balsamic</t>
  </si>
  <si>
    <t>Normalizacion del modelo entidad relcion MER</t>
  </si>
  <si>
    <t>INVERSION EN EQUIPOS DE COMPUTO Y VARIOS</t>
  </si>
  <si>
    <t>En el proyecto evidencia la construccion de la base de datos usando setencias DDL</t>
  </si>
  <si>
    <t>En el proyecto  se evidencia el uso de la base de datos revisando que hayan datos insertados y sus respectivas consultas y joins  usando setencias DML</t>
  </si>
  <si>
    <t>Se evidencia en el proyecto que realizaron el prototipo no funcional usando CSS a partir de mockup o wireframe</t>
  </si>
  <si>
    <t>En el proyecto se identifica el inventario donde se va a implementar el sistema de informacion. Se constata el control de versiones</t>
  </si>
  <si>
    <t>En el proyecto se evidencia el uso de sistemas de integracion continua (opcional)</t>
  </si>
  <si>
    <t>Se evidencia en el proyecto informe de costos que dependen de hardware y el software necesario para el proyecto (Usar project para generar los informes de costos a partir del gantt)</t>
  </si>
  <si>
    <t>El proyecto evidencia la elaboracion del manual tecnico</t>
  </si>
  <si>
    <t>Pruebas Unitarias-Pruebas caja negra_pruebas caja blanca</t>
  </si>
  <si>
    <t>Se evidencia el manual de instalacion del aplicativo</t>
  </si>
  <si>
    <t>Diagrama de distribucion minimo en software( Tomcat, Glassfish; Weblogic, JBOSS, Wlidfly, OC4J entre otros)-(wamp, xampp, apache tomcat, etc)-(IIS)</t>
  </si>
  <si>
    <t>En el proyecto se evidencia  un informe de migracion de datos</t>
  </si>
  <si>
    <t>En el informe se evidencia un plan de instalacion, plan de respaldo y plan de migracion</t>
  </si>
  <si>
    <t>Cuadro comparativo proveedores</t>
  </si>
  <si>
    <t>Contrato de desarrollo de software</t>
  </si>
  <si>
    <t>Documentacion de las pruebas</t>
  </si>
  <si>
    <t>En el proyecto se evidencia algun modelo de calidad</t>
  </si>
  <si>
    <t>Construccion de manuales de usuario y de operación</t>
  </si>
  <si>
    <t>Revision de proyecto terminado al 100%</t>
  </si>
  <si>
    <t>200 GB de Trafico / mes
10 Cuentas E-mail
1 Base de Datos
1 Dominio permitido
WordPress/Joonla/Otros
LiteSpeed + Lscache
Seguridad Imunify360
Constructor de sitios Pro
Copias de Seguridad
SSL gratis(https://)</t>
  </si>
  <si>
    <t>nternet Claro 50 Megas-Mensual</t>
  </si>
  <si>
    <t>Computador All In One HP 21.5" Pulgadas 22-dd0010la AMD Athlon- 4 GB RAM- Disco Duro 500GB-Blanco</t>
  </si>
  <si>
    <t xml:space="preserve"> $     1329000</t>
  </si>
  <si>
    <t xml:space="preserve"> $         265800 </t>
  </si>
  <si>
    <t xml:space="preserve"> $         265800  </t>
  </si>
  <si>
    <t>TRIMESTRE I A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</si>
</sst>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* #,##0_);_(* \(#,##0\);_(* &quot;-&quot;??_);_(@_)"/>
    <numFmt numFmtId="169" formatCode="[$$-240A]#,##0.00"/>
    <numFmt numFmtId="170" formatCode="_(&quot;$&quot;\ * #,##0.00000_);_(&quot;$&quot;\ * \(#,##0.00000\);_(&quot;$&quot;\ * &quot;-&quot;??_);_(@_)"/>
    <numFmt numFmtId="171" formatCode="0_)"/>
    <numFmt numFmtId="172" formatCode="&quot;$&quot;* #,##0.00;&quot;$&quot;* #,##0.00;_(@_)"/>
    <numFmt numFmtId="173" formatCode="[$$-240A]\ #,##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10"/>
      <name val="Courier"/>
      <family val="3"/>
    </font>
    <font>
      <sz val="9"/>
      <color theme="1"/>
      <name val="Arial Narrow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 Narrow"/>
      <family val="2"/>
    </font>
    <font>
      <sz val="12"/>
      <name val="AvantGarde Bk BT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1" fillId="0" borderId="0"/>
    <xf numFmtId="171" fontId="13" fillId="0" borderId="0"/>
  </cellStyleXfs>
  <cellXfs count="244">
    <xf numFmtId="0" fontId="0" fillId="0" borderId="0" xfId="0"/>
    <xf numFmtId="168" fontId="4" fillId="2" borderId="1" xfId="1" applyNumberFormat="1" applyFont="1" applyFill="1" applyBorder="1"/>
    <xf numFmtId="168" fontId="5" fillId="0" borderId="0" xfId="1" applyNumberFormat="1" applyFont="1"/>
    <xf numFmtId="168" fontId="6" fillId="10" borderId="1" xfId="1" applyNumberFormat="1" applyFont="1" applyFill="1" applyBorder="1" applyAlignment="1">
      <alignment horizontal="center" vertical="center"/>
    </xf>
    <xf numFmtId="168" fontId="5" fillId="12" borderId="1" xfId="1" applyNumberFormat="1" applyFont="1" applyFill="1" applyBorder="1" applyAlignment="1">
      <alignment horizontal="center"/>
    </xf>
    <xf numFmtId="166" fontId="9" fillId="13" borderId="10" xfId="2" applyFont="1" applyFill="1" applyBorder="1" applyAlignment="1">
      <alignment horizontal="center" vertical="center"/>
    </xf>
    <xf numFmtId="165" fontId="0" fillId="0" borderId="0" xfId="0" applyNumberFormat="1"/>
    <xf numFmtId="0" fontId="2" fillId="14" borderId="0" xfId="0" applyFont="1" applyFill="1"/>
    <xf numFmtId="166" fontId="0" fillId="14" borderId="0" xfId="2" applyFont="1" applyFill="1"/>
    <xf numFmtId="0" fontId="2" fillId="0" borderId="0" xfId="0" applyFont="1"/>
    <xf numFmtId="166" fontId="0" fillId="0" borderId="0" xfId="2" applyFont="1"/>
    <xf numFmtId="0" fontId="2" fillId="0" borderId="0" xfId="0" applyFont="1" applyAlignment="1">
      <alignment horizontal="left"/>
    </xf>
    <xf numFmtId="170" fontId="2" fillId="0" borderId="0" xfId="0" applyNumberFormat="1" applyFont="1" applyAlignment="1">
      <alignment horizontal="left"/>
    </xf>
    <xf numFmtId="165" fontId="0" fillId="14" borderId="0" xfId="0" applyNumberFormat="1" applyFill="1"/>
    <xf numFmtId="0" fontId="10" fillId="13" borderId="9" xfId="0" applyFont="1" applyFill="1" applyBorder="1" applyAlignment="1">
      <alignment horizontal="center" vertical="center" wrapText="1"/>
    </xf>
    <xf numFmtId="0" fontId="10" fillId="13" borderId="10" xfId="0" applyFont="1" applyFill="1" applyBorder="1" applyAlignment="1">
      <alignment horizontal="center" vertical="center" wrapText="1"/>
    </xf>
    <xf numFmtId="0" fontId="10" fillId="13" borderId="10" xfId="0" applyFont="1" applyFill="1" applyBorder="1" applyAlignment="1">
      <alignment horizontal="center" vertical="center"/>
    </xf>
    <xf numFmtId="165" fontId="9" fillId="13" borderId="12" xfId="0" applyNumberFormat="1" applyFont="1" applyFill="1" applyBorder="1" applyAlignment="1">
      <alignment horizontal="center" vertical="center"/>
    </xf>
    <xf numFmtId="168" fontId="4" fillId="0" borderId="0" xfId="1" applyNumberFormat="1" applyFont="1" applyFill="1" applyBorder="1"/>
    <xf numFmtId="168" fontId="5" fillId="0" borderId="0" xfId="1" applyNumberFormat="1" applyFont="1" applyFill="1" applyBorder="1"/>
    <xf numFmtId="0" fontId="0" fillId="0" borderId="0" xfId="0" applyFill="1"/>
    <xf numFmtId="168" fontId="4" fillId="0" borderId="0" xfId="1" applyNumberFormat="1" applyFont="1" applyFill="1" applyBorder="1" applyAlignment="1">
      <alignment vertical="center"/>
    </xf>
    <xf numFmtId="165" fontId="2" fillId="8" borderId="19" xfId="0" applyNumberFormat="1" applyFont="1" applyFill="1" applyBorder="1"/>
    <xf numFmtId="168" fontId="4" fillId="6" borderId="21" xfId="1" applyNumberFormat="1" applyFont="1" applyFill="1" applyBorder="1" applyAlignment="1">
      <alignment horizontal="center" vertical="center"/>
    </xf>
    <xf numFmtId="168" fontId="4" fillId="6" borderId="22" xfId="1" applyNumberFormat="1" applyFont="1" applyFill="1" applyBorder="1" applyAlignment="1">
      <alignment horizontal="center" vertical="center"/>
    </xf>
    <xf numFmtId="168" fontId="4" fillId="6" borderId="23" xfId="1" applyNumberFormat="1" applyFont="1" applyFill="1" applyBorder="1" applyAlignment="1">
      <alignment horizontal="center" vertical="center" wrapText="1"/>
    </xf>
    <xf numFmtId="168" fontId="6" fillId="0" borderId="0" xfId="1" applyNumberFormat="1" applyFont="1" applyFill="1" applyBorder="1" applyAlignment="1">
      <alignment vertical="center"/>
    </xf>
    <xf numFmtId="168" fontId="4" fillId="2" borderId="11" xfId="1" applyNumberFormat="1" applyFont="1" applyFill="1" applyBorder="1" applyAlignment="1">
      <alignment horizontal="center" vertical="center"/>
    </xf>
    <xf numFmtId="168" fontId="4" fillId="2" borderId="11" xfId="1" applyNumberFormat="1" applyFont="1" applyFill="1" applyBorder="1" applyAlignment="1">
      <alignment horizontal="center" vertical="center" wrapText="1"/>
    </xf>
    <xf numFmtId="166" fontId="10" fillId="13" borderId="10" xfId="2" applyFont="1" applyFill="1" applyBorder="1" applyAlignment="1">
      <alignment horizontal="center" vertical="center"/>
    </xf>
    <xf numFmtId="165" fontId="10" fillId="13" borderId="12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0" fillId="0" borderId="0" xfId="0" applyBorder="1"/>
    <xf numFmtId="168" fontId="4" fillId="0" borderId="0" xfId="1" applyNumberFormat="1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 wrapText="1"/>
    </xf>
    <xf numFmtId="166" fontId="9" fillId="13" borderId="12" xfId="2" applyFont="1" applyFill="1" applyBorder="1" applyAlignment="1">
      <alignment horizontal="center" vertical="center"/>
    </xf>
    <xf numFmtId="0" fontId="8" fillId="13" borderId="28" xfId="0" applyFont="1" applyFill="1" applyBorder="1" applyAlignment="1">
      <alignment horizontal="center" vertical="center" wrapText="1"/>
    </xf>
    <xf numFmtId="166" fontId="9" fillId="13" borderId="9" xfId="2" applyFont="1" applyFill="1" applyBorder="1" applyAlignment="1">
      <alignment horizontal="center" vertical="center"/>
    </xf>
    <xf numFmtId="165" fontId="9" fillId="13" borderId="29" xfId="0" applyNumberFormat="1" applyFont="1" applyFill="1" applyBorder="1" applyAlignment="1">
      <alignment horizontal="center" vertical="center"/>
    </xf>
    <xf numFmtId="168" fontId="4" fillId="16" borderId="31" xfId="1" applyNumberFormat="1" applyFont="1" applyFill="1" applyBorder="1" applyAlignment="1">
      <alignment horizontal="center" vertical="center"/>
    </xf>
    <xf numFmtId="168" fontId="4" fillId="16" borderId="31" xfId="1" applyNumberFormat="1" applyFont="1" applyFill="1" applyBorder="1" applyAlignment="1">
      <alignment horizontal="center" vertical="center" wrapText="1"/>
    </xf>
    <xf numFmtId="168" fontId="4" fillId="16" borderId="32" xfId="1" applyNumberFormat="1" applyFont="1" applyFill="1" applyBorder="1" applyAlignment="1">
      <alignment horizontal="center" vertical="center" wrapText="1"/>
    </xf>
    <xf numFmtId="168" fontId="4" fillId="16" borderId="30" xfId="1" applyNumberFormat="1" applyFont="1" applyFill="1" applyBorder="1"/>
    <xf numFmtId="168" fontId="4" fillId="2" borderId="30" xfId="1" applyNumberFormat="1" applyFont="1" applyFill="1" applyBorder="1" applyAlignment="1">
      <alignment horizontal="center" vertical="center"/>
    </xf>
    <xf numFmtId="168" fontId="4" fillId="2" borderId="31" xfId="1" applyNumberFormat="1" applyFont="1" applyFill="1" applyBorder="1" applyAlignment="1">
      <alignment horizontal="center" vertical="center"/>
    </xf>
    <xf numFmtId="168" fontId="4" fillId="2" borderId="32" xfId="1" applyNumberFormat="1" applyFont="1" applyFill="1" applyBorder="1" applyAlignment="1">
      <alignment horizontal="center" vertical="center" wrapText="1"/>
    </xf>
    <xf numFmtId="168" fontId="4" fillId="2" borderId="30" xfId="1" applyNumberFormat="1" applyFont="1" applyFill="1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66" fontId="10" fillId="13" borderId="12" xfId="2" applyFont="1" applyFill="1" applyBorder="1" applyAlignment="1">
      <alignment horizontal="center" vertical="center"/>
    </xf>
    <xf numFmtId="168" fontId="4" fillId="9" borderId="27" xfId="1" applyNumberFormat="1" applyFont="1" applyFill="1" applyBorder="1"/>
    <xf numFmtId="0" fontId="8" fillId="0" borderId="13" xfId="0" applyFont="1" applyBorder="1" applyAlignment="1">
      <alignment horizontal="center" vertical="center" wrapText="1"/>
    </xf>
    <xf numFmtId="166" fontId="10" fillId="13" borderId="9" xfId="2" applyFont="1" applyFill="1" applyBorder="1" applyAlignment="1">
      <alignment horizontal="center" vertical="center"/>
    </xf>
    <xf numFmtId="165" fontId="10" fillId="13" borderId="29" xfId="0" applyNumberFormat="1" applyFont="1" applyFill="1" applyBorder="1" applyAlignment="1">
      <alignment horizontal="center" vertical="center"/>
    </xf>
    <xf numFmtId="168" fontId="4" fillId="9" borderId="30" xfId="1" applyNumberFormat="1" applyFont="1" applyFill="1" applyBorder="1" applyAlignment="1">
      <alignment horizontal="center" vertical="center"/>
    </xf>
    <xf numFmtId="168" fontId="4" fillId="9" borderId="31" xfId="1" applyNumberFormat="1" applyFont="1" applyFill="1" applyBorder="1" applyAlignment="1">
      <alignment horizontal="center" vertical="center"/>
    </xf>
    <xf numFmtId="168" fontId="4" fillId="9" borderId="32" xfId="1" applyNumberFormat="1" applyFont="1" applyFill="1" applyBorder="1" applyAlignment="1">
      <alignment horizontal="center" vertical="center" wrapText="1"/>
    </xf>
    <xf numFmtId="168" fontId="4" fillId="16" borderId="36" xfId="1" applyNumberFormat="1" applyFont="1" applyFill="1" applyBorder="1" applyAlignment="1">
      <alignment horizontal="center" vertical="center"/>
    </xf>
    <xf numFmtId="168" fontId="4" fillId="16" borderId="2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4" fillId="2" borderId="36" xfId="1" applyNumberFormat="1" applyFont="1" applyFill="1" applyBorder="1" applyAlignment="1">
      <alignment horizontal="center" vertical="center" wrapText="1"/>
    </xf>
    <xf numFmtId="168" fontId="4" fillId="9" borderId="36" xfId="1" applyNumberFormat="1" applyFont="1" applyFill="1" applyBorder="1" applyAlignment="1">
      <alignment horizontal="center" vertical="center" wrapText="1"/>
    </xf>
    <xf numFmtId="168" fontId="4" fillId="6" borderId="39" xfId="1" applyNumberFormat="1" applyFont="1" applyFill="1" applyBorder="1" applyAlignment="1">
      <alignment horizontal="center" vertical="center" wrapText="1"/>
    </xf>
    <xf numFmtId="168" fontId="4" fillId="8" borderId="11" xfId="1" applyNumberFormat="1" applyFont="1" applyFill="1" applyBorder="1" applyAlignment="1">
      <alignment horizontal="center" vertical="center"/>
    </xf>
    <xf numFmtId="168" fontId="4" fillId="8" borderId="11" xfId="1" applyNumberFormat="1" applyFont="1" applyFill="1" applyBorder="1" applyAlignment="1">
      <alignment horizontal="center" vertical="center" wrapText="1"/>
    </xf>
    <xf numFmtId="0" fontId="8" fillId="13" borderId="15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horizontal="center"/>
    </xf>
    <xf numFmtId="165" fontId="8" fillId="0" borderId="20" xfId="0" applyNumberFormat="1" applyFont="1" applyFill="1" applyBorder="1"/>
    <xf numFmtId="0" fontId="8" fillId="0" borderId="14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6" fontId="8" fillId="0" borderId="1" xfId="2" applyFont="1" applyFill="1" applyBorder="1"/>
    <xf numFmtId="166" fontId="8" fillId="0" borderId="16" xfId="2" applyFont="1" applyFill="1" applyBorder="1"/>
    <xf numFmtId="0" fontId="8" fillId="0" borderId="4" xfId="0" applyFont="1" applyFill="1" applyBorder="1" applyAlignment="1">
      <alignment horizontal="center"/>
    </xf>
    <xf numFmtId="165" fontId="8" fillId="0" borderId="16" xfId="0" applyNumberFormat="1" applyFont="1" applyFill="1" applyBorder="1"/>
    <xf numFmtId="0" fontId="8" fillId="0" borderId="1" xfId="0" applyFont="1" applyBorder="1" applyAlignment="1">
      <alignment horizontal="center"/>
    </xf>
    <xf numFmtId="0" fontId="8" fillId="6" borderId="14" xfId="0" applyFont="1" applyFill="1" applyBorder="1"/>
    <xf numFmtId="0" fontId="8" fillId="6" borderId="4" xfId="0" applyFont="1" applyFill="1" applyBorder="1" applyAlignment="1">
      <alignment horizontal="center"/>
    </xf>
    <xf numFmtId="0" fontId="8" fillId="6" borderId="1" xfId="0" applyFont="1" applyFill="1" applyBorder="1"/>
    <xf numFmtId="165" fontId="8" fillId="6" borderId="16" xfId="0" applyNumberFormat="1" applyFont="1" applyFill="1" applyBorder="1"/>
    <xf numFmtId="9" fontId="8" fillId="0" borderId="1" xfId="0" applyNumberFormat="1" applyFont="1" applyFill="1" applyBorder="1" applyAlignment="1">
      <alignment horizontal="center"/>
    </xf>
    <xf numFmtId="165" fontId="8" fillId="0" borderId="1" xfId="0" applyNumberFormat="1" applyFont="1" applyFill="1" applyBorder="1"/>
    <xf numFmtId="0" fontId="15" fillId="8" borderId="17" xfId="0" applyFont="1" applyFill="1" applyBorder="1" applyAlignment="1"/>
    <xf numFmtId="0" fontId="15" fillId="8" borderId="18" xfId="0" applyFont="1" applyFill="1" applyBorder="1" applyAlignment="1"/>
    <xf numFmtId="168" fontId="8" fillId="0" borderId="13" xfId="1" applyNumberFormat="1" applyFont="1" applyFill="1" applyBorder="1"/>
    <xf numFmtId="168" fontId="8" fillId="0" borderId="8" xfId="1" applyNumberFormat="1" applyFont="1" applyFill="1" applyBorder="1" applyAlignment="1">
      <alignment horizontal="center"/>
    </xf>
    <xf numFmtId="168" fontId="15" fillId="6" borderId="14" xfId="1" applyNumberFormat="1" applyFont="1" applyFill="1" applyBorder="1"/>
    <xf numFmtId="0" fontId="8" fillId="0" borderId="11" xfId="0" applyFont="1" applyBorder="1"/>
    <xf numFmtId="0" fontId="8" fillId="0" borderId="11" xfId="0" applyFont="1" applyBorder="1" applyAlignment="1">
      <alignment horizontal="center"/>
    </xf>
    <xf numFmtId="168" fontId="14" fillId="0" borderId="1" xfId="1" applyNumberFormat="1" applyFont="1" applyFill="1" applyBorder="1"/>
    <xf numFmtId="165" fontId="8" fillId="0" borderId="1" xfId="0" applyNumberFormat="1" applyFont="1" applyBorder="1"/>
    <xf numFmtId="0" fontId="8" fillId="0" borderId="1" xfId="0" applyFont="1" applyBorder="1"/>
    <xf numFmtId="0" fontId="8" fillId="0" borderId="1" xfId="2" applyNumberFormat="1" applyFont="1" applyBorder="1" applyAlignment="1">
      <alignment horizontal="center"/>
    </xf>
    <xf numFmtId="166" fontId="8" fillId="0" borderId="1" xfId="2" applyFont="1" applyBorder="1"/>
    <xf numFmtId="2" fontId="8" fillId="0" borderId="1" xfId="0" applyNumberFormat="1" applyFont="1" applyBorder="1" applyAlignment="1">
      <alignment horizontal="center"/>
    </xf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8" fillId="2" borderId="4" xfId="0" applyFont="1" applyFill="1" applyBorder="1" applyAlignment="1"/>
    <xf numFmtId="165" fontId="8" fillId="2" borderId="1" xfId="0" applyNumberFormat="1" applyFont="1" applyFill="1" applyBorder="1"/>
    <xf numFmtId="9" fontId="8" fillId="0" borderId="1" xfId="0" applyNumberFormat="1" applyFont="1" applyBorder="1" applyAlignment="1">
      <alignment horizontal="center"/>
    </xf>
    <xf numFmtId="0" fontId="1" fillId="8" borderId="1" xfId="0" applyFont="1" applyFill="1" applyBorder="1"/>
    <xf numFmtId="165" fontId="1" fillId="8" borderId="1" xfId="0" applyNumberFormat="1" applyFont="1" applyFill="1" applyBorder="1"/>
    <xf numFmtId="165" fontId="1" fillId="0" borderId="1" xfId="0" applyNumberFormat="1" applyFont="1" applyFill="1" applyBorder="1"/>
    <xf numFmtId="0" fontId="8" fillId="13" borderId="1" xfId="3" applyFont="1" applyFill="1" applyBorder="1" applyAlignment="1">
      <alignment horizontal="left" vertical="center" wrapText="1"/>
    </xf>
    <xf numFmtId="0" fontId="8" fillId="13" borderId="1" xfId="3" applyFont="1" applyFill="1" applyBorder="1" applyAlignment="1">
      <alignment horizontal="center" vertical="center"/>
    </xf>
    <xf numFmtId="164" fontId="8" fillId="13" borderId="1" xfId="3" applyNumberFormat="1" applyFont="1" applyFill="1" applyBorder="1" applyAlignment="1">
      <alignment horizontal="center" vertical="center"/>
    </xf>
    <xf numFmtId="172" fontId="16" fillId="13" borderId="1" xfId="4" applyNumberFormat="1" applyFont="1" applyFill="1" applyBorder="1" applyAlignment="1" applyProtection="1">
      <alignment vertical="center"/>
    </xf>
    <xf numFmtId="0" fontId="15" fillId="8" borderId="1" xfId="3" applyFont="1" applyFill="1" applyBorder="1" applyAlignment="1">
      <alignment horizontal="left" vertical="center" wrapText="1"/>
    </xf>
    <xf numFmtId="0" fontId="15" fillId="8" borderId="2" xfId="3" applyFont="1" applyFill="1" applyBorder="1" applyAlignment="1">
      <alignment vertical="center"/>
    </xf>
    <xf numFmtId="0" fontId="15" fillId="8" borderId="3" xfId="3" applyFont="1" applyFill="1" applyBorder="1" applyAlignment="1">
      <alignment vertical="center"/>
    </xf>
    <xf numFmtId="0" fontId="8" fillId="0" borderId="0" xfId="0" applyFont="1"/>
    <xf numFmtId="168" fontId="8" fillId="0" borderId="1" xfId="1" applyNumberFormat="1" applyFont="1" applyBorder="1"/>
    <xf numFmtId="168" fontId="8" fillId="0" borderId="1" xfId="1" applyNumberFormat="1" applyFont="1" applyBorder="1" applyAlignment="1">
      <alignment horizontal="left" vertical="center" wrapText="1"/>
    </xf>
    <xf numFmtId="168" fontId="17" fillId="10" borderId="1" xfId="1" applyNumberFormat="1" applyFont="1" applyFill="1" applyBorder="1" applyAlignment="1">
      <alignment horizontal="left" vertical="center" wrapText="1"/>
    </xf>
    <xf numFmtId="168" fontId="8" fillId="10" borderId="1" xfId="1" applyNumberFormat="1" applyFont="1" applyFill="1" applyBorder="1" applyAlignment="1">
      <alignment horizontal="center"/>
    </xf>
    <xf numFmtId="168" fontId="8" fillId="10" borderId="1" xfId="1" applyNumberFormat="1" applyFont="1" applyFill="1" applyBorder="1"/>
    <xf numFmtId="168" fontId="8" fillId="0" borderId="1" xfId="1" applyNumberFormat="1" applyFont="1" applyBorder="1" applyAlignment="1"/>
    <xf numFmtId="168" fontId="14" fillId="0" borderId="1" xfId="1" applyNumberFormat="1" applyFont="1" applyBorder="1" applyAlignment="1">
      <alignment horizontal="center" vertical="center"/>
    </xf>
    <xf numFmtId="168" fontId="2" fillId="8" borderId="2" xfId="1" applyNumberFormat="1" applyFont="1" applyFill="1" applyBorder="1" applyAlignment="1"/>
    <xf numFmtId="166" fontId="14" fillId="0" borderId="1" xfId="2" applyFont="1" applyBorder="1"/>
    <xf numFmtId="166" fontId="3" fillId="10" borderId="1" xfId="2" applyFont="1" applyFill="1" applyBorder="1"/>
    <xf numFmtId="168" fontId="5" fillId="12" borderId="14" xfId="1" applyNumberFormat="1" applyFont="1" applyFill="1" applyBorder="1" applyAlignment="1">
      <alignment horizontal="center"/>
    </xf>
    <xf numFmtId="168" fontId="5" fillId="12" borderId="16" xfId="1" applyNumberFormat="1" applyFont="1" applyFill="1" applyBorder="1" applyAlignment="1">
      <alignment horizontal="center"/>
    </xf>
    <xf numFmtId="169" fontId="0" fillId="0" borderId="16" xfId="0" applyNumberFormat="1" applyBorder="1" applyAlignment="1">
      <alignment horizontal="center" vertical="center"/>
    </xf>
    <xf numFmtId="169" fontId="0" fillId="0" borderId="16" xfId="0" applyNumberFormat="1" applyBorder="1"/>
    <xf numFmtId="168" fontId="6" fillId="11" borderId="21" xfId="1" applyNumberFormat="1" applyFont="1" applyFill="1" applyBorder="1"/>
    <xf numFmtId="0" fontId="3" fillId="11" borderId="38" xfId="0" applyFont="1" applyFill="1" applyBorder="1"/>
    <xf numFmtId="169" fontId="3" fillId="11" borderId="19" xfId="0" applyNumberFormat="1" applyFont="1" applyFill="1" applyBorder="1" applyAlignment="1">
      <alignment horizontal="center"/>
    </xf>
    <xf numFmtId="169" fontId="0" fillId="0" borderId="16" xfId="0" applyNumberFormat="1" applyBorder="1" applyAlignment="1">
      <alignment horizontal="center"/>
    </xf>
    <xf numFmtId="166" fontId="8" fillId="0" borderId="11" xfId="2" applyFont="1" applyFill="1" applyBorder="1"/>
    <xf numFmtId="168" fontId="4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173" fontId="20" fillId="0" borderId="1" xfId="0" applyNumberFormat="1" applyFont="1" applyBorder="1" applyAlignment="1">
      <alignment horizontal="center" wrapText="1"/>
    </xf>
    <xf numFmtId="173" fontId="20" fillId="0" borderId="1" xfId="0" applyNumberFormat="1" applyFont="1" applyBorder="1" applyAlignment="1">
      <alignment horizontal="right" wrapText="1"/>
    </xf>
    <xf numFmtId="173" fontId="20" fillId="4" borderId="1" xfId="0" applyNumberFormat="1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73" fontId="2" fillId="0" borderId="1" xfId="0" applyNumberFormat="1" applyFont="1" applyBorder="1" applyAlignment="1">
      <alignment horizontal="right" wrapText="1"/>
    </xf>
    <xf numFmtId="173" fontId="2" fillId="12" borderId="10" xfId="0" applyNumberFormat="1" applyFont="1" applyFill="1" applyBorder="1" applyAlignment="1">
      <alignment horizontal="right" wrapText="1"/>
    </xf>
    <xf numFmtId="168" fontId="4" fillId="13" borderId="0" xfId="1" applyNumberFormat="1" applyFont="1" applyFill="1" applyBorder="1" applyAlignment="1">
      <alignment vertical="center"/>
    </xf>
    <xf numFmtId="0" fontId="2" fillId="7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 wrapText="1"/>
    </xf>
    <xf numFmtId="168" fontId="4" fillId="13" borderId="0" xfId="1" applyNumberFormat="1" applyFont="1" applyFill="1" applyBorder="1" applyAlignment="1">
      <alignment horizontal="center" vertical="center"/>
    </xf>
    <xf numFmtId="168" fontId="21" fillId="13" borderId="52" xfId="1" applyNumberFormat="1" applyFont="1" applyFill="1" applyBorder="1" applyAlignment="1">
      <alignment horizontal="center" vertical="center" wrapText="1"/>
    </xf>
    <xf numFmtId="168" fontId="21" fillId="13" borderId="0" xfId="1" applyNumberFormat="1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wrapText="1"/>
    </xf>
    <xf numFmtId="0" fontId="2" fillId="12" borderId="0" xfId="0" applyFont="1" applyFill="1" applyBorder="1" applyAlignment="1">
      <alignment horizontal="right" wrapText="1"/>
    </xf>
    <xf numFmtId="0" fontId="2" fillId="0" borderId="5" xfId="0" applyFont="1" applyBorder="1" applyAlignment="1">
      <alignment wrapText="1"/>
    </xf>
    <xf numFmtId="173" fontId="2" fillId="0" borderId="7" xfId="0" applyNumberFormat="1" applyFont="1" applyBorder="1" applyAlignment="1">
      <alignment horizontal="right" wrapText="1"/>
    </xf>
    <xf numFmtId="173" fontId="2" fillId="0" borderId="10" xfId="0" applyNumberFormat="1" applyFont="1" applyBorder="1" applyAlignment="1">
      <alignment horizontal="right" wrapText="1"/>
    </xf>
    <xf numFmtId="0" fontId="0" fillId="0" borderId="6" xfId="0" applyBorder="1"/>
    <xf numFmtId="173" fontId="20" fillId="0" borderId="0" xfId="0" applyNumberFormat="1" applyFont="1" applyBorder="1" applyAlignment="1">
      <alignment horizontal="right" wrapText="1"/>
    </xf>
    <xf numFmtId="173" fontId="20" fillId="14" borderId="1" xfId="0" applyNumberFormat="1" applyFont="1" applyFill="1" applyBorder="1" applyAlignment="1">
      <alignment horizontal="right" wrapText="1"/>
    </xf>
    <xf numFmtId="0" fontId="2" fillId="0" borderId="53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0" fillId="0" borderId="53" xfId="0" applyNumberFormat="1" applyFont="1" applyBorder="1" applyAlignment="1">
      <alignment horizontal="center" wrapText="1"/>
    </xf>
    <xf numFmtId="168" fontId="4" fillId="18" borderId="11" xfId="1" applyNumberFormat="1" applyFont="1" applyFill="1" applyBorder="1" applyAlignment="1">
      <alignment horizontal="center" vertical="center"/>
    </xf>
    <xf numFmtId="173" fontId="20" fillId="18" borderId="1" xfId="0" applyNumberFormat="1" applyFont="1" applyFill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168" fontId="4" fillId="5" borderId="40" xfId="1" applyNumberFormat="1" applyFont="1" applyFill="1" applyBorder="1" applyAlignment="1">
      <alignment horizontal="center" vertical="center"/>
    </xf>
    <xf numFmtId="168" fontId="4" fillId="5" borderId="41" xfId="1" applyNumberFormat="1" applyFont="1" applyFill="1" applyBorder="1" applyAlignment="1">
      <alignment horizontal="center" vertical="center"/>
    </xf>
    <xf numFmtId="168" fontId="4" fillId="5" borderId="42" xfId="1" applyNumberFormat="1" applyFont="1" applyFill="1" applyBorder="1" applyAlignment="1">
      <alignment horizontal="center" vertical="center"/>
    </xf>
    <xf numFmtId="168" fontId="4" fillId="5" borderId="37" xfId="1" applyNumberFormat="1" applyFont="1" applyFill="1" applyBorder="1" applyAlignment="1">
      <alignment horizontal="center" vertical="center"/>
    </xf>
    <xf numFmtId="168" fontId="4" fillId="5" borderId="38" xfId="1" applyNumberFormat="1" applyFont="1" applyFill="1" applyBorder="1" applyAlignment="1">
      <alignment horizontal="center" vertical="center"/>
    </xf>
    <xf numFmtId="168" fontId="4" fillId="5" borderId="19" xfId="1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168" fontId="4" fillId="16" borderId="24" xfId="1" applyNumberFormat="1" applyFont="1" applyFill="1" applyBorder="1" applyAlignment="1">
      <alignment horizontal="center" vertical="center"/>
    </xf>
    <xf numFmtId="168" fontId="4" fillId="16" borderId="25" xfId="1" applyNumberFormat="1" applyFont="1" applyFill="1" applyBorder="1" applyAlignment="1">
      <alignment horizontal="center" vertical="center"/>
    </xf>
    <xf numFmtId="168" fontId="4" fillId="16" borderId="26" xfId="1" applyNumberFormat="1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168" fontId="4" fillId="7" borderId="24" xfId="1" applyNumberFormat="1" applyFont="1" applyFill="1" applyBorder="1" applyAlignment="1">
      <alignment horizontal="center" vertical="center"/>
    </xf>
    <xf numFmtId="168" fontId="4" fillId="7" borderId="25" xfId="1" applyNumberFormat="1" applyFont="1" applyFill="1" applyBorder="1" applyAlignment="1">
      <alignment horizontal="center" vertical="center"/>
    </xf>
    <xf numFmtId="168" fontId="4" fillId="7" borderId="26" xfId="1" applyNumberFormat="1" applyFont="1" applyFill="1" applyBorder="1" applyAlignment="1">
      <alignment horizontal="center" vertical="center"/>
    </xf>
    <xf numFmtId="168" fontId="4" fillId="9" borderId="24" xfId="1" applyNumberFormat="1" applyFont="1" applyFill="1" applyBorder="1" applyAlignment="1">
      <alignment horizontal="center" vertical="center"/>
    </xf>
    <xf numFmtId="168" fontId="4" fillId="9" borderId="25" xfId="1" applyNumberFormat="1" applyFont="1" applyFill="1" applyBorder="1" applyAlignment="1">
      <alignment horizontal="center" vertical="center"/>
    </xf>
    <xf numFmtId="168" fontId="4" fillId="9" borderId="26" xfId="1" applyNumberFormat="1" applyFont="1" applyFill="1" applyBorder="1" applyAlignment="1">
      <alignment horizontal="center" vertical="center"/>
    </xf>
    <xf numFmtId="168" fontId="7" fillId="9" borderId="1" xfId="1" applyNumberFormat="1" applyFont="1" applyFill="1" applyBorder="1" applyAlignment="1">
      <alignment horizontal="center" vertical="center"/>
    </xf>
    <xf numFmtId="168" fontId="4" fillId="8" borderId="24" xfId="1" applyNumberFormat="1" applyFont="1" applyFill="1" applyBorder="1" applyAlignment="1">
      <alignment horizontal="center" vertical="center"/>
    </xf>
    <xf numFmtId="168" fontId="4" fillId="8" borderId="25" xfId="1" applyNumberFormat="1" applyFont="1" applyFill="1" applyBorder="1" applyAlignment="1">
      <alignment horizontal="center" vertical="center"/>
    </xf>
    <xf numFmtId="168" fontId="4" fillId="8" borderId="26" xfId="1" applyNumberFormat="1" applyFont="1" applyFill="1" applyBorder="1" applyAlignment="1">
      <alignment horizontal="center" vertical="center"/>
    </xf>
    <xf numFmtId="0" fontId="12" fillId="8" borderId="2" xfId="3" applyFont="1" applyFill="1" applyBorder="1" applyAlignment="1">
      <alignment horizontal="left" vertical="center" wrapText="1"/>
    </xf>
    <xf numFmtId="0" fontId="12" fillId="8" borderId="3" xfId="3" applyFont="1" applyFill="1" applyBorder="1" applyAlignment="1">
      <alignment horizontal="left" vertical="center" wrapText="1"/>
    </xf>
    <xf numFmtId="0" fontId="12" fillId="8" borderId="4" xfId="3" applyFont="1" applyFill="1" applyBorder="1" applyAlignment="1">
      <alignment horizontal="left" vertical="center" wrapText="1"/>
    </xf>
    <xf numFmtId="9" fontId="1" fillId="0" borderId="2" xfId="0" applyNumberFormat="1" applyFont="1" applyFill="1" applyBorder="1" applyAlignment="1">
      <alignment horizontal="center"/>
    </xf>
    <xf numFmtId="9" fontId="1" fillId="0" borderId="3" xfId="0" applyNumberFormat="1" applyFont="1" applyFill="1" applyBorder="1" applyAlignment="1">
      <alignment horizontal="center"/>
    </xf>
    <xf numFmtId="9" fontId="1" fillId="0" borderId="4" xfId="0" applyNumberFormat="1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166" fontId="4" fillId="2" borderId="2" xfId="2" applyFont="1" applyFill="1" applyBorder="1" applyAlignment="1">
      <alignment horizontal="center"/>
    </xf>
    <xf numFmtId="166" fontId="4" fillId="2" borderId="3" xfId="2" applyFont="1" applyFill="1" applyBorder="1" applyAlignment="1">
      <alignment horizontal="center"/>
    </xf>
    <xf numFmtId="166" fontId="4" fillId="2" borderId="4" xfId="2" applyFont="1" applyFill="1" applyBorder="1" applyAlignment="1">
      <alignment horizontal="center"/>
    </xf>
    <xf numFmtId="165" fontId="2" fillId="8" borderId="3" xfId="0" applyNumberFormat="1" applyFont="1" applyFill="1" applyBorder="1" applyAlignment="1">
      <alignment horizontal="center"/>
    </xf>
    <xf numFmtId="165" fontId="2" fillId="8" borderId="4" xfId="0" applyNumberFormat="1" applyFont="1" applyFill="1" applyBorder="1" applyAlignment="1">
      <alignment horizontal="center"/>
    </xf>
    <xf numFmtId="168" fontId="19" fillId="6" borderId="24" xfId="1" applyNumberFormat="1" applyFont="1" applyFill="1" applyBorder="1" applyAlignment="1">
      <alignment horizontal="center" vertical="center"/>
    </xf>
    <xf numFmtId="168" fontId="19" fillId="6" borderId="25" xfId="1" applyNumberFormat="1" applyFont="1" applyFill="1" applyBorder="1" applyAlignment="1">
      <alignment horizontal="center" vertical="center"/>
    </xf>
    <xf numFmtId="168" fontId="19" fillId="6" borderId="26" xfId="1" applyNumberFormat="1" applyFont="1" applyFill="1" applyBorder="1" applyAlignment="1">
      <alignment horizontal="center" vertical="center"/>
    </xf>
    <xf numFmtId="168" fontId="19" fillId="7" borderId="2" xfId="1" applyNumberFormat="1" applyFont="1" applyFill="1" applyBorder="1" applyAlignment="1">
      <alignment horizontal="center" vertical="center"/>
    </xf>
    <xf numFmtId="168" fontId="19" fillId="7" borderId="3" xfId="1" applyNumberFormat="1" applyFont="1" applyFill="1" applyBorder="1" applyAlignment="1">
      <alignment horizontal="center" vertical="center"/>
    </xf>
    <xf numFmtId="168" fontId="19" fillId="7" borderId="4" xfId="1" applyNumberFormat="1" applyFont="1" applyFill="1" applyBorder="1" applyAlignment="1">
      <alignment horizontal="center" vertical="center"/>
    </xf>
    <xf numFmtId="166" fontId="4" fillId="16" borderId="43" xfId="2" applyFont="1" applyFill="1" applyBorder="1" applyAlignment="1">
      <alignment horizontal="center"/>
    </xf>
    <xf numFmtId="166" fontId="4" fillId="16" borderId="25" xfId="2" applyFont="1" applyFill="1" applyBorder="1" applyAlignment="1">
      <alignment horizontal="center"/>
    </xf>
    <xf numFmtId="166" fontId="4" fillId="16" borderId="26" xfId="2" applyFont="1" applyFill="1" applyBorder="1" applyAlignment="1">
      <alignment horizontal="center"/>
    </xf>
    <xf numFmtId="166" fontId="4" fillId="2" borderId="43" xfId="2" applyFont="1" applyFill="1" applyBorder="1" applyAlignment="1">
      <alignment horizontal="center"/>
    </xf>
    <xf numFmtId="166" fontId="4" fillId="2" borderId="25" xfId="2" applyFont="1" applyFill="1" applyBorder="1" applyAlignment="1">
      <alignment horizontal="center"/>
    </xf>
    <xf numFmtId="166" fontId="4" fillId="2" borderId="26" xfId="2" applyFont="1" applyFill="1" applyBorder="1" applyAlignment="1">
      <alignment horizontal="center"/>
    </xf>
    <xf numFmtId="166" fontId="4" fillId="9" borderId="44" xfId="2" applyFont="1" applyFill="1" applyBorder="1" applyAlignment="1">
      <alignment horizontal="center"/>
    </xf>
    <xf numFmtId="166" fontId="4" fillId="9" borderId="18" xfId="2" applyFont="1" applyFill="1" applyBorder="1" applyAlignment="1">
      <alignment horizontal="center"/>
    </xf>
    <xf numFmtId="166" fontId="4" fillId="9" borderId="45" xfId="2" applyFont="1" applyFill="1" applyBorder="1" applyAlignment="1">
      <alignment horizontal="center"/>
    </xf>
    <xf numFmtId="166" fontId="18" fillId="6" borderId="2" xfId="2" applyFont="1" applyFill="1" applyBorder="1" applyAlignment="1">
      <alignment horizontal="center"/>
    </xf>
    <xf numFmtId="166" fontId="18" fillId="6" borderId="3" xfId="2" applyFont="1" applyFill="1" applyBorder="1" applyAlignment="1">
      <alignment horizontal="center"/>
    </xf>
    <xf numFmtId="166" fontId="18" fillId="6" borderId="46" xfId="2" applyFont="1" applyFill="1" applyBorder="1" applyAlignment="1">
      <alignment horizontal="center"/>
    </xf>
    <xf numFmtId="168" fontId="6" fillId="11" borderId="33" xfId="1" applyNumberFormat="1" applyFont="1" applyFill="1" applyBorder="1" applyAlignment="1">
      <alignment horizontal="center" vertical="center"/>
    </xf>
    <xf numFmtId="168" fontId="6" fillId="11" borderId="34" xfId="1" applyNumberFormat="1" applyFont="1" applyFill="1" applyBorder="1" applyAlignment="1">
      <alignment horizontal="center" vertical="center"/>
    </xf>
    <xf numFmtId="168" fontId="6" fillId="11" borderId="35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14" borderId="5" xfId="0" applyFont="1" applyFill="1" applyBorder="1" applyAlignment="1">
      <alignment horizontal="left" wrapText="1"/>
    </xf>
    <xf numFmtId="0" fontId="2" fillId="14" borderId="6" xfId="0" applyFont="1" applyFill="1" applyBorder="1" applyAlignment="1">
      <alignment horizontal="left" wrapText="1"/>
    </xf>
    <xf numFmtId="0" fontId="2" fillId="14" borderId="7" xfId="0" applyFont="1" applyFill="1" applyBorder="1" applyAlignment="1">
      <alignment horizontal="left" wrapText="1"/>
    </xf>
    <xf numFmtId="0" fontId="2" fillId="18" borderId="50" xfId="0" applyFont="1" applyFill="1" applyBorder="1" applyAlignment="1">
      <alignment horizontal="left" wrapText="1"/>
    </xf>
    <xf numFmtId="0" fontId="2" fillId="18" borderId="51" xfId="0" applyFont="1" applyFill="1" applyBorder="1" applyAlignment="1">
      <alignment horizontal="left" wrapText="1"/>
    </xf>
    <xf numFmtId="0" fontId="2" fillId="18" borderId="8" xfId="0" applyFont="1" applyFill="1" applyBorder="1" applyAlignment="1">
      <alignment horizontal="left" wrapText="1"/>
    </xf>
    <xf numFmtId="168" fontId="21" fillId="15" borderId="1" xfId="1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7" borderId="49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3" fillId="17" borderId="48" xfId="0" applyFont="1" applyFill="1" applyBorder="1" applyAlignment="1">
      <alignment horizontal="center" wrapText="1"/>
    </xf>
    <xf numFmtId="0" fontId="23" fillId="17" borderId="47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right" wrapText="1"/>
    </xf>
    <xf numFmtId="168" fontId="4" fillId="18" borderId="50" xfId="1" applyNumberFormat="1" applyFont="1" applyFill="1" applyBorder="1" applyAlignment="1">
      <alignment horizontal="center" vertical="center" wrapText="1"/>
    </xf>
    <xf numFmtId="168" fontId="4" fillId="18" borderId="51" xfId="1" applyNumberFormat="1" applyFont="1" applyFill="1" applyBorder="1" applyAlignment="1">
      <alignment horizontal="center" vertical="center" wrapText="1"/>
    </xf>
    <xf numFmtId="168" fontId="4" fillId="18" borderId="8" xfId="1" applyNumberFormat="1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wrapText="1"/>
    </xf>
    <xf numFmtId="0" fontId="2" fillId="14" borderId="0" xfId="0" applyFont="1" applyFill="1" applyBorder="1" applyAlignment="1">
      <alignment horizontal="center" wrapText="1"/>
    </xf>
  </cellXfs>
  <cellStyles count="5">
    <cellStyle name="Millares" xfId="1" builtinId="3"/>
    <cellStyle name="Moneda" xfId="2" builtinId="4"/>
    <cellStyle name="Normal" xfId="0" builtinId="0"/>
    <cellStyle name="Normal_Hoja1" xfId="3"/>
    <cellStyle name="Normal_LISTA S.E.D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zoomScale="84" zoomScaleNormal="84" workbookViewId="0">
      <selection activeCell="D99" sqref="D99"/>
    </sheetView>
  </sheetViews>
  <sheetFormatPr baseColWidth="10" defaultRowHeight="15"/>
  <cols>
    <col min="1" max="1" width="72" bestFit="1" customWidth="1"/>
    <col min="2" max="2" width="17.7109375" customWidth="1"/>
    <col min="3" max="5" width="18.42578125" customWidth="1"/>
    <col min="6" max="6" width="16.5703125" customWidth="1"/>
  </cols>
  <sheetData>
    <row r="1" spans="1:6" ht="15" customHeight="1">
      <c r="A1" s="162" t="s">
        <v>0</v>
      </c>
      <c r="B1" s="163"/>
      <c r="C1" s="163"/>
      <c r="D1" s="163"/>
      <c r="E1" s="164"/>
      <c r="F1" s="21"/>
    </row>
    <row r="2" spans="1:6" ht="15" customHeight="1" thickBot="1">
      <c r="A2" s="165"/>
      <c r="B2" s="166"/>
      <c r="C2" s="166"/>
      <c r="D2" s="166"/>
      <c r="E2" s="167"/>
      <c r="F2" s="21"/>
    </row>
    <row r="3" spans="1:6" ht="16.5">
      <c r="A3" s="33"/>
      <c r="B3" s="33"/>
      <c r="C3" s="33"/>
      <c r="D3" s="33"/>
      <c r="E3" s="33"/>
    </row>
    <row r="4" spans="1:6" ht="17.25" thickBot="1">
      <c r="A4" s="33"/>
      <c r="B4" s="33"/>
      <c r="C4" s="33"/>
      <c r="D4" s="33"/>
      <c r="E4" s="33"/>
    </row>
    <row r="5" spans="1:6" ht="17.25" thickBot="1">
      <c r="A5" s="170" t="s">
        <v>46</v>
      </c>
      <c r="B5" s="171"/>
      <c r="C5" s="171"/>
      <c r="D5" s="171"/>
      <c r="E5" s="172"/>
    </row>
    <row r="6" spans="1:6" ht="50.25" thickBot="1">
      <c r="A6" s="58" t="s">
        <v>1</v>
      </c>
      <c r="B6" s="40" t="s">
        <v>10</v>
      </c>
      <c r="C6" s="57" t="s">
        <v>2</v>
      </c>
      <c r="D6" s="39" t="s">
        <v>3</v>
      </c>
      <c r="E6" s="41" t="s">
        <v>4</v>
      </c>
    </row>
    <row r="7" spans="1:6">
      <c r="A7" s="36" t="s">
        <v>47</v>
      </c>
      <c r="B7" s="14" t="s">
        <v>11</v>
      </c>
      <c r="C7" s="14">
        <v>1</v>
      </c>
      <c r="D7" s="37">
        <f>(5000000)/(30*8)</f>
        <v>20833.333333333332</v>
      </c>
      <c r="E7" s="38">
        <f t="shared" ref="E7:E13" si="0">D7*C7</f>
        <v>20833.333333333332</v>
      </c>
    </row>
    <row r="8" spans="1:6" ht="18" customHeight="1">
      <c r="A8" s="173" t="s">
        <v>89</v>
      </c>
      <c r="B8" s="16" t="s">
        <v>84</v>
      </c>
      <c r="C8" s="15">
        <v>1</v>
      </c>
      <c r="D8" s="5">
        <v>19000</v>
      </c>
      <c r="E8" s="17">
        <f t="shared" si="0"/>
        <v>19000</v>
      </c>
    </row>
    <row r="9" spans="1:6">
      <c r="A9" s="174"/>
      <c r="B9" s="15" t="s">
        <v>11</v>
      </c>
      <c r="C9" s="15">
        <v>4</v>
      </c>
      <c r="D9" s="5">
        <f>(689500)/(30*8)</f>
        <v>2872.9166666666665</v>
      </c>
      <c r="E9" s="17">
        <f t="shared" si="0"/>
        <v>11491.666666666666</v>
      </c>
    </row>
    <row r="10" spans="1:6">
      <c r="A10" s="34" t="s">
        <v>48</v>
      </c>
      <c r="B10" s="15" t="s">
        <v>11</v>
      </c>
      <c r="C10" s="15">
        <v>1</v>
      </c>
      <c r="D10" s="5">
        <f>(1200000)/(30*8)</f>
        <v>5000</v>
      </c>
      <c r="E10" s="35">
        <f t="shared" si="0"/>
        <v>5000</v>
      </c>
    </row>
    <row r="11" spans="1:6">
      <c r="A11" s="34" t="s">
        <v>49</v>
      </c>
      <c r="B11" s="15" t="s">
        <v>11</v>
      </c>
      <c r="C11" s="15">
        <v>1</v>
      </c>
      <c r="D11" s="5">
        <f>(5000000)/(30*8)</f>
        <v>20833.333333333332</v>
      </c>
      <c r="E11" s="35">
        <f t="shared" si="0"/>
        <v>20833.333333333332</v>
      </c>
    </row>
    <row r="12" spans="1:6">
      <c r="A12" s="34" t="s">
        <v>88</v>
      </c>
      <c r="B12" s="16" t="s">
        <v>84</v>
      </c>
      <c r="C12" s="15">
        <v>1</v>
      </c>
      <c r="D12" s="5">
        <v>8000</v>
      </c>
      <c r="E12" s="35">
        <f t="shared" si="0"/>
        <v>8000</v>
      </c>
    </row>
    <row r="13" spans="1:6" ht="24.75" thickBot="1">
      <c r="A13" s="34" t="s">
        <v>87</v>
      </c>
      <c r="B13" s="16" t="s">
        <v>84</v>
      </c>
      <c r="C13" s="16">
        <v>1</v>
      </c>
      <c r="D13" s="5">
        <v>700000</v>
      </c>
      <c r="E13" s="35">
        <f t="shared" si="0"/>
        <v>700000</v>
      </c>
    </row>
    <row r="14" spans="1:6" ht="17.25" thickBot="1">
      <c r="A14" s="42" t="s">
        <v>5</v>
      </c>
      <c r="B14" s="205">
        <f>SUM(E7:E13)</f>
        <v>785158.33333333337</v>
      </c>
      <c r="C14" s="206"/>
      <c r="D14" s="206"/>
      <c r="E14" s="207"/>
    </row>
    <row r="15" spans="1:6" s="32" customFormat="1" ht="16.5">
      <c r="A15" s="18"/>
      <c r="B15" s="18"/>
      <c r="C15" s="18"/>
      <c r="D15" s="18"/>
      <c r="E15" s="18"/>
    </row>
    <row r="16" spans="1:6" s="20" customFormat="1" ht="17.25" thickBot="1">
      <c r="A16" s="18"/>
      <c r="B16" s="18"/>
      <c r="C16" s="18"/>
      <c r="D16" s="18"/>
      <c r="E16" s="19"/>
    </row>
    <row r="17" spans="1:6" ht="17.25" thickBot="1">
      <c r="A17" s="175" t="s">
        <v>50</v>
      </c>
      <c r="B17" s="176"/>
      <c r="C17" s="176"/>
      <c r="D17" s="176"/>
      <c r="E17" s="177"/>
      <c r="F17" s="21"/>
    </row>
    <row r="18" spans="1:6" ht="50.25" thickBot="1">
      <c r="A18" s="43" t="s">
        <v>1</v>
      </c>
      <c r="B18" s="60" t="s">
        <v>10</v>
      </c>
      <c r="C18" s="44" t="s">
        <v>2</v>
      </c>
      <c r="D18" s="44" t="s">
        <v>3</v>
      </c>
      <c r="E18" s="45" t="s">
        <v>4</v>
      </c>
    </row>
    <row r="19" spans="1:6">
      <c r="A19" s="36" t="s">
        <v>73</v>
      </c>
      <c r="B19" s="14" t="s">
        <v>11</v>
      </c>
      <c r="C19" s="14">
        <v>0.5</v>
      </c>
      <c r="D19" s="37">
        <v>41666.666666666664</v>
      </c>
      <c r="E19" s="38">
        <f>D19*C19</f>
        <v>20833.333333333332</v>
      </c>
    </row>
    <row r="20" spans="1:6" ht="24.75" thickBot="1">
      <c r="A20" s="65" t="s">
        <v>86</v>
      </c>
      <c r="B20" s="15" t="s">
        <v>76</v>
      </c>
      <c r="C20" s="15">
        <v>1</v>
      </c>
      <c r="D20" s="5">
        <v>800000</v>
      </c>
      <c r="E20" s="17">
        <f>D20*0.2</f>
        <v>160000</v>
      </c>
    </row>
    <row r="21" spans="1:6" ht="17.25" thickBot="1">
      <c r="A21" s="46" t="s">
        <v>5</v>
      </c>
      <c r="B21" s="208">
        <f>SUM(E19:E20)</f>
        <v>180833.33333333334</v>
      </c>
      <c r="C21" s="209"/>
      <c r="D21" s="209"/>
      <c r="E21" s="210"/>
    </row>
    <row r="22" spans="1:6" s="20" customFormat="1" ht="17.25" thickBot="1">
      <c r="A22" s="18"/>
      <c r="B22" s="18"/>
      <c r="C22" s="18"/>
      <c r="D22" s="18"/>
      <c r="E22" s="19"/>
    </row>
    <row r="23" spans="1:6" ht="17.25" thickBot="1">
      <c r="A23" s="178" t="s">
        <v>51</v>
      </c>
      <c r="B23" s="179"/>
      <c r="C23" s="179"/>
      <c r="D23" s="179"/>
      <c r="E23" s="180"/>
    </row>
    <row r="24" spans="1:6" ht="50.25" thickBot="1">
      <c r="A24" s="54" t="s">
        <v>1</v>
      </c>
      <c r="B24" s="61" t="s">
        <v>72</v>
      </c>
      <c r="C24" s="55" t="s">
        <v>2</v>
      </c>
      <c r="D24" s="55" t="s">
        <v>3</v>
      </c>
      <c r="E24" s="56" t="s">
        <v>4</v>
      </c>
    </row>
    <row r="25" spans="1:6" ht="24">
      <c r="A25" s="51" t="s">
        <v>52</v>
      </c>
      <c r="B25" s="14" t="s">
        <v>11</v>
      </c>
      <c r="C25" s="14">
        <v>4</v>
      </c>
      <c r="D25" s="52">
        <v>41666.666666666664</v>
      </c>
      <c r="E25" s="53">
        <f>D25*C25</f>
        <v>166666.66666666666</v>
      </c>
    </row>
    <row r="26" spans="1:6" ht="24">
      <c r="A26" s="47" t="s">
        <v>90</v>
      </c>
      <c r="B26" s="15" t="s">
        <v>84</v>
      </c>
      <c r="C26" s="15">
        <v>1</v>
      </c>
      <c r="D26" s="29">
        <v>8000</v>
      </c>
      <c r="E26" s="30">
        <f>D26*C26</f>
        <v>8000</v>
      </c>
    </row>
    <row r="27" spans="1:6" ht="24">
      <c r="A27" s="47" t="s">
        <v>53</v>
      </c>
      <c r="B27" s="15" t="s">
        <v>11</v>
      </c>
      <c r="C27" s="15">
        <v>4</v>
      </c>
      <c r="D27" s="29">
        <v>41666.666666666664</v>
      </c>
      <c r="E27" s="30">
        <f>D27*C27</f>
        <v>166666.66666666666</v>
      </c>
    </row>
    <row r="28" spans="1:6">
      <c r="A28" s="48" t="s">
        <v>54</v>
      </c>
      <c r="B28" s="15" t="s">
        <v>11</v>
      </c>
      <c r="C28" s="15">
        <v>0.5</v>
      </c>
      <c r="D28" s="29">
        <v>41666.666666666664</v>
      </c>
      <c r="E28" s="49">
        <f>D28*C28</f>
        <v>20833.333333333332</v>
      </c>
    </row>
    <row r="29" spans="1:6" ht="17.25" thickBot="1">
      <c r="A29" s="50" t="s">
        <v>5</v>
      </c>
      <c r="B29" s="211">
        <f>SUM(E25:E28)</f>
        <v>362166.66666666663</v>
      </c>
      <c r="C29" s="212"/>
      <c r="D29" s="212"/>
      <c r="E29" s="213"/>
    </row>
    <row r="30" spans="1:6" s="20" customFormat="1" ht="16.5">
      <c r="A30" s="18"/>
      <c r="B30" s="18"/>
      <c r="C30" s="18"/>
      <c r="D30" s="19"/>
    </row>
    <row r="31" spans="1:6" ht="17.25" thickBot="1">
      <c r="A31" s="2"/>
      <c r="B31" s="2"/>
      <c r="C31" s="2"/>
      <c r="D31" s="2"/>
      <c r="E31" s="2"/>
    </row>
    <row r="32" spans="1:6" ht="17.25" thickBot="1">
      <c r="A32" s="199" t="s">
        <v>12</v>
      </c>
      <c r="B32" s="200"/>
      <c r="C32" s="200"/>
      <c r="D32" s="200"/>
      <c r="E32" s="201"/>
      <c r="F32" s="21"/>
    </row>
    <row r="33" spans="1:5" ht="61.5" customHeight="1" thickBot="1">
      <c r="A33" s="23" t="s">
        <v>1</v>
      </c>
      <c r="B33" s="62" t="s">
        <v>10</v>
      </c>
      <c r="C33" s="24" t="s">
        <v>2</v>
      </c>
      <c r="D33" s="24" t="s">
        <v>3</v>
      </c>
      <c r="E33" s="25" t="s">
        <v>4</v>
      </c>
    </row>
    <row r="34" spans="1:5">
      <c r="A34" s="84" t="s">
        <v>13</v>
      </c>
      <c r="B34" s="85" t="s">
        <v>74</v>
      </c>
      <c r="C34" s="66">
        <v>30</v>
      </c>
      <c r="D34" s="129">
        <v>28465.402777777777</v>
      </c>
      <c r="E34" s="67">
        <f>(D34*30)*2</f>
        <v>1707924.1666666667</v>
      </c>
    </row>
    <row r="35" spans="1:5">
      <c r="A35" s="68" t="s">
        <v>100</v>
      </c>
      <c r="B35" s="69" t="s">
        <v>82</v>
      </c>
      <c r="C35" s="70">
        <v>1</v>
      </c>
      <c r="D35" s="71">
        <v>3000</v>
      </c>
      <c r="E35" s="72">
        <f>D35*93</f>
        <v>279000</v>
      </c>
    </row>
    <row r="36" spans="1:5">
      <c r="A36" s="68" t="s">
        <v>14</v>
      </c>
      <c r="B36" s="73" t="s">
        <v>75</v>
      </c>
      <c r="C36" s="69">
        <v>2</v>
      </c>
      <c r="D36" s="71">
        <v>79900</v>
      </c>
      <c r="E36" s="74">
        <f>D36*2</f>
        <v>159800</v>
      </c>
    </row>
    <row r="37" spans="1:5">
      <c r="A37" s="68" t="s">
        <v>99</v>
      </c>
      <c r="B37" s="69" t="s">
        <v>82</v>
      </c>
      <c r="C37" s="69">
        <v>1</v>
      </c>
      <c r="D37" s="71">
        <v>45000</v>
      </c>
      <c r="E37" s="74">
        <f>D37</f>
        <v>45000</v>
      </c>
    </row>
    <row r="38" spans="1:5">
      <c r="A38" s="68" t="s">
        <v>15</v>
      </c>
      <c r="B38" s="73" t="s">
        <v>75</v>
      </c>
      <c r="C38" s="69">
        <v>2</v>
      </c>
      <c r="D38" s="71">
        <v>59900</v>
      </c>
      <c r="E38" s="74">
        <f>D38*2</f>
        <v>119800</v>
      </c>
    </row>
    <row r="39" spans="1:5">
      <c r="A39" s="68" t="s">
        <v>96</v>
      </c>
      <c r="B39" s="69" t="s">
        <v>82</v>
      </c>
      <c r="C39" s="75">
        <v>1</v>
      </c>
      <c r="D39" s="71">
        <v>15900</v>
      </c>
      <c r="E39" s="72">
        <f>D39*6</f>
        <v>95400</v>
      </c>
    </row>
    <row r="40" spans="1:5">
      <c r="A40" s="68" t="s">
        <v>97</v>
      </c>
      <c r="B40" s="69" t="s">
        <v>82</v>
      </c>
      <c r="C40" s="75">
        <v>1</v>
      </c>
      <c r="D40" s="71">
        <f>(16*1050+64900+17900+40*3450)</f>
        <v>237600</v>
      </c>
      <c r="E40" s="74">
        <f>D40</f>
        <v>237600</v>
      </c>
    </row>
    <row r="41" spans="1:5">
      <c r="A41" s="68" t="s">
        <v>16</v>
      </c>
      <c r="B41" s="73" t="s">
        <v>76</v>
      </c>
      <c r="C41" s="69">
        <v>186</v>
      </c>
      <c r="D41" s="71">
        <v>8000</v>
      </c>
      <c r="E41" s="74">
        <f>D41*186</f>
        <v>1488000</v>
      </c>
    </row>
    <row r="42" spans="1:5">
      <c r="A42" s="68" t="s">
        <v>98</v>
      </c>
      <c r="B42" s="69" t="s">
        <v>82</v>
      </c>
      <c r="C42" s="69">
        <v>3</v>
      </c>
      <c r="D42" s="71">
        <v>7000</v>
      </c>
      <c r="E42" s="72">
        <f>D42*3</f>
        <v>21000</v>
      </c>
    </row>
    <row r="43" spans="1:5">
      <c r="A43" s="68" t="s">
        <v>17</v>
      </c>
      <c r="B43" s="69" t="s">
        <v>77</v>
      </c>
      <c r="C43" s="75">
        <v>2</v>
      </c>
      <c r="D43" s="71">
        <v>1920</v>
      </c>
      <c r="E43" s="72">
        <f>D43*2</f>
        <v>3840</v>
      </c>
    </row>
    <row r="44" spans="1:5">
      <c r="A44" s="68" t="s">
        <v>18</v>
      </c>
      <c r="B44" s="73" t="s">
        <v>77</v>
      </c>
      <c r="C44" s="69">
        <v>1.5</v>
      </c>
      <c r="D44" s="71">
        <v>200</v>
      </c>
      <c r="E44" s="72">
        <f>D44*1500</f>
        <v>300000</v>
      </c>
    </row>
    <row r="45" spans="1:5">
      <c r="A45" s="68" t="s">
        <v>19</v>
      </c>
      <c r="B45" s="73" t="s">
        <v>78</v>
      </c>
      <c r="C45" s="69">
        <v>50</v>
      </c>
      <c r="D45" s="71">
        <v>2000</v>
      </c>
      <c r="E45" s="72">
        <f>D45*50</f>
        <v>100000</v>
      </c>
    </row>
    <row r="46" spans="1:5">
      <c r="A46" s="68" t="s">
        <v>20</v>
      </c>
      <c r="B46" s="73" t="s">
        <v>76</v>
      </c>
      <c r="C46" s="69">
        <v>1</v>
      </c>
      <c r="D46" s="71">
        <v>76900</v>
      </c>
      <c r="E46" s="72">
        <f>D46*C46</f>
        <v>76900</v>
      </c>
    </row>
    <row r="47" spans="1:5">
      <c r="A47" s="68" t="s">
        <v>21</v>
      </c>
      <c r="B47" s="73" t="s">
        <v>79</v>
      </c>
      <c r="C47" s="69">
        <v>24</v>
      </c>
      <c r="D47" s="71">
        <v>350</v>
      </c>
      <c r="E47" s="72">
        <f>D47*24</f>
        <v>8400</v>
      </c>
    </row>
    <row r="48" spans="1:5">
      <c r="A48" s="68" t="s">
        <v>22</v>
      </c>
      <c r="B48" s="73" t="s">
        <v>80</v>
      </c>
      <c r="C48" s="69">
        <v>3</v>
      </c>
      <c r="D48" s="71">
        <v>150000</v>
      </c>
      <c r="E48" s="74">
        <f>D48*C48</f>
        <v>450000</v>
      </c>
    </row>
    <row r="49" spans="1:6">
      <c r="A49" s="76" t="s">
        <v>30</v>
      </c>
      <c r="B49" s="77"/>
      <c r="C49" s="78"/>
      <c r="D49" s="78"/>
      <c r="E49" s="79">
        <f>SUM(E34:E48)</f>
        <v>5092664.166666667</v>
      </c>
    </row>
    <row r="50" spans="1:6">
      <c r="A50" s="68" t="s">
        <v>23</v>
      </c>
      <c r="B50" s="73" t="s">
        <v>81</v>
      </c>
      <c r="C50" s="80">
        <v>0.15</v>
      </c>
      <c r="D50" s="81"/>
      <c r="E50" s="74">
        <f>E49*C50</f>
        <v>763899.625</v>
      </c>
    </row>
    <row r="51" spans="1:6" ht="15.75">
      <c r="A51" s="86" t="s">
        <v>5</v>
      </c>
      <c r="B51" s="214">
        <f>E49+E50</f>
        <v>5856563.791666667</v>
      </c>
      <c r="C51" s="215"/>
      <c r="D51" s="215"/>
      <c r="E51" s="216"/>
    </row>
    <row r="52" spans="1:6" ht="15.75" thickBot="1">
      <c r="A52" s="82" t="s">
        <v>32</v>
      </c>
      <c r="B52" s="83"/>
      <c r="C52" s="83"/>
      <c r="D52" s="83"/>
      <c r="E52" s="22">
        <f>B51/18</f>
        <v>325364.65509259258</v>
      </c>
    </row>
    <row r="54" spans="1:6" ht="16.5">
      <c r="A54" s="202" t="s">
        <v>24</v>
      </c>
      <c r="B54" s="203"/>
      <c r="C54" s="203"/>
      <c r="D54" s="203"/>
      <c r="E54" s="204"/>
      <c r="F54" s="21"/>
    </row>
    <row r="55" spans="1:6" ht="49.5">
      <c r="A55" s="27" t="s">
        <v>1</v>
      </c>
      <c r="B55" s="28" t="s">
        <v>10</v>
      </c>
      <c r="C55" s="27" t="s">
        <v>2</v>
      </c>
      <c r="D55" s="27" t="s">
        <v>3</v>
      </c>
      <c r="E55" s="28" t="s">
        <v>4</v>
      </c>
    </row>
    <row r="56" spans="1:6">
      <c r="A56" s="87" t="s">
        <v>13</v>
      </c>
      <c r="B56" s="88" t="s">
        <v>74</v>
      </c>
      <c r="C56" s="75">
        <v>8</v>
      </c>
      <c r="D56" s="89">
        <v>28465.402777777777</v>
      </c>
      <c r="E56" s="90">
        <f>D56*8</f>
        <v>227723.22222222222</v>
      </c>
    </row>
    <row r="57" spans="1:6">
      <c r="A57" s="91" t="s">
        <v>25</v>
      </c>
      <c r="B57" s="73" t="s">
        <v>76</v>
      </c>
      <c r="C57" s="92">
        <v>20</v>
      </c>
      <c r="D57" s="93">
        <v>500</v>
      </c>
      <c r="E57" s="93">
        <f>D57*C57</f>
        <v>10000</v>
      </c>
    </row>
    <row r="58" spans="1:6">
      <c r="A58" s="91" t="s">
        <v>26</v>
      </c>
      <c r="B58" s="75" t="s">
        <v>78</v>
      </c>
      <c r="C58" s="75">
        <v>4</v>
      </c>
      <c r="D58" s="93">
        <v>2500</v>
      </c>
      <c r="E58" s="90">
        <f>D58*4</f>
        <v>10000</v>
      </c>
    </row>
    <row r="59" spans="1:6">
      <c r="A59" s="91" t="s">
        <v>27</v>
      </c>
      <c r="B59" s="75" t="s">
        <v>78</v>
      </c>
      <c r="C59" s="75">
        <v>8</v>
      </c>
      <c r="D59" s="93">
        <v>1000</v>
      </c>
      <c r="E59" s="90">
        <f>D59*8</f>
        <v>8000</v>
      </c>
    </row>
    <row r="60" spans="1:6">
      <c r="A60" s="91" t="s">
        <v>28</v>
      </c>
      <c r="B60" s="75" t="s">
        <v>75</v>
      </c>
      <c r="C60" s="94">
        <v>0.5</v>
      </c>
      <c r="D60" s="93">
        <v>59900</v>
      </c>
      <c r="E60" s="90">
        <f>D60*0.5</f>
        <v>29950</v>
      </c>
    </row>
    <row r="61" spans="1:6">
      <c r="A61" s="91" t="s">
        <v>29</v>
      </c>
      <c r="B61" s="75" t="s">
        <v>77</v>
      </c>
      <c r="C61" s="75">
        <v>1</v>
      </c>
      <c r="D61" s="93">
        <v>250000</v>
      </c>
      <c r="E61" s="90">
        <f>D61</f>
        <v>250000</v>
      </c>
    </row>
    <row r="62" spans="1:6">
      <c r="A62" s="91" t="s">
        <v>22</v>
      </c>
      <c r="B62" s="73" t="s">
        <v>76</v>
      </c>
      <c r="C62" s="75">
        <v>1</v>
      </c>
      <c r="D62" s="93">
        <v>50000</v>
      </c>
      <c r="E62" s="90">
        <f>D62*1</f>
        <v>50000</v>
      </c>
    </row>
    <row r="63" spans="1:6">
      <c r="A63" s="95" t="s">
        <v>30</v>
      </c>
      <c r="B63" s="96"/>
      <c r="C63" s="97"/>
      <c r="D63" s="98">
        <f>+D62+D60+D59+D58+D57+D56</f>
        <v>142365.40277777778</v>
      </c>
      <c r="E63" s="98">
        <f>+E62+E61+E60+E59+E58+E57+E56</f>
        <v>585673.22222222225</v>
      </c>
    </row>
    <row r="64" spans="1:6">
      <c r="A64" s="91" t="s">
        <v>23</v>
      </c>
      <c r="B64" s="91"/>
      <c r="C64" s="99">
        <v>0.1</v>
      </c>
      <c r="D64" s="91"/>
      <c r="E64" s="90">
        <f>E63*0.1</f>
        <v>58567.322222222225</v>
      </c>
      <c r="F64" s="6"/>
    </row>
    <row r="65" spans="1:5" ht="16.5">
      <c r="A65" s="1" t="s">
        <v>5</v>
      </c>
      <c r="B65" s="194">
        <f>E63+E64</f>
        <v>644240.54444444447</v>
      </c>
      <c r="C65" s="195"/>
      <c r="D65" s="195"/>
      <c r="E65" s="196"/>
    </row>
    <row r="67" spans="1:5" ht="15.75" thickBot="1"/>
    <row r="68" spans="1:5" ht="17.25" thickBot="1">
      <c r="A68" s="182" t="s">
        <v>33</v>
      </c>
      <c r="B68" s="183"/>
      <c r="C68" s="183"/>
      <c r="D68" s="183"/>
      <c r="E68" s="184"/>
    </row>
    <row r="69" spans="1:5" ht="49.5">
      <c r="A69" s="63" t="s">
        <v>1</v>
      </c>
      <c r="B69" s="64" t="s">
        <v>10</v>
      </c>
      <c r="C69" s="63" t="s">
        <v>2</v>
      </c>
      <c r="D69" s="63" t="s">
        <v>3</v>
      </c>
      <c r="E69" s="64" t="s">
        <v>4</v>
      </c>
    </row>
    <row r="70" spans="1:5">
      <c r="A70" s="185" t="s">
        <v>55</v>
      </c>
      <c r="B70" s="186"/>
      <c r="C70" s="186"/>
      <c r="D70" s="186"/>
      <c r="E70" s="187"/>
    </row>
    <row r="71" spans="1:5" ht="24">
      <c r="A71" s="103" t="s">
        <v>56</v>
      </c>
      <c r="B71" s="104" t="s">
        <v>57</v>
      </c>
      <c r="C71" s="104">
        <v>3</v>
      </c>
      <c r="D71" s="105">
        <v>600000</v>
      </c>
      <c r="E71" s="106">
        <f>+D71*C71</f>
        <v>1800000</v>
      </c>
    </row>
    <row r="72" spans="1:5">
      <c r="A72" s="107" t="s">
        <v>58</v>
      </c>
      <c r="B72" s="100"/>
      <c r="C72" s="108"/>
      <c r="D72" s="109"/>
      <c r="E72" s="109"/>
    </row>
    <row r="73" spans="1:5">
      <c r="A73" s="31" t="s">
        <v>59</v>
      </c>
      <c r="B73" s="104" t="s">
        <v>82</v>
      </c>
      <c r="C73" s="104">
        <v>1</v>
      </c>
      <c r="D73" s="105">
        <v>1500000</v>
      </c>
      <c r="E73" s="106">
        <f t="shared" ref="E73:E83" si="1">+D73*C73</f>
        <v>1500000</v>
      </c>
    </row>
    <row r="74" spans="1:5">
      <c r="A74" s="31" t="s">
        <v>60</v>
      </c>
      <c r="B74" s="104" t="s">
        <v>75</v>
      </c>
      <c r="C74" s="104">
        <v>4</v>
      </c>
      <c r="D74" s="105">
        <v>60000</v>
      </c>
      <c r="E74" s="106">
        <f t="shared" si="1"/>
        <v>240000</v>
      </c>
    </row>
    <row r="75" spans="1:5">
      <c r="A75" s="31" t="s">
        <v>61</v>
      </c>
      <c r="B75" s="104" t="s">
        <v>80</v>
      </c>
      <c r="C75" s="104">
        <v>14</v>
      </c>
      <c r="D75" s="105">
        <v>300000</v>
      </c>
      <c r="E75" s="106">
        <f t="shared" si="1"/>
        <v>4200000</v>
      </c>
    </row>
    <row r="76" spans="1:5">
      <c r="A76" s="31" t="s">
        <v>62</v>
      </c>
      <c r="B76" s="104" t="s">
        <v>82</v>
      </c>
      <c r="C76" s="104">
        <v>5</v>
      </c>
      <c r="D76" s="105">
        <v>30000</v>
      </c>
      <c r="E76" s="106">
        <f>+D76*C76</f>
        <v>150000</v>
      </c>
    </row>
    <row r="77" spans="1:5">
      <c r="A77" s="31" t="s">
        <v>63</v>
      </c>
      <c r="B77" s="104" t="s">
        <v>83</v>
      </c>
      <c r="C77" s="104">
        <v>1</v>
      </c>
      <c r="D77" s="105">
        <v>25000</v>
      </c>
      <c r="E77" s="106">
        <f t="shared" si="1"/>
        <v>25000</v>
      </c>
    </row>
    <row r="78" spans="1:5">
      <c r="A78" s="31" t="s">
        <v>64</v>
      </c>
      <c r="B78" s="104" t="s">
        <v>84</v>
      </c>
      <c r="C78" s="104">
        <v>1</v>
      </c>
      <c r="D78" s="105">
        <v>10000</v>
      </c>
      <c r="E78" s="106">
        <f t="shared" si="1"/>
        <v>10000</v>
      </c>
    </row>
    <row r="79" spans="1:5">
      <c r="A79" s="31" t="s">
        <v>65</v>
      </c>
      <c r="B79" s="104" t="s">
        <v>84</v>
      </c>
      <c r="C79" s="104">
        <v>10</v>
      </c>
      <c r="D79" s="105">
        <v>28000</v>
      </c>
      <c r="E79" s="106">
        <f t="shared" si="1"/>
        <v>280000</v>
      </c>
    </row>
    <row r="80" spans="1:5">
      <c r="A80" s="31" t="s">
        <v>66</v>
      </c>
      <c r="B80" s="104" t="s">
        <v>84</v>
      </c>
      <c r="C80" s="104">
        <v>9</v>
      </c>
      <c r="D80" s="105">
        <v>200000</v>
      </c>
      <c r="E80" s="106">
        <f t="shared" si="1"/>
        <v>1800000</v>
      </c>
    </row>
    <row r="81" spans="1:5">
      <c r="A81" s="31" t="s">
        <v>67</v>
      </c>
      <c r="B81" s="104" t="s">
        <v>84</v>
      </c>
      <c r="C81" s="104">
        <v>250</v>
      </c>
      <c r="D81" s="105"/>
      <c r="E81" s="106">
        <v>70000</v>
      </c>
    </row>
    <row r="82" spans="1:5">
      <c r="A82" s="31" t="s">
        <v>68</v>
      </c>
      <c r="B82" s="104" t="s">
        <v>84</v>
      </c>
      <c r="C82" s="104">
        <v>4</v>
      </c>
      <c r="D82" s="105">
        <v>60000</v>
      </c>
      <c r="E82" s="106">
        <f t="shared" si="1"/>
        <v>240000</v>
      </c>
    </row>
    <row r="83" spans="1:5">
      <c r="A83" s="31" t="s">
        <v>69</v>
      </c>
      <c r="B83" s="104" t="s">
        <v>84</v>
      </c>
      <c r="C83" s="104">
        <v>3</v>
      </c>
      <c r="D83" s="105">
        <v>800000</v>
      </c>
      <c r="E83" s="106">
        <f t="shared" si="1"/>
        <v>2400000</v>
      </c>
    </row>
    <row r="84" spans="1:5">
      <c r="A84" s="31" t="s">
        <v>70</v>
      </c>
      <c r="B84" s="104" t="s">
        <v>84</v>
      </c>
      <c r="C84" s="104">
        <v>1</v>
      </c>
      <c r="D84" s="105">
        <v>250000</v>
      </c>
      <c r="E84" s="106">
        <f>+D84*C84</f>
        <v>250000</v>
      </c>
    </row>
    <row r="85" spans="1:5">
      <c r="A85" s="31" t="s">
        <v>71</v>
      </c>
      <c r="B85" s="104" t="s">
        <v>84</v>
      </c>
      <c r="C85" s="104">
        <v>1</v>
      </c>
      <c r="D85" s="105">
        <v>2800000</v>
      </c>
      <c r="E85" s="106">
        <f>+D85*C85</f>
        <v>2800000</v>
      </c>
    </row>
    <row r="86" spans="1:5">
      <c r="A86" s="191" t="s">
        <v>31</v>
      </c>
      <c r="B86" s="192"/>
      <c r="C86" s="193"/>
      <c r="D86" s="101"/>
      <c r="E86" s="101">
        <f>SUM(E73:E85)+E71</f>
        <v>15765000</v>
      </c>
    </row>
    <row r="87" spans="1:5">
      <c r="A87" s="31" t="s">
        <v>23</v>
      </c>
      <c r="B87" s="188">
        <v>0.1</v>
      </c>
      <c r="C87" s="189"/>
      <c r="D87" s="190"/>
      <c r="E87" s="102">
        <f>E86*0.1</f>
        <v>1576500</v>
      </c>
    </row>
    <row r="88" spans="1:5">
      <c r="A88" s="118" t="s">
        <v>5</v>
      </c>
      <c r="B88" s="197">
        <f>E86+E87</f>
        <v>17341500</v>
      </c>
      <c r="C88" s="197"/>
      <c r="D88" s="197"/>
      <c r="E88" s="198"/>
    </row>
    <row r="91" spans="1:5" ht="16.5">
      <c r="A91" s="181" t="s">
        <v>6</v>
      </c>
      <c r="B91" s="181"/>
      <c r="C91" s="181"/>
      <c r="D91" s="181"/>
      <c r="E91" s="26"/>
    </row>
    <row r="92" spans="1:5" ht="16.5">
      <c r="A92" s="3" t="s">
        <v>7</v>
      </c>
      <c r="B92" s="3" t="s">
        <v>2</v>
      </c>
      <c r="C92" s="3" t="s">
        <v>3</v>
      </c>
      <c r="D92" s="3" t="s">
        <v>8</v>
      </c>
    </row>
    <row r="93" spans="1:5">
      <c r="A93" s="110" t="s">
        <v>85</v>
      </c>
      <c r="B93" s="117">
        <v>1</v>
      </c>
      <c r="C93" s="119">
        <f>B14</f>
        <v>785158.33333333337</v>
      </c>
      <c r="D93" s="119">
        <f>C93*B93</f>
        <v>785158.33333333337</v>
      </c>
    </row>
    <row r="94" spans="1:5">
      <c r="A94" s="111" t="s">
        <v>50</v>
      </c>
      <c r="B94" s="116">
        <v>1</v>
      </c>
      <c r="C94" s="93">
        <f>B21</f>
        <v>180833.33333333334</v>
      </c>
      <c r="D94" s="93">
        <f t="shared" ref="D94:D95" si="2">C94*B94</f>
        <v>180833.33333333334</v>
      </c>
    </row>
    <row r="95" spans="1:5">
      <c r="A95" s="111" t="s">
        <v>51</v>
      </c>
      <c r="B95" s="116">
        <v>1</v>
      </c>
      <c r="C95" s="93">
        <f>B29</f>
        <v>362166.66666666663</v>
      </c>
      <c r="D95" s="93">
        <f t="shared" si="2"/>
        <v>362166.66666666663</v>
      </c>
    </row>
    <row r="96" spans="1:5">
      <c r="A96" s="112" t="str">
        <f>+A32</f>
        <v xml:space="preserve">JARDINES VERTICALES </v>
      </c>
      <c r="B96" s="116">
        <v>1</v>
      </c>
      <c r="C96" s="93">
        <f>B51</f>
        <v>5856563.791666667</v>
      </c>
      <c r="D96" s="93">
        <f>C96*B96</f>
        <v>5856563.791666667</v>
      </c>
    </row>
    <row r="97" spans="1:6">
      <c r="A97" s="111" t="str">
        <f>+A54</f>
        <v>TANQUE PETAR</v>
      </c>
      <c r="B97" s="116">
        <v>1</v>
      </c>
      <c r="C97" s="93">
        <f>B65</f>
        <v>644240.54444444447</v>
      </c>
      <c r="D97" s="93">
        <f>(C97*B97)</f>
        <v>644240.54444444447</v>
      </c>
    </row>
    <row r="98" spans="1:6">
      <c r="A98" s="112" t="str">
        <f>+A68</f>
        <v>ADECUACIÓN DE TEJAS</v>
      </c>
      <c r="B98" s="116">
        <v>1</v>
      </c>
      <c r="C98" s="93">
        <f>B88</f>
        <v>17341500</v>
      </c>
      <c r="D98" s="93">
        <f>C98*B98</f>
        <v>17341500</v>
      </c>
    </row>
    <row r="99" spans="1:6">
      <c r="A99" s="113" t="s">
        <v>9</v>
      </c>
      <c r="B99" s="114"/>
      <c r="C99" s="115"/>
      <c r="D99" s="120">
        <f>SUM(D93:D98)</f>
        <v>25170462.669444446</v>
      </c>
    </row>
    <row r="107" spans="1:6">
      <c r="F107" s="59"/>
    </row>
    <row r="110" spans="1:6" hidden="1">
      <c r="A110" s="168" t="s">
        <v>13</v>
      </c>
      <c r="B110" s="169"/>
    </row>
    <row r="111" spans="1:6" hidden="1">
      <c r="A111" s="7" t="s">
        <v>34</v>
      </c>
      <c r="B111" s="8">
        <f>689500</f>
        <v>689500</v>
      </c>
    </row>
    <row r="112" spans="1:6" hidden="1">
      <c r="A112" s="9" t="s">
        <v>35</v>
      </c>
      <c r="B112" s="10">
        <v>77700</v>
      </c>
    </row>
    <row r="113" spans="1:2" hidden="1">
      <c r="A113" s="9" t="s">
        <v>36</v>
      </c>
      <c r="B113" s="6">
        <f>B111*2.5/30</f>
        <v>57458.333333333336</v>
      </c>
    </row>
    <row r="114" spans="1:2" hidden="1">
      <c r="A114" s="9" t="s">
        <v>37</v>
      </c>
      <c r="B114" s="6">
        <f>B111*30/180</f>
        <v>114916.66666666667</v>
      </c>
    </row>
    <row r="115" spans="1:2" hidden="1">
      <c r="A115" s="9" t="s">
        <v>38</v>
      </c>
      <c r="B115" s="6">
        <f>B111*30/360</f>
        <v>57458.333333333336</v>
      </c>
    </row>
    <row r="116" spans="1:2" hidden="1">
      <c r="A116" s="9" t="s">
        <v>39</v>
      </c>
      <c r="B116" s="6">
        <f>B115*0.01</f>
        <v>574.58333333333337</v>
      </c>
    </row>
    <row r="117" spans="1:2" hidden="1">
      <c r="A117" s="9" t="s">
        <v>40</v>
      </c>
      <c r="B117" s="6">
        <f>B116+B115+B114+B112+B111</f>
        <v>940149.58333333337</v>
      </c>
    </row>
    <row r="118" spans="1:2" hidden="1">
      <c r="A118" s="11" t="s">
        <v>41</v>
      </c>
      <c r="B118" s="6">
        <f>B111*0.04</f>
        <v>27580</v>
      </c>
    </row>
    <row r="119" spans="1:2" hidden="1">
      <c r="A119" s="12" t="s">
        <v>42</v>
      </c>
      <c r="B119" s="6">
        <f>B111*0.085</f>
        <v>58607.500000000007</v>
      </c>
    </row>
    <row r="120" spans="1:2" hidden="1">
      <c r="A120" s="7" t="s">
        <v>43</v>
      </c>
      <c r="B120" s="13">
        <f>+B119+B118</f>
        <v>86187.5</v>
      </c>
    </row>
    <row r="121" spans="1:2" hidden="1">
      <c r="A121" s="9" t="s">
        <v>44</v>
      </c>
      <c r="B121" s="6">
        <f>B117-B120</f>
        <v>853962.08333333337</v>
      </c>
    </row>
    <row r="122" spans="1:2" hidden="1">
      <c r="A122" s="7" t="s">
        <v>45</v>
      </c>
      <c r="B122" s="13">
        <f>B121/30</f>
        <v>28465.402777777777</v>
      </c>
    </row>
  </sheetData>
  <mergeCells count="19">
    <mergeCell ref="B21:E21"/>
    <mergeCell ref="B29:E29"/>
    <mergeCell ref="B51:E51"/>
    <mergeCell ref="A1:E2"/>
    <mergeCell ref="A110:B110"/>
    <mergeCell ref="A5:E5"/>
    <mergeCell ref="A8:A9"/>
    <mergeCell ref="A17:E17"/>
    <mergeCell ref="A23:E23"/>
    <mergeCell ref="A91:D91"/>
    <mergeCell ref="A68:E68"/>
    <mergeCell ref="A70:E70"/>
    <mergeCell ref="B87:D87"/>
    <mergeCell ref="A86:C86"/>
    <mergeCell ref="B65:E65"/>
    <mergeCell ref="B88:E88"/>
    <mergeCell ref="A32:E32"/>
    <mergeCell ref="A54:E54"/>
    <mergeCell ref="B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21" sqref="D21"/>
    </sheetView>
  </sheetViews>
  <sheetFormatPr baseColWidth="10" defaultRowHeight="15"/>
  <cols>
    <col min="1" max="1" width="42.7109375" customWidth="1"/>
    <col min="3" max="3" width="16.85546875" bestFit="1" customWidth="1"/>
    <col min="4" max="4" width="23.28515625" customWidth="1"/>
    <col min="5" max="5" width="11.42578125" customWidth="1"/>
  </cols>
  <sheetData>
    <row r="1" spans="1:4" ht="16.5">
      <c r="A1" s="217" t="s">
        <v>92</v>
      </c>
      <c r="B1" s="218"/>
      <c r="C1" s="218"/>
      <c r="D1" s="219"/>
    </row>
    <row r="2" spans="1:4" ht="16.5" customHeight="1">
      <c r="A2" s="121" t="s">
        <v>1</v>
      </c>
      <c r="B2" s="4" t="s">
        <v>2</v>
      </c>
      <c r="C2" s="4" t="s">
        <v>3</v>
      </c>
      <c r="D2" s="122" t="s">
        <v>8</v>
      </c>
    </row>
    <row r="3" spans="1:4" ht="24">
      <c r="A3" s="36" t="s">
        <v>47</v>
      </c>
      <c r="B3" s="14">
        <v>1</v>
      </c>
      <c r="C3" s="37">
        <f>(5000000)/(30*8)</f>
        <v>20833.333333333332</v>
      </c>
      <c r="D3" s="123">
        <f t="shared" ref="D3:D9" si="0">+C3*B3</f>
        <v>20833.333333333332</v>
      </c>
    </row>
    <row r="4" spans="1:4">
      <c r="A4" s="173" t="s">
        <v>89</v>
      </c>
      <c r="B4" s="15">
        <v>1</v>
      </c>
      <c r="C4" s="5">
        <v>19000</v>
      </c>
      <c r="D4" s="123">
        <f t="shared" si="0"/>
        <v>19000</v>
      </c>
    </row>
    <row r="5" spans="1:4">
      <c r="A5" s="174"/>
      <c r="B5" s="15">
        <v>4</v>
      </c>
      <c r="C5" s="5">
        <f>(689500)/(30*8)</f>
        <v>2872.9166666666665</v>
      </c>
      <c r="D5" s="123">
        <f t="shared" si="0"/>
        <v>11491.666666666666</v>
      </c>
    </row>
    <row r="6" spans="1:4" ht="24">
      <c r="A6" s="34" t="s">
        <v>48</v>
      </c>
      <c r="B6" s="15">
        <v>1</v>
      </c>
      <c r="C6" s="5">
        <f>(1200000)/(30*8)</f>
        <v>5000</v>
      </c>
      <c r="D6" s="123">
        <f t="shared" si="0"/>
        <v>5000</v>
      </c>
    </row>
    <row r="7" spans="1:4" ht="36" customHeight="1">
      <c r="A7" s="34" t="s">
        <v>49</v>
      </c>
      <c r="B7" s="15">
        <v>1</v>
      </c>
      <c r="C7" s="5">
        <f>(5000000)/(30*8)</f>
        <v>20833.333333333332</v>
      </c>
      <c r="D7" s="123">
        <f t="shared" si="0"/>
        <v>20833.333333333332</v>
      </c>
    </row>
    <row r="8" spans="1:4" ht="16.5" hidden="1" customHeight="1">
      <c r="A8" s="34" t="s">
        <v>88</v>
      </c>
      <c r="B8" s="15">
        <v>1</v>
      </c>
      <c r="C8" s="5">
        <v>8000</v>
      </c>
      <c r="D8" s="124">
        <f t="shared" si="0"/>
        <v>8000</v>
      </c>
    </row>
    <row r="9" spans="1:4" ht="43.5" customHeight="1">
      <c r="A9" s="34" t="s">
        <v>87</v>
      </c>
      <c r="B9" s="16">
        <v>1</v>
      </c>
      <c r="C9" s="5">
        <v>700000</v>
      </c>
      <c r="D9" s="123">
        <f t="shared" si="0"/>
        <v>700000</v>
      </c>
    </row>
    <row r="10" spans="1:4" ht="17.25" thickBot="1">
      <c r="A10" s="125" t="s">
        <v>5</v>
      </c>
      <c r="B10" s="126"/>
      <c r="C10" s="126"/>
      <c r="D10" s="127">
        <f>SUM(D3:D9)</f>
        <v>785158.33333333337</v>
      </c>
    </row>
    <row r="11" spans="1:4" ht="15.75" thickBot="1"/>
    <row r="12" spans="1:4" ht="16.5">
      <c r="A12" s="217" t="s">
        <v>91</v>
      </c>
      <c r="B12" s="218"/>
      <c r="C12" s="218"/>
      <c r="D12" s="219"/>
    </row>
    <row r="13" spans="1:4" ht="16.5">
      <c r="A13" s="121" t="s">
        <v>1</v>
      </c>
      <c r="B13" s="4" t="s">
        <v>2</v>
      </c>
      <c r="C13" s="4" t="s">
        <v>3</v>
      </c>
      <c r="D13" s="122" t="s">
        <v>8</v>
      </c>
    </row>
    <row r="14" spans="1:4" ht="24">
      <c r="A14" s="36" t="s">
        <v>47</v>
      </c>
      <c r="B14" s="14">
        <v>1</v>
      </c>
      <c r="C14" s="37">
        <f>(5000000)/(30*8)</f>
        <v>20833.333333333332</v>
      </c>
      <c r="D14" s="123">
        <f t="shared" ref="D14:D20" si="1">+C14*B14</f>
        <v>20833.333333333332</v>
      </c>
    </row>
    <row r="15" spans="1:4">
      <c r="A15" s="173" t="s">
        <v>89</v>
      </c>
      <c r="B15" s="15">
        <v>1</v>
      </c>
      <c r="C15" s="5">
        <v>19000</v>
      </c>
      <c r="D15" s="123">
        <f t="shared" si="1"/>
        <v>19000</v>
      </c>
    </row>
    <row r="16" spans="1:4">
      <c r="A16" s="174"/>
      <c r="B16" s="15">
        <v>4</v>
      </c>
      <c r="C16" s="5">
        <f>(689500)/(30*8)</f>
        <v>2872.9166666666665</v>
      </c>
      <c r="D16" s="123">
        <f t="shared" si="1"/>
        <v>11491.666666666666</v>
      </c>
    </row>
    <row r="17" spans="1:4" ht="24">
      <c r="A17" s="34" t="s">
        <v>48</v>
      </c>
      <c r="B17" s="15">
        <v>1</v>
      </c>
      <c r="C17" s="5">
        <f>(1200000)/(30*8)</f>
        <v>5000</v>
      </c>
      <c r="D17" s="123">
        <f t="shared" si="1"/>
        <v>5000</v>
      </c>
    </row>
    <row r="18" spans="1:4">
      <c r="A18" s="34" t="s">
        <v>49</v>
      </c>
      <c r="B18" s="15">
        <v>1</v>
      </c>
      <c r="C18" s="5">
        <f>(5000000)/(30*8)</f>
        <v>20833.333333333332</v>
      </c>
      <c r="D18" s="123">
        <f t="shared" si="1"/>
        <v>20833.333333333332</v>
      </c>
    </row>
    <row r="19" spans="1:4" ht="24">
      <c r="A19" s="34" t="s">
        <v>88</v>
      </c>
      <c r="B19" s="15">
        <v>1</v>
      </c>
      <c r="C19" s="5">
        <v>8000</v>
      </c>
      <c r="D19" s="128">
        <f t="shared" si="1"/>
        <v>8000</v>
      </c>
    </row>
    <row r="20" spans="1:4" ht="36">
      <c r="A20" s="34" t="s">
        <v>87</v>
      </c>
      <c r="B20" s="16">
        <v>1</v>
      </c>
      <c r="C20" s="5">
        <v>700000</v>
      </c>
      <c r="D20" s="128">
        <f t="shared" si="1"/>
        <v>700000</v>
      </c>
    </row>
    <row r="21" spans="1:4" ht="17.25" thickBot="1">
      <c r="A21" s="125" t="s">
        <v>5</v>
      </c>
      <c r="B21" s="126"/>
      <c r="C21" s="126"/>
      <c r="D21" s="127">
        <f>SUM(D14:D20)</f>
        <v>785158.33333333337</v>
      </c>
    </row>
    <row r="22" spans="1:4" ht="15.75" thickBot="1"/>
    <row r="23" spans="1:4" ht="16.5">
      <c r="A23" s="217" t="s">
        <v>93</v>
      </c>
      <c r="B23" s="218"/>
      <c r="C23" s="218"/>
      <c r="D23" s="219"/>
    </row>
    <row r="24" spans="1:4" ht="16.5">
      <c r="A24" s="121" t="s">
        <v>1</v>
      </c>
      <c r="B24" s="4" t="s">
        <v>2</v>
      </c>
      <c r="C24" s="4" t="s">
        <v>3</v>
      </c>
      <c r="D24" s="122" t="s">
        <v>8</v>
      </c>
    </row>
    <row r="25" spans="1:4" ht="24">
      <c r="A25" s="36" t="s">
        <v>47</v>
      </c>
      <c r="B25" s="14">
        <v>1</v>
      </c>
      <c r="C25" s="37">
        <f>(5000000)/(30*8)</f>
        <v>20833.333333333332</v>
      </c>
      <c r="D25" s="123">
        <f t="shared" ref="D25:D31" si="2">+C25*B25</f>
        <v>20833.333333333332</v>
      </c>
    </row>
    <row r="26" spans="1:4">
      <c r="A26" s="173" t="s">
        <v>89</v>
      </c>
      <c r="B26" s="15">
        <v>1</v>
      </c>
      <c r="C26" s="5">
        <v>19000</v>
      </c>
      <c r="D26" s="123">
        <f t="shared" si="2"/>
        <v>19000</v>
      </c>
    </row>
    <row r="27" spans="1:4">
      <c r="A27" s="174"/>
      <c r="B27" s="15">
        <v>4</v>
      </c>
      <c r="C27" s="5">
        <f>(689500)/(30*8)</f>
        <v>2872.9166666666665</v>
      </c>
      <c r="D27" s="123">
        <f t="shared" si="2"/>
        <v>11491.666666666666</v>
      </c>
    </row>
    <row r="28" spans="1:4" ht="24">
      <c r="A28" s="34" t="s">
        <v>48</v>
      </c>
      <c r="B28" s="15">
        <v>1</v>
      </c>
      <c r="C28" s="5">
        <f>(1200000)/(30*8)</f>
        <v>5000</v>
      </c>
      <c r="D28" s="123">
        <f t="shared" si="2"/>
        <v>5000</v>
      </c>
    </row>
    <row r="29" spans="1:4">
      <c r="A29" s="34" t="s">
        <v>49</v>
      </c>
      <c r="B29" s="15">
        <v>1</v>
      </c>
      <c r="C29" s="5">
        <f>(5000000)/(30*8)</f>
        <v>20833.333333333332</v>
      </c>
      <c r="D29" s="123">
        <f t="shared" si="2"/>
        <v>20833.333333333332</v>
      </c>
    </row>
    <row r="30" spans="1:4" ht="24">
      <c r="A30" s="34" t="s">
        <v>88</v>
      </c>
      <c r="B30" s="15">
        <v>1</v>
      </c>
      <c r="C30" s="5">
        <v>8000</v>
      </c>
      <c r="D30" s="128">
        <f t="shared" si="2"/>
        <v>8000</v>
      </c>
    </row>
    <row r="31" spans="1:4" ht="36">
      <c r="A31" s="34" t="s">
        <v>87</v>
      </c>
      <c r="B31" s="16">
        <v>1</v>
      </c>
      <c r="C31" s="5">
        <v>700000</v>
      </c>
      <c r="D31" s="128">
        <f t="shared" si="2"/>
        <v>700000</v>
      </c>
    </row>
    <row r="32" spans="1:4" ht="17.25" thickBot="1">
      <c r="A32" s="125" t="s">
        <v>5</v>
      </c>
      <c r="B32" s="126"/>
      <c r="C32" s="126"/>
      <c r="D32" s="127">
        <f>SUM(D25:D31)</f>
        <v>785158.33333333337</v>
      </c>
    </row>
    <row r="33" spans="1:4" ht="15.75" thickBot="1"/>
    <row r="34" spans="1:4" ht="16.5">
      <c r="A34" s="217" t="s">
        <v>94</v>
      </c>
      <c r="B34" s="218"/>
      <c r="C34" s="218"/>
      <c r="D34" s="219"/>
    </row>
    <row r="35" spans="1:4" ht="16.5">
      <c r="A35" s="121" t="s">
        <v>1</v>
      </c>
      <c r="B35" s="4" t="s">
        <v>2</v>
      </c>
      <c r="C35" s="4" t="s">
        <v>3</v>
      </c>
      <c r="D35" s="122" t="s">
        <v>8</v>
      </c>
    </row>
    <row r="36" spans="1:4" ht="24">
      <c r="A36" s="36" t="s">
        <v>47</v>
      </c>
      <c r="B36" s="14">
        <v>1</v>
      </c>
      <c r="C36" s="37">
        <f>(5000000)/(30*8)</f>
        <v>20833.333333333332</v>
      </c>
      <c r="D36" s="123">
        <f t="shared" ref="D36:D42" si="3">+C36*B36</f>
        <v>20833.333333333332</v>
      </c>
    </row>
    <row r="37" spans="1:4">
      <c r="A37" s="173" t="s">
        <v>89</v>
      </c>
      <c r="B37" s="15">
        <v>1</v>
      </c>
      <c r="C37" s="5">
        <v>19000</v>
      </c>
      <c r="D37" s="123">
        <f t="shared" si="3"/>
        <v>19000</v>
      </c>
    </row>
    <row r="38" spans="1:4">
      <c r="A38" s="174"/>
      <c r="B38" s="15">
        <v>4</v>
      </c>
      <c r="C38" s="5">
        <f>(689500)/(30*8)</f>
        <v>2872.9166666666665</v>
      </c>
      <c r="D38" s="123">
        <f t="shared" si="3"/>
        <v>11491.666666666666</v>
      </c>
    </row>
    <row r="39" spans="1:4" ht="24">
      <c r="A39" s="34" t="s">
        <v>48</v>
      </c>
      <c r="B39" s="15">
        <v>1</v>
      </c>
      <c r="C39" s="5">
        <f>(1200000)/(30*8)</f>
        <v>5000</v>
      </c>
      <c r="D39" s="123">
        <f t="shared" si="3"/>
        <v>5000</v>
      </c>
    </row>
    <row r="40" spans="1:4">
      <c r="A40" s="34" t="s">
        <v>49</v>
      </c>
      <c r="B40" s="15">
        <v>1</v>
      </c>
      <c r="C40" s="5">
        <f>(5000000)/(30*8)</f>
        <v>20833.333333333332</v>
      </c>
      <c r="D40" s="123">
        <f t="shared" si="3"/>
        <v>20833.333333333332</v>
      </c>
    </row>
    <row r="41" spans="1:4" ht="24">
      <c r="A41" s="34" t="s">
        <v>88</v>
      </c>
      <c r="B41" s="15">
        <v>1</v>
      </c>
      <c r="C41" s="5">
        <v>8000</v>
      </c>
      <c r="D41" s="128">
        <f t="shared" si="3"/>
        <v>8000</v>
      </c>
    </row>
    <row r="42" spans="1:4" ht="36">
      <c r="A42" s="34" t="s">
        <v>87</v>
      </c>
      <c r="B42" s="16">
        <v>1</v>
      </c>
      <c r="C42" s="5">
        <v>700000</v>
      </c>
      <c r="D42" s="128">
        <f t="shared" si="3"/>
        <v>700000</v>
      </c>
    </row>
    <row r="43" spans="1:4" ht="17.25" thickBot="1">
      <c r="A43" s="125" t="s">
        <v>5</v>
      </c>
      <c r="B43" s="126"/>
      <c r="C43" s="126"/>
      <c r="D43" s="127">
        <f>SUM(D36:D42)</f>
        <v>785158.33333333337</v>
      </c>
    </row>
    <row r="44" spans="1:4" ht="15.75" thickBot="1"/>
    <row r="45" spans="1:4" ht="16.5">
      <c r="A45" s="217" t="s">
        <v>95</v>
      </c>
      <c r="B45" s="218"/>
      <c r="C45" s="218"/>
      <c r="D45" s="219"/>
    </row>
    <row r="46" spans="1:4" ht="16.5">
      <c r="A46" s="121" t="s">
        <v>1</v>
      </c>
      <c r="B46" s="4" t="s">
        <v>2</v>
      </c>
      <c r="C46" s="4" t="s">
        <v>3</v>
      </c>
      <c r="D46" s="122" t="s">
        <v>8</v>
      </c>
    </row>
    <row r="47" spans="1:4" ht="24">
      <c r="A47" s="36" t="s">
        <v>47</v>
      </c>
      <c r="B47" s="14">
        <v>1</v>
      </c>
      <c r="C47" s="37">
        <f>(5000000)/(30*8)</f>
        <v>20833.333333333332</v>
      </c>
      <c r="D47" s="123">
        <f t="shared" ref="D47:D53" si="4">+C47*B47</f>
        <v>20833.333333333332</v>
      </c>
    </row>
    <row r="48" spans="1:4">
      <c r="A48" s="173" t="s">
        <v>89</v>
      </c>
      <c r="B48" s="15">
        <v>1</v>
      </c>
      <c r="C48" s="5">
        <v>19000</v>
      </c>
      <c r="D48" s="123">
        <f t="shared" si="4"/>
        <v>19000</v>
      </c>
    </row>
    <row r="49" spans="1:4">
      <c r="A49" s="174"/>
      <c r="B49" s="15">
        <v>4</v>
      </c>
      <c r="C49" s="5">
        <f>(689500)/(30*8)</f>
        <v>2872.9166666666665</v>
      </c>
      <c r="D49" s="123">
        <f t="shared" si="4"/>
        <v>11491.666666666666</v>
      </c>
    </row>
    <row r="50" spans="1:4" ht="24">
      <c r="A50" s="34" t="s">
        <v>48</v>
      </c>
      <c r="B50" s="15">
        <v>1</v>
      </c>
      <c r="C50" s="5">
        <f>(1200000)/(30*8)</f>
        <v>5000</v>
      </c>
      <c r="D50" s="123">
        <f t="shared" si="4"/>
        <v>5000</v>
      </c>
    </row>
    <row r="51" spans="1:4">
      <c r="A51" s="34" t="s">
        <v>49</v>
      </c>
      <c r="B51" s="15">
        <v>1</v>
      </c>
      <c r="C51" s="5">
        <f>(5000000)/(30*8)</f>
        <v>20833.333333333332</v>
      </c>
      <c r="D51" s="123">
        <f t="shared" si="4"/>
        <v>20833.333333333332</v>
      </c>
    </row>
    <row r="52" spans="1:4" ht="24">
      <c r="A52" s="34" t="s">
        <v>88</v>
      </c>
      <c r="B52" s="15">
        <v>1</v>
      </c>
      <c r="C52" s="5">
        <v>8000</v>
      </c>
      <c r="D52" s="128">
        <f t="shared" si="4"/>
        <v>8000</v>
      </c>
    </row>
    <row r="53" spans="1:4" ht="36">
      <c r="A53" s="34" t="s">
        <v>87</v>
      </c>
      <c r="B53" s="16">
        <v>1</v>
      </c>
      <c r="C53" s="5">
        <v>700000</v>
      </c>
      <c r="D53" s="128">
        <f t="shared" si="4"/>
        <v>700000</v>
      </c>
    </row>
    <row r="54" spans="1:4" ht="17.25" thickBot="1">
      <c r="A54" s="125" t="s">
        <v>5</v>
      </c>
      <c r="B54" s="126"/>
      <c r="C54" s="126"/>
      <c r="D54" s="127">
        <f>SUM(D47:D53)</f>
        <v>785158.33333333337</v>
      </c>
    </row>
  </sheetData>
  <mergeCells count="10">
    <mergeCell ref="A1:D1"/>
    <mergeCell ref="A34:D34"/>
    <mergeCell ref="A37:A38"/>
    <mergeCell ref="A45:D45"/>
    <mergeCell ref="A48:A49"/>
    <mergeCell ref="A4:A5"/>
    <mergeCell ref="A12:D12"/>
    <mergeCell ref="A15:A16"/>
    <mergeCell ref="A23:D23"/>
    <mergeCell ref="A26:A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zoomScaleNormal="100" workbookViewId="0">
      <selection activeCell="D74" sqref="D74"/>
    </sheetView>
  </sheetViews>
  <sheetFormatPr baseColWidth="10" defaultRowHeight="15"/>
  <cols>
    <col min="1" max="1" width="33" customWidth="1"/>
    <col min="2" max="2" width="16" customWidth="1"/>
    <col min="3" max="4" width="25.7109375" customWidth="1"/>
    <col min="6" max="6" width="22.85546875" customWidth="1"/>
  </cols>
  <sheetData>
    <row r="1" spans="1:4" ht="20.25">
      <c r="A1" s="229" t="s">
        <v>101</v>
      </c>
      <c r="B1" s="229"/>
      <c r="C1" s="229"/>
      <c r="D1" s="229"/>
    </row>
    <row r="2" spans="1:4" ht="20.25">
      <c r="A2" s="146"/>
      <c r="B2" s="147"/>
      <c r="C2" s="147"/>
      <c r="D2" s="147"/>
    </row>
    <row r="3" spans="1:4" ht="19.5" thickBot="1">
      <c r="A3" s="235" t="s">
        <v>143</v>
      </c>
      <c r="B3" s="236"/>
      <c r="C3" s="236"/>
      <c r="D3" s="236"/>
    </row>
    <row r="4" spans="1:4" ht="15.75" thickTop="1">
      <c r="A4" s="232" t="s">
        <v>128</v>
      </c>
      <c r="B4" s="232" t="s">
        <v>2</v>
      </c>
      <c r="C4" s="232" t="s">
        <v>127</v>
      </c>
      <c r="D4" s="232" t="s">
        <v>129</v>
      </c>
    </row>
    <row r="5" spans="1:4">
      <c r="A5" s="233"/>
      <c r="B5" s="233"/>
      <c r="C5" s="233" t="s">
        <v>126</v>
      </c>
      <c r="D5" s="233" t="s">
        <v>5</v>
      </c>
    </row>
    <row r="6" spans="1:4">
      <c r="A6" s="234"/>
      <c r="B6" s="234"/>
      <c r="C6" s="234"/>
      <c r="D6" s="234"/>
    </row>
    <row r="7" spans="1:4" ht="46.5" customHeight="1">
      <c r="A7" s="131" t="s">
        <v>164</v>
      </c>
      <c r="B7" s="137">
        <v>1</v>
      </c>
      <c r="C7" s="138">
        <v>1329000</v>
      </c>
      <c r="D7" s="138">
        <f t="shared" ref="D7:D10" si="0">C7*B7</f>
        <v>1329000</v>
      </c>
    </row>
    <row r="8" spans="1:4" ht="150">
      <c r="A8" s="131" t="s">
        <v>162</v>
      </c>
      <c r="B8" s="137">
        <v>1</v>
      </c>
      <c r="C8" s="138">
        <v>70000</v>
      </c>
      <c r="D8" s="138">
        <v>840000</v>
      </c>
    </row>
    <row r="9" spans="1:4">
      <c r="A9" s="131" t="s">
        <v>163</v>
      </c>
      <c r="B9" s="137">
        <v>1</v>
      </c>
      <c r="C9" s="138">
        <v>81900</v>
      </c>
      <c r="D9" s="138">
        <v>982800</v>
      </c>
    </row>
    <row r="10" spans="1:4" ht="15.75">
      <c r="A10" s="150" t="s">
        <v>131</v>
      </c>
      <c r="B10" s="136">
        <v>1</v>
      </c>
      <c r="C10" s="151">
        <v>600000</v>
      </c>
      <c r="D10" s="152">
        <f t="shared" si="0"/>
        <v>600000</v>
      </c>
    </row>
    <row r="11" spans="1:4">
      <c r="A11" s="220" t="s">
        <v>5</v>
      </c>
      <c r="B11" s="221"/>
      <c r="C11" s="222"/>
      <c r="D11" s="139">
        <f>SUM(D7:D10)</f>
        <v>3751800</v>
      </c>
    </row>
    <row r="12" spans="1:4" ht="16.5">
      <c r="A12" s="140"/>
      <c r="B12" s="140"/>
      <c r="C12" s="140"/>
      <c r="D12" s="140"/>
    </row>
    <row r="13" spans="1:4" ht="16.5">
      <c r="A13" s="140"/>
      <c r="B13" s="140"/>
      <c r="C13" s="140"/>
      <c r="D13" s="140"/>
    </row>
    <row r="14" spans="1:4" ht="18.75">
      <c r="A14" s="242" t="s">
        <v>117</v>
      </c>
      <c r="B14" s="242"/>
      <c r="C14" s="140"/>
      <c r="D14" s="140"/>
    </row>
    <row r="15" spans="1:4" ht="16.5">
      <c r="A15" s="141" t="s">
        <v>1</v>
      </c>
      <c r="B15" s="141" t="s">
        <v>118</v>
      </c>
      <c r="C15" s="140"/>
      <c r="D15" s="140"/>
    </row>
    <row r="16" spans="1:4" ht="16.5">
      <c r="A16" s="142"/>
      <c r="B16" s="143">
        <v>1</v>
      </c>
      <c r="C16" s="140"/>
      <c r="D16" s="140"/>
    </row>
    <row r="17" spans="1:4" ht="16.5">
      <c r="A17" s="243" t="s">
        <v>119</v>
      </c>
      <c r="B17" s="243"/>
      <c r="C17" s="140"/>
      <c r="D17" s="140"/>
    </row>
    <row r="18" spans="1:4" ht="16.5">
      <c r="A18" s="142" t="s">
        <v>125</v>
      </c>
      <c r="B18" s="144" t="s">
        <v>165</v>
      </c>
      <c r="C18" s="140"/>
      <c r="D18" s="140"/>
    </row>
    <row r="19" spans="1:4" ht="16.5">
      <c r="A19" s="142" t="s">
        <v>120</v>
      </c>
      <c r="B19" s="161" t="s">
        <v>165</v>
      </c>
      <c r="C19" s="140"/>
      <c r="D19" s="140"/>
    </row>
    <row r="20" spans="1:4" ht="16.5">
      <c r="A20" s="237" t="s">
        <v>121</v>
      </c>
      <c r="B20" s="238" t="s">
        <v>166</v>
      </c>
      <c r="C20" s="140"/>
      <c r="D20" s="140"/>
    </row>
    <row r="21" spans="1:4" ht="16.5">
      <c r="A21" s="237"/>
      <c r="B21" s="238"/>
      <c r="C21" s="140"/>
      <c r="D21" s="140"/>
    </row>
    <row r="22" spans="1:4" ht="16.5">
      <c r="A22" s="237" t="s">
        <v>122</v>
      </c>
      <c r="B22" s="238" t="s">
        <v>166</v>
      </c>
      <c r="C22" s="140"/>
      <c r="D22" s="140"/>
    </row>
    <row r="23" spans="1:4" ht="16.5">
      <c r="A23" s="237"/>
      <c r="B23" s="238"/>
      <c r="C23" s="140"/>
      <c r="D23" s="140"/>
    </row>
    <row r="24" spans="1:4" ht="16.5">
      <c r="A24" s="142" t="s">
        <v>123</v>
      </c>
      <c r="B24" s="144">
        <v>265800</v>
      </c>
      <c r="C24" s="140"/>
      <c r="D24" s="140"/>
    </row>
    <row r="25" spans="1:4" ht="16.5">
      <c r="A25" s="148" t="s">
        <v>124</v>
      </c>
      <c r="B25" s="149" t="s">
        <v>167</v>
      </c>
      <c r="C25" s="140"/>
      <c r="D25" s="140"/>
    </row>
    <row r="26" spans="1:4" ht="16.5">
      <c r="A26" s="140"/>
      <c r="B26" s="140"/>
      <c r="C26" s="140"/>
      <c r="D26" s="140"/>
    </row>
    <row r="27" spans="1:4" ht="16.5">
      <c r="A27" s="145"/>
      <c r="B27" s="145"/>
      <c r="C27" s="145"/>
      <c r="D27" s="145"/>
    </row>
    <row r="28" spans="1:4" ht="39" customHeight="1">
      <c r="A28" s="159" t="s">
        <v>130</v>
      </c>
      <c r="B28" s="239" t="s">
        <v>168</v>
      </c>
      <c r="C28" s="240"/>
      <c r="D28" s="241"/>
    </row>
    <row r="29" spans="1:4" ht="33">
      <c r="A29" s="230" t="s">
        <v>102</v>
      </c>
      <c r="B29" s="130" t="s">
        <v>115</v>
      </c>
      <c r="C29" s="130" t="s">
        <v>116</v>
      </c>
      <c r="D29" s="130" t="s">
        <v>5</v>
      </c>
    </row>
    <row r="30" spans="1:4" ht="36.75" customHeight="1">
      <c r="A30" s="231"/>
      <c r="B30" s="132">
        <v>16</v>
      </c>
      <c r="C30" s="133">
        <v>6500</v>
      </c>
      <c r="D30" s="134">
        <f>B30*C30</f>
        <v>104000</v>
      </c>
    </row>
    <row r="31" spans="1:4" ht="91.5">
      <c r="A31" s="131" t="s">
        <v>103</v>
      </c>
      <c r="B31" s="132">
        <v>24</v>
      </c>
      <c r="C31" s="133">
        <v>6500</v>
      </c>
      <c r="D31" s="134">
        <f t="shared" ref="D31:D43" si="1">B31*C31</f>
        <v>156000</v>
      </c>
    </row>
    <row r="32" spans="1:4" ht="31.5">
      <c r="A32" s="131" t="s">
        <v>104</v>
      </c>
      <c r="B32" s="132">
        <v>16</v>
      </c>
      <c r="C32" s="133">
        <v>6500</v>
      </c>
      <c r="D32" s="134">
        <f t="shared" si="1"/>
        <v>104000</v>
      </c>
    </row>
    <row r="33" spans="1:4" ht="58.9">
      <c r="A33" s="131" t="s">
        <v>105</v>
      </c>
      <c r="B33" s="132">
        <v>40</v>
      </c>
      <c r="C33" s="133">
        <v>6500</v>
      </c>
      <c r="D33" s="134">
        <f t="shared" si="1"/>
        <v>260000</v>
      </c>
    </row>
    <row r="34" spans="1:4" ht="61.5">
      <c r="A34" s="131" t="s">
        <v>106</v>
      </c>
      <c r="B34" s="132">
        <v>24</v>
      </c>
      <c r="C34" s="133">
        <v>6500</v>
      </c>
      <c r="D34" s="134">
        <f t="shared" si="1"/>
        <v>156000</v>
      </c>
    </row>
    <row r="35" spans="1:4" ht="41.25" customHeight="1">
      <c r="A35" s="131" t="s">
        <v>107</v>
      </c>
      <c r="B35" s="132">
        <v>24</v>
      </c>
      <c r="C35" s="133">
        <v>6500</v>
      </c>
      <c r="D35" s="134">
        <f t="shared" si="1"/>
        <v>156000</v>
      </c>
    </row>
    <row r="36" spans="1:4" ht="61.5">
      <c r="A36" s="131" t="s">
        <v>102</v>
      </c>
      <c r="B36" s="132">
        <v>24</v>
      </c>
      <c r="C36" s="133">
        <v>6500</v>
      </c>
      <c r="D36" s="134">
        <f t="shared" si="1"/>
        <v>156000</v>
      </c>
    </row>
    <row r="37" spans="1:4" ht="31.5">
      <c r="A37" s="131" t="s">
        <v>108</v>
      </c>
      <c r="B37" s="132">
        <v>24</v>
      </c>
      <c r="C37" s="133">
        <v>6500</v>
      </c>
      <c r="D37" s="134">
        <f t="shared" si="1"/>
        <v>156000</v>
      </c>
    </row>
    <row r="38" spans="1:4" ht="21">
      <c r="A38" s="131" t="s">
        <v>109</v>
      </c>
      <c r="B38" s="132">
        <v>32</v>
      </c>
      <c r="C38" s="133">
        <v>6500</v>
      </c>
      <c r="D38" s="134">
        <f t="shared" si="1"/>
        <v>208000</v>
      </c>
    </row>
    <row r="39" spans="1:4" ht="21">
      <c r="A39" s="131" t="s">
        <v>110</v>
      </c>
      <c r="B39" s="132">
        <v>32</v>
      </c>
      <c r="C39" s="133">
        <v>6500</v>
      </c>
      <c r="D39" s="134">
        <f t="shared" si="1"/>
        <v>208000</v>
      </c>
    </row>
    <row r="40" spans="1:4" ht="21">
      <c r="A40" s="131" t="s">
        <v>111</v>
      </c>
      <c r="B40" s="132">
        <v>40</v>
      </c>
      <c r="C40" s="133">
        <v>6500</v>
      </c>
      <c r="D40" s="134">
        <f t="shared" si="1"/>
        <v>260000</v>
      </c>
    </row>
    <row r="41" spans="1:4" ht="21">
      <c r="A41" s="131" t="s">
        <v>112</v>
      </c>
      <c r="B41" s="132">
        <v>16</v>
      </c>
      <c r="C41" s="133">
        <v>6500</v>
      </c>
      <c r="D41" s="134">
        <f t="shared" si="1"/>
        <v>104000</v>
      </c>
    </row>
    <row r="42" spans="1:4" ht="46.5">
      <c r="A42" s="131" t="s">
        <v>113</v>
      </c>
      <c r="B42" s="132">
        <v>24</v>
      </c>
      <c r="C42" s="133">
        <v>6500</v>
      </c>
      <c r="D42" s="134">
        <f t="shared" si="1"/>
        <v>156000</v>
      </c>
    </row>
    <row r="43" spans="1:4" ht="21">
      <c r="A43" s="131" t="s">
        <v>114</v>
      </c>
      <c r="B43" s="132">
        <v>4</v>
      </c>
      <c r="C43" s="133">
        <v>6500</v>
      </c>
      <c r="D43" s="134">
        <f t="shared" si="1"/>
        <v>26000</v>
      </c>
    </row>
    <row r="44" spans="1:4" ht="48.75" customHeight="1">
      <c r="A44" s="131" t="s">
        <v>136</v>
      </c>
      <c r="B44" s="132">
        <v>24</v>
      </c>
      <c r="C44" s="133">
        <v>6500</v>
      </c>
      <c r="D44" s="134">
        <f t="shared" ref="D44:D68" si="2">B44*C44</f>
        <v>156000</v>
      </c>
    </row>
    <row r="45" spans="1:4" ht="21">
      <c r="A45" s="131" t="s">
        <v>137</v>
      </c>
      <c r="B45" s="132">
        <v>32</v>
      </c>
      <c r="C45" s="133">
        <v>6500</v>
      </c>
      <c r="D45" s="134">
        <f t="shared" si="2"/>
        <v>208000</v>
      </c>
    </row>
    <row r="46" spans="1:4" ht="61.5">
      <c r="A46" s="131" t="s">
        <v>138</v>
      </c>
      <c r="B46" s="132">
        <v>72</v>
      </c>
      <c r="C46" s="133">
        <v>6500</v>
      </c>
      <c r="D46" s="134">
        <f t="shared" si="2"/>
        <v>468000</v>
      </c>
    </row>
    <row r="47" spans="1:4" ht="31.5">
      <c r="A47" s="131" t="s">
        <v>139</v>
      </c>
      <c r="B47" s="132">
        <v>24</v>
      </c>
      <c r="C47" s="133">
        <v>6500</v>
      </c>
      <c r="D47" s="134">
        <f t="shared" si="2"/>
        <v>156000</v>
      </c>
    </row>
    <row r="48" spans="1:4" ht="31.5">
      <c r="A48" s="131" t="s">
        <v>140</v>
      </c>
      <c r="B48" s="132">
        <v>48</v>
      </c>
      <c r="C48" s="133">
        <v>6500</v>
      </c>
      <c r="D48" s="134">
        <f t="shared" si="2"/>
        <v>312000</v>
      </c>
    </row>
    <row r="49" spans="1:4" ht="31.5">
      <c r="A49" s="131" t="s">
        <v>141</v>
      </c>
      <c r="B49" s="132">
        <v>24</v>
      </c>
      <c r="C49" s="133">
        <v>6500</v>
      </c>
      <c r="D49" s="134">
        <f t="shared" si="2"/>
        <v>156000</v>
      </c>
    </row>
    <row r="50" spans="1:4" ht="31.5">
      <c r="A50" s="131" t="s">
        <v>142</v>
      </c>
      <c r="B50" s="132">
        <v>24</v>
      </c>
      <c r="C50" s="133">
        <v>6500</v>
      </c>
      <c r="D50" s="134">
        <f t="shared" si="2"/>
        <v>156000</v>
      </c>
    </row>
    <row r="51" spans="1:4" ht="47.25" thickBot="1">
      <c r="A51" s="156" t="s">
        <v>144</v>
      </c>
      <c r="B51" s="158">
        <v>80</v>
      </c>
      <c r="C51" s="133">
        <v>6500</v>
      </c>
      <c r="D51" s="134">
        <f t="shared" si="2"/>
        <v>520000</v>
      </c>
    </row>
    <row r="52" spans="1:4" ht="77.25" thickBot="1">
      <c r="A52" s="156" t="s">
        <v>145</v>
      </c>
      <c r="B52" s="158">
        <v>64</v>
      </c>
      <c r="C52" s="133">
        <v>6500</v>
      </c>
      <c r="D52" s="134">
        <f t="shared" si="2"/>
        <v>416000</v>
      </c>
    </row>
    <row r="53" spans="1:4" ht="62.25" thickBot="1">
      <c r="A53" s="156" t="s">
        <v>146</v>
      </c>
      <c r="B53" s="158">
        <v>40</v>
      </c>
      <c r="C53" s="133">
        <v>6500</v>
      </c>
      <c r="D53" s="134">
        <f t="shared" si="2"/>
        <v>260000</v>
      </c>
    </row>
    <row r="54" spans="1:4" ht="77.25" thickBot="1">
      <c r="A54" s="156" t="s">
        <v>147</v>
      </c>
      <c r="B54" s="158">
        <v>80</v>
      </c>
      <c r="C54" s="133">
        <v>6500</v>
      </c>
      <c r="D54" s="134">
        <f t="shared" si="2"/>
        <v>520000</v>
      </c>
    </row>
    <row r="55" spans="1:4" ht="47.25" thickBot="1">
      <c r="A55" s="156" t="s">
        <v>148</v>
      </c>
      <c r="B55" s="158">
        <v>48</v>
      </c>
      <c r="C55" s="133">
        <v>6500</v>
      </c>
      <c r="D55" s="134">
        <f t="shared" si="2"/>
        <v>312000</v>
      </c>
    </row>
    <row r="56" spans="1:4" ht="92.25" thickBot="1">
      <c r="A56" s="156" t="s">
        <v>149</v>
      </c>
      <c r="B56" s="158">
        <v>80</v>
      </c>
      <c r="C56" s="133">
        <v>6500</v>
      </c>
      <c r="D56" s="134">
        <f t="shared" si="2"/>
        <v>520000</v>
      </c>
    </row>
    <row r="57" spans="1:4" ht="32.25" thickBot="1">
      <c r="A57" s="156" t="s">
        <v>150</v>
      </c>
      <c r="B57" s="158">
        <v>96</v>
      </c>
      <c r="C57" s="133">
        <v>6500</v>
      </c>
      <c r="D57" s="134">
        <f t="shared" si="2"/>
        <v>624000</v>
      </c>
    </row>
    <row r="58" spans="1:4" ht="32.25" thickBot="1">
      <c r="A58" s="156" t="s">
        <v>151</v>
      </c>
      <c r="B58" s="158">
        <v>64</v>
      </c>
      <c r="C58" s="133">
        <v>6500</v>
      </c>
      <c r="D58" s="134">
        <f t="shared" si="2"/>
        <v>416000</v>
      </c>
    </row>
    <row r="59" spans="1:4" ht="32.25" thickBot="1">
      <c r="A59" s="156" t="s">
        <v>152</v>
      </c>
      <c r="B59" s="158">
        <v>96</v>
      </c>
      <c r="C59" s="133">
        <v>6500</v>
      </c>
      <c r="D59" s="134">
        <f t="shared" si="2"/>
        <v>624000</v>
      </c>
    </row>
    <row r="60" spans="1:4" ht="77.25" thickBot="1">
      <c r="A60" s="156" t="s">
        <v>153</v>
      </c>
      <c r="B60" s="158">
        <v>40</v>
      </c>
      <c r="C60" s="133">
        <v>6500</v>
      </c>
      <c r="D60" s="134">
        <f t="shared" si="2"/>
        <v>260000</v>
      </c>
    </row>
    <row r="61" spans="1:4" ht="32.25" thickBot="1">
      <c r="A61" s="156" t="s">
        <v>154</v>
      </c>
      <c r="B61" s="158">
        <v>40</v>
      </c>
      <c r="C61" s="133">
        <v>6500</v>
      </c>
      <c r="D61" s="134">
        <f t="shared" si="2"/>
        <v>260000</v>
      </c>
    </row>
    <row r="62" spans="1:4" ht="47.25" thickBot="1">
      <c r="A62" s="156" t="s">
        <v>155</v>
      </c>
      <c r="B62" s="158">
        <v>32</v>
      </c>
      <c r="C62" s="133">
        <v>6500</v>
      </c>
      <c r="D62" s="134">
        <f t="shared" si="2"/>
        <v>208000</v>
      </c>
    </row>
    <row r="63" spans="1:4" ht="21.75" thickBot="1">
      <c r="A63" s="157" t="s">
        <v>156</v>
      </c>
      <c r="B63" s="158">
        <v>80</v>
      </c>
      <c r="C63" s="133">
        <v>6500</v>
      </c>
      <c r="D63" s="134">
        <f t="shared" si="2"/>
        <v>520000</v>
      </c>
    </row>
    <row r="64" spans="1:4" ht="21.75" thickBot="1">
      <c r="A64" s="156" t="s">
        <v>157</v>
      </c>
      <c r="B64" s="158">
        <v>80</v>
      </c>
      <c r="C64" s="133">
        <v>6500</v>
      </c>
      <c r="D64" s="134">
        <f t="shared" si="2"/>
        <v>520000</v>
      </c>
    </row>
    <row r="65" spans="1:4" ht="21.75" thickBot="1">
      <c r="A65" s="156" t="s">
        <v>158</v>
      </c>
      <c r="B65" s="158">
        <v>96</v>
      </c>
      <c r="C65" s="133">
        <v>6500</v>
      </c>
      <c r="D65" s="134">
        <f t="shared" si="2"/>
        <v>624000</v>
      </c>
    </row>
    <row r="66" spans="1:4" ht="32.25" thickBot="1">
      <c r="A66" s="156" t="s">
        <v>159</v>
      </c>
      <c r="B66" s="158">
        <v>56</v>
      </c>
      <c r="C66" s="133">
        <v>6500</v>
      </c>
      <c r="D66" s="134">
        <f t="shared" si="2"/>
        <v>364000</v>
      </c>
    </row>
    <row r="67" spans="1:4" ht="32.25" thickBot="1">
      <c r="A67" s="156" t="s">
        <v>160</v>
      </c>
      <c r="B67" s="158">
        <v>64</v>
      </c>
      <c r="C67" s="133">
        <v>6500</v>
      </c>
      <c r="D67" s="134">
        <f t="shared" si="2"/>
        <v>416000</v>
      </c>
    </row>
    <row r="68" spans="1:4" ht="32.25" thickBot="1">
      <c r="A68" s="156" t="s">
        <v>161</v>
      </c>
      <c r="B68" s="158">
        <v>84</v>
      </c>
      <c r="C68" s="133">
        <v>6500</v>
      </c>
      <c r="D68" s="134">
        <f t="shared" si="2"/>
        <v>546000</v>
      </c>
    </row>
    <row r="69" spans="1:4" ht="31.5" customHeight="1">
      <c r="A69" s="226" t="s">
        <v>134</v>
      </c>
      <c r="B69" s="227"/>
      <c r="C69" s="228"/>
      <c r="D69" s="160">
        <f>SUM(D30:D68)</f>
        <v>11752000</v>
      </c>
    </row>
    <row r="70" spans="1:4" ht="21">
      <c r="A70" s="150"/>
      <c r="B70" s="153"/>
      <c r="C70" s="153"/>
      <c r="D70" s="154"/>
    </row>
    <row r="71" spans="1:4" ht="21">
      <c r="A71" s="223" t="s">
        <v>134</v>
      </c>
      <c r="B71" s="224"/>
      <c r="C71" s="225"/>
      <c r="D71" s="155">
        <v>11752000</v>
      </c>
    </row>
    <row r="72" spans="1:4" ht="21">
      <c r="A72" s="223" t="s">
        <v>132</v>
      </c>
      <c r="B72" s="224"/>
      <c r="C72" s="225"/>
      <c r="D72" s="155">
        <v>3751800</v>
      </c>
    </row>
    <row r="73" spans="1:4" ht="21">
      <c r="A73" s="223" t="s">
        <v>133</v>
      </c>
      <c r="B73" s="224"/>
      <c r="C73" s="225"/>
      <c r="D73" s="155">
        <v>265800</v>
      </c>
    </row>
    <row r="74" spans="1:4" ht="21">
      <c r="A74" s="220" t="s">
        <v>135</v>
      </c>
      <c r="B74" s="221"/>
      <c r="C74" s="222"/>
      <c r="D74" s="135">
        <f>SUM(D71:D73)</f>
        <v>15769600</v>
      </c>
    </row>
  </sheetData>
  <mergeCells count="20">
    <mergeCell ref="A1:D1"/>
    <mergeCell ref="A29:A30"/>
    <mergeCell ref="A4:A6"/>
    <mergeCell ref="B4:B6"/>
    <mergeCell ref="C4:C6"/>
    <mergeCell ref="D4:D6"/>
    <mergeCell ref="A3:D3"/>
    <mergeCell ref="A22:A23"/>
    <mergeCell ref="B22:B23"/>
    <mergeCell ref="B28:D28"/>
    <mergeCell ref="A11:C11"/>
    <mergeCell ref="A14:B14"/>
    <mergeCell ref="A17:B17"/>
    <mergeCell ref="A20:A21"/>
    <mergeCell ref="B20:B21"/>
    <mergeCell ref="A74:C74"/>
    <mergeCell ref="A72:C72"/>
    <mergeCell ref="A73:C73"/>
    <mergeCell ref="A71:C71"/>
    <mergeCell ref="A69:C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Inversión proyecto</vt:lpstr>
      <vt:lpstr>Costos  de Capacitación</vt:lpstr>
      <vt:lpstr>presupuesto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Samsung</cp:lastModifiedBy>
  <cp:lastPrinted>2021-05-20T15:18:10Z</cp:lastPrinted>
  <dcterms:created xsi:type="dcterms:W3CDTF">2015-09-10T19:52:58Z</dcterms:created>
  <dcterms:modified xsi:type="dcterms:W3CDTF">2021-09-24T22:35:09Z</dcterms:modified>
</cp:coreProperties>
</file>