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514714382058f065/Mission Critical Services/Terry ^0 Julie Asset Allocation/Calculators/"/>
    </mc:Choice>
  </mc:AlternateContent>
  <xr:revisionPtr revIDLastSave="0" documentId="8_{9C93E6AF-F924-4FB8-9546-F0FFF1764B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ncial Security" sheetId="7" r:id="rId1"/>
    <sheet name="Financial Vitality" sheetId="10" r:id="rId2"/>
    <sheet name="Financial Independence" sheetId="12" r:id="rId3"/>
    <sheet name="Financial Freedom" sheetId="11" r:id="rId4"/>
    <sheet name="Compound interest Calculator" sheetId="9" state="hidden" r:id="rId5"/>
    <sheet name="September" sheetId="1" state="hidden" r:id="rId6"/>
    <sheet name="Loan Amortization Schedule" sheetId="5" state="hidden" r:id="rId7"/>
  </sheets>
  <externalReferences>
    <externalReference r:id="rId8"/>
  </externalReferences>
  <definedNames>
    <definedName name="_Int01">'Compound interest Calculator'!$C$14</definedName>
    <definedName name="_Int02">'Compound interest Calculator'!$G$14</definedName>
    <definedName name="_Int03">'Compound interest Calculator'!$C$25</definedName>
    <definedName name="_Int04">'Compound interest Calculator'!$G$25</definedName>
    <definedName name="_Int05">'Compound interest Calculator'!$C$36</definedName>
    <definedName name="_Int06">'Compound interest Calculator'!$G$36</definedName>
    <definedName name="Accum03">'Compound interest Calculator'!$C$24</definedName>
    <definedName name="Accum04">'Compound interest Calculator'!$G$24</definedName>
    <definedName name="Accum05">'Compound interest Calculator'!$C$37</definedName>
    <definedName name="Accum06">'Compound interest Calculator'!$G$37</definedName>
    <definedName name="Accum07">'Compound interest Calculator'!$C$48</definedName>
    <definedName name="Accum08">'Compound interest Calculator'!$G$48</definedName>
    <definedName name="Annper">'Compound interest Calculator'!$G$56</definedName>
    <definedName name="Annrate">'Compound interest Calculator'!$G$55</definedName>
    <definedName name="Beg_Bal">'Loan Amortization Schedule'!$C$18:$C$497</definedName>
    <definedName name="Conper">'Compound interest Calculator'!$C$56</definedName>
    <definedName name="Conrate">'Compound interest Calculator'!$C$55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it01">'Compound interest Calculator'!$C$13</definedName>
    <definedName name="Init02">'Compound interest Calculator'!$G$13</definedName>
    <definedName name="Init05">'Compound interest Calculator'!$C$35</definedName>
    <definedName name="Init06">'Compound interest Calculator'!$G$35</definedName>
    <definedName name="Init07">'Compound interest Calculator'!$C$46</definedName>
    <definedName name="Init08">'Compound interest Calculator'!$G$46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 localSheetId="3">DATE(YEAR([0]!Loan_Start),MONTH([0]!Loan_Start)+Payment_Number,DAY([0]!Loan_Start))</definedName>
    <definedName name="Payment_Date" localSheetId="0">DATE(YEAR([0]!Loan_Start),MONTH([0]!Loan_Start)+Payment_Number,DAY([0]!Loan_Start))</definedName>
    <definedName name="Payment_Date" localSheetId="1">DATE(YEAR([0]!Loan_Start),MONTH([0]!Loan_Start)+Payment_Number,DAY([0]!Loan_Start))</definedName>
    <definedName name="Payment_Date">DATE(YEAR(Loan_Start),MONTH(Loan_Start)+Payment_Number,DAY(Loan_Start))</definedName>
    <definedName name="Per_table">[1]Exponents!$B$4:$C$6</definedName>
    <definedName name="Periods">[1]Exponents!$B$4:$B$6</definedName>
    <definedName name="Princ">'Loan Amortization Schedule'!$G$18:$G$497</definedName>
    <definedName name="_xlnm.Print_Area" localSheetId="3">'Financial Freedom'!$A$1:$O$73</definedName>
    <definedName name="_xlnm.Print_Area" localSheetId="0">'Financial Security'!$A$1:$O$88</definedName>
    <definedName name="_xlnm.Print_Area" localSheetId="1">'Financial Vitality'!$A$1:$O$60</definedName>
    <definedName name="_xlnm.Print_Area" localSheetId="6">OFFSET(Full_Print,0,0,Last_Row)</definedName>
    <definedName name="Print_Area_Reset">OFFSET(Full_Print,0,0,Last_Row)</definedName>
    <definedName name="_xlnm.Print_Titles" localSheetId="6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  <definedName name="Yrs01">'Compound interest Calculator'!$C$15</definedName>
    <definedName name="Yrs02">'Compound interest Calculator'!$G$15</definedName>
    <definedName name="Yrs03">'Compound interest Calculator'!$C$26</definedName>
    <definedName name="Yrs04">'Compound interest Calculator'!$G$26</definedName>
    <definedName name="Yrs07">'Compound interest Calculator'!$C$47</definedName>
    <definedName name="Yrs08">'Compound interest Calculator'!$G$47</definedName>
  </definedNames>
  <calcPr calcId="191028"/>
  <webPublishing codePage="1252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8" i="7" l="1"/>
  <c r="J67" i="7"/>
  <c r="K79" i="7"/>
  <c r="N67" i="7"/>
  <c r="P64" i="7"/>
  <c r="N74" i="7"/>
  <c r="N9" i="11"/>
  <c r="G9" i="11"/>
  <c r="G17" i="11"/>
  <c r="H17" i="11"/>
  <c r="O9" i="11"/>
  <c r="H9" i="11"/>
  <c r="G34" i="7" l="1"/>
  <c r="H34" i="7"/>
  <c r="G35" i="7"/>
  <c r="H35" i="7"/>
  <c r="C30" i="7"/>
  <c r="C24" i="7"/>
  <c r="C8" i="7"/>
  <c r="G13" i="12" l="1"/>
  <c r="G16" i="12"/>
  <c r="K13" i="11"/>
  <c r="G22" i="12"/>
  <c r="G23" i="12"/>
  <c r="C24" i="12"/>
  <c r="G24" i="12" s="1"/>
  <c r="G29" i="12"/>
  <c r="G30" i="12"/>
  <c r="G28" i="12"/>
  <c r="G15" i="12"/>
  <c r="G17" i="12"/>
  <c r="G18" i="12"/>
  <c r="G14" i="12"/>
  <c r="G19" i="12" s="1"/>
  <c r="G6" i="12"/>
  <c r="G10" i="12" s="1"/>
  <c r="G7" i="12"/>
  <c r="G8" i="12"/>
  <c r="G9" i="12"/>
  <c r="G5" i="12"/>
  <c r="K8" i="11"/>
  <c r="K7" i="11"/>
  <c r="K25" i="7"/>
  <c r="G25" i="12" l="1"/>
  <c r="G31" i="12"/>
  <c r="F39" i="7"/>
  <c r="G31" i="7"/>
  <c r="H31" i="7"/>
  <c r="G34" i="12" l="1"/>
  <c r="K12" i="11" s="1"/>
  <c r="N64" i="11"/>
  <c r="N65" i="11" s="1"/>
  <c r="J64" i="11"/>
  <c r="H64" i="11"/>
  <c r="G64" i="11"/>
  <c r="F64" i="11"/>
  <c r="E64" i="11"/>
  <c r="D64" i="11"/>
  <c r="N57" i="11"/>
  <c r="N58" i="11" s="1"/>
  <c r="J57" i="11"/>
  <c r="H47" i="11"/>
  <c r="G47" i="11"/>
  <c r="F47" i="11"/>
  <c r="E47" i="11"/>
  <c r="D47" i="11"/>
  <c r="C47" i="11"/>
  <c r="C50" i="11" s="1"/>
  <c r="J39" i="11"/>
  <c r="J38" i="11"/>
  <c r="J37" i="11"/>
  <c r="J36" i="11"/>
  <c r="F17" i="11"/>
  <c r="D17" i="11"/>
  <c r="C17" i="11"/>
  <c r="H16" i="11"/>
  <c r="G16" i="11"/>
  <c r="E16" i="11"/>
  <c r="H15" i="11"/>
  <c r="G15" i="11"/>
  <c r="E15" i="11"/>
  <c r="M14" i="11"/>
  <c r="L14" i="11"/>
  <c r="H14" i="11"/>
  <c r="G14" i="11"/>
  <c r="E14" i="11"/>
  <c r="H13" i="11"/>
  <c r="G13" i="11"/>
  <c r="E13" i="11"/>
  <c r="O13" i="11"/>
  <c r="N13" i="11"/>
  <c r="H12" i="11"/>
  <c r="G12" i="11"/>
  <c r="E12" i="11"/>
  <c r="N12" i="11"/>
  <c r="C9" i="11"/>
  <c r="M36" i="11" s="1"/>
  <c r="M9" i="11"/>
  <c r="L9" i="11"/>
  <c r="K9" i="11"/>
  <c r="M38" i="11" s="1"/>
  <c r="O8" i="11"/>
  <c r="N8" i="11"/>
  <c r="H8" i="11"/>
  <c r="G8" i="11"/>
  <c r="O7" i="11"/>
  <c r="N7" i="11"/>
  <c r="H7" i="11"/>
  <c r="G7" i="11"/>
  <c r="O6" i="11"/>
  <c r="N6" i="11"/>
  <c r="H6" i="11"/>
  <c r="G6" i="11"/>
  <c r="E22" i="10"/>
  <c r="G22" i="10"/>
  <c r="H22" i="10"/>
  <c r="K19" i="10"/>
  <c r="N19" i="10" s="1"/>
  <c r="K20" i="10"/>
  <c r="N56" i="10"/>
  <c r="N57" i="10" s="1"/>
  <c r="J56" i="10"/>
  <c r="H58" i="10"/>
  <c r="G58" i="10"/>
  <c r="F58" i="10"/>
  <c r="E58" i="10"/>
  <c r="D58" i="10"/>
  <c r="N49" i="10"/>
  <c r="N50" i="10" s="1"/>
  <c r="J49" i="10"/>
  <c r="H41" i="10"/>
  <c r="G41" i="10"/>
  <c r="F41" i="10"/>
  <c r="E41" i="10"/>
  <c r="D41" i="10"/>
  <c r="C41" i="10"/>
  <c r="C44" i="10" s="1"/>
  <c r="C45" i="10" s="1"/>
  <c r="J39" i="10"/>
  <c r="J38" i="10"/>
  <c r="J37" i="10"/>
  <c r="J36" i="10"/>
  <c r="F24" i="10"/>
  <c r="D24" i="10"/>
  <c r="C24" i="10"/>
  <c r="H23" i="10"/>
  <c r="G23" i="10"/>
  <c r="E23" i="10"/>
  <c r="M21" i="10"/>
  <c r="L21" i="10"/>
  <c r="H21" i="10"/>
  <c r="G21" i="10"/>
  <c r="E21" i="10"/>
  <c r="O20" i="10"/>
  <c r="N20" i="10"/>
  <c r="H20" i="10"/>
  <c r="G20" i="10"/>
  <c r="E20" i="10"/>
  <c r="O19" i="10"/>
  <c r="H19" i="10"/>
  <c r="G19" i="10"/>
  <c r="E19" i="10"/>
  <c r="C16" i="10"/>
  <c r="M15" i="10"/>
  <c r="L15" i="10"/>
  <c r="K15" i="10"/>
  <c r="H15" i="10"/>
  <c r="G15" i="10"/>
  <c r="O14" i="10"/>
  <c r="N14" i="10"/>
  <c r="H14" i="10"/>
  <c r="G14" i="10"/>
  <c r="O13" i="10"/>
  <c r="N13" i="10"/>
  <c r="H13" i="10"/>
  <c r="G13" i="10"/>
  <c r="O12" i="10"/>
  <c r="N12" i="10"/>
  <c r="H12" i="10"/>
  <c r="G12" i="10"/>
  <c r="O11" i="10"/>
  <c r="N11" i="10"/>
  <c r="H11" i="10"/>
  <c r="G11" i="10"/>
  <c r="O10" i="10"/>
  <c r="N10" i="10"/>
  <c r="H10" i="10"/>
  <c r="G10" i="10"/>
  <c r="O9" i="10"/>
  <c r="N9" i="10"/>
  <c r="H9" i="10"/>
  <c r="G9" i="10"/>
  <c r="O8" i="10"/>
  <c r="N8" i="10"/>
  <c r="H8" i="10"/>
  <c r="G8" i="10"/>
  <c r="O7" i="10"/>
  <c r="N7" i="10"/>
  <c r="H7" i="10"/>
  <c r="G7" i="10"/>
  <c r="O6" i="10"/>
  <c r="N6" i="10"/>
  <c r="H6" i="10"/>
  <c r="G6" i="10"/>
  <c r="G36" i="12" l="1"/>
  <c r="G40" i="12" s="1"/>
  <c r="M37" i="11"/>
  <c r="N15" i="10"/>
  <c r="G16" i="10"/>
  <c r="H16" i="10"/>
  <c r="M36" i="10" s="1"/>
  <c r="K14" i="11"/>
  <c r="M21" i="11" s="1"/>
  <c r="N14" i="11"/>
  <c r="E17" i="11"/>
  <c r="O12" i="11"/>
  <c r="O14" i="11" s="1"/>
  <c r="C51" i="11"/>
  <c r="O15" i="10"/>
  <c r="M38" i="10" s="1"/>
  <c r="G24" i="10"/>
  <c r="H24" i="10"/>
  <c r="M37" i="10" s="1"/>
  <c r="E24" i="10"/>
  <c r="N18" i="10"/>
  <c r="N21" i="10" s="1"/>
  <c r="C46" i="10"/>
  <c r="C47" i="10" s="1"/>
  <c r="M39" i="11" l="1"/>
  <c r="M41" i="11" s="1"/>
  <c r="N41" i="11" s="1"/>
  <c r="M23" i="11"/>
  <c r="M27" i="11" s="1"/>
  <c r="C52" i="11"/>
  <c r="C53" i="11" s="1"/>
  <c r="C48" i="10"/>
  <c r="C49" i="10" s="1"/>
  <c r="N39" i="11" l="1"/>
  <c r="N37" i="11"/>
  <c r="N38" i="11"/>
  <c r="N36" i="11"/>
  <c r="C54" i="11"/>
  <c r="C50" i="10"/>
  <c r="C55" i="11" l="1"/>
  <c r="C56" i="11" s="1"/>
  <c r="C57" i="11" s="1"/>
  <c r="C51" i="10"/>
  <c r="N75" i="7"/>
  <c r="J74" i="7"/>
  <c r="C58" i="11" l="1"/>
  <c r="C59" i="11" s="1"/>
  <c r="C60" i="11" s="1"/>
  <c r="C52" i="10"/>
  <c r="C53" i="10" s="1"/>
  <c r="C61" i="11" l="1"/>
  <c r="C62" i="11" s="1"/>
  <c r="C63" i="11" s="1"/>
  <c r="C64" i="11" s="1"/>
  <c r="C65" i="11" s="1"/>
  <c r="C54" i="10"/>
  <c r="C55" i="10" s="1"/>
  <c r="C56" i="10" s="1"/>
  <c r="C57" i="10" s="1"/>
  <c r="C58" i="10" s="1"/>
  <c r="G75" i="7"/>
  <c r="E19" i="7"/>
  <c r="E20" i="7"/>
  <c r="E21" i="7"/>
  <c r="E22" i="7"/>
  <c r="E23" i="7"/>
  <c r="E24" i="7"/>
  <c r="E25" i="7"/>
  <c r="D26" i="7"/>
  <c r="E29" i="7"/>
  <c r="E30" i="7"/>
  <c r="E32" i="7"/>
  <c r="E33" i="7"/>
  <c r="E36" i="7"/>
  <c r="E37" i="7"/>
  <c r="E38" i="7"/>
  <c r="D39" i="7"/>
  <c r="D59" i="7"/>
  <c r="E59" i="7"/>
  <c r="G6" i="7"/>
  <c r="H6" i="7"/>
  <c r="N6" i="7"/>
  <c r="O6" i="7"/>
  <c r="G7" i="7"/>
  <c r="H7" i="7"/>
  <c r="N7" i="7"/>
  <c r="O7" i="7"/>
  <c r="G8" i="7"/>
  <c r="H8" i="7"/>
  <c r="N8" i="7"/>
  <c r="O8" i="7"/>
  <c r="G9" i="7"/>
  <c r="H9" i="7"/>
  <c r="N9" i="7"/>
  <c r="O9" i="7"/>
  <c r="G10" i="7"/>
  <c r="H10" i="7"/>
  <c r="O10" i="7"/>
  <c r="N10" i="7"/>
  <c r="G11" i="7"/>
  <c r="H11" i="7"/>
  <c r="N11" i="7"/>
  <c r="O11" i="7"/>
  <c r="G12" i="7"/>
  <c r="H12" i="7"/>
  <c r="N12" i="7"/>
  <c r="O12" i="7"/>
  <c r="G13" i="7"/>
  <c r="H13" i="7"/>
  <c r="N13" i="7"/>
  <c r="O13" i="7"/>
  <c r="G14" i="7"/>
  <c r="H14" i="7"/>
  <c r="N14" i="7"/>
  <c r="O14" i="7"/>
  <c r="G15" i="7"/>
  <c r="H15" i="7"/>
  <c r="K15" i="7"/>
  <c r="M48" i="7" s="1"/>
  <c r="L15" i="7"/>
  <c r="M15" i="7"/>
  <c r="C16" i="7"/>
  <c r="M45" i="7" s="1"/>
  <c r="N18" i="7"/>
  <c r="O18" i="7"/>
  <c r="G19" i="7"/>
  <c r="H19" i="7"/>
  <c r="N19" i="7"/>
  <c r="O19" i="7"/>
  <c r="G20" i="7"/>
  <c r="H20" i="7"/>
  <c r="N20" i="7"/>
  <c r="O20" i="7"/>
  <c r="G21" i="7"/>
  <c r="H21" i="7"/>
  <c r="K21" i="7"/>
  <c r="M49" i="7" s="1"/>
  <c r="L21" i="7"/>
  <c r="M21" i="7"/>
  <c r="G22" i="7"/>
  <c r="H22" i="7"/>
  <c r="G23" i="7"/>
  <c r="H23" i="7"/>
  <c r="G24" i="7"/>
  <c r="H24" i="7"/>
  <c r="G25" i="7"/>
  <c r="H25" i="7"/>
  <c r="C26" i="7"/>
  <c r="M46" i="7" s="1"/>
  <c r="F26" i="7"/>
  <c r="G29" i="7"/>
  <c r="H29" i="7"/>
  <c r="G30" i="7"/>
  <c r="H30" i="7"/>
  <c r="G32" i="7"/>
  <c r="H32" i="7"/>
  <c r="G33" i="7"/>
  <c r="H33" i="7"/>
  <c r="G36" i="7"/>
  <c r="H36" i="7"/>
  <c r="G37" i="7"/>
  <c r="H37" i="7"/>
  <c r="G38" i="7"/>
  <c r="H38" i="7"/>
  <c r="C39" i="7"/>
  <c r="J45" i="7"/>
  <c r="J46" i="7"/>
  <c r="J47" i="7"/>
  <c r="J48" i="7"/>
  <c r="J49" i="7"/>
  <c r="C59" i="7"/>
  <c r="F59" i="7"/>
  <c r="G59" i="7"/>
  <c r="H59" i="7"/>
  <c r="C62" i="7" l="1"/>
  <c r="C63" i="7" s="1"/>
  <c r="C59" i="10"/>
  <c r="M30" i="7"/>
  <c r="K86" i="7"/>
  <c r="F75" i="7"/>
  <c r="K80" i="7"/>
  <c r="E26" i="7"/>
  <c r="G39" i="7"/>
  <c r="H39" i="7"/>
  <c r="E39" i="7"/>
  <c r="M47" i="7"/>
  <c r="M51" i="7" s="1"/>
  <c r="K18" i="10" s="1"/>
  <c r="G26" i="7"/>
  <c r="H26" i="7"/>
  <c r="N15" i="7"/>
  <c r="G16" i="7"/>
  <c r="O21" i="7"/>
  <c r="N21" i="7"/>
  <c r="H16" i="7"/>
  <c r="O15" i="7"/>
  <c r="M85" i="1"/>
  <c r="C64" i="7" l="1"/>
  <c r="O18" i="10"/>
  <c r="O21" i="10" s="1"/>
  <c r="K21" i="10"/>
  <c r="M25" i="10" s="1"/>
  <c r="M34" i="7"/>
  <c r="M36" i="7"/>
  <c r="M40" i="7" s="1"/>
  <c r="E75" i="7"/>
  <c r="D75" i="7"/>
  <c r="N51" i="7"/>
  <c r="N49" i="7"/>
  <c r="N45" i="7"/>
  <c r="N48" i="7"/>
  <c r="N46" i="7"/>
  <c r="N47" i="7"/>
  <c r="G74" i="1"/>
  <c r="C65" i="7" l="1"/>
  <c r="C66" i="7" s="1"/>
  <c r="M39" i="10"/>
  <c r="M27" i="10"/>
  <c r="M58" i="7"/>
  <c r="H75" i="7"/>
  <c r="J11" i="9"/>
  <c r="J36" i="9"/>
  <c r="C67" i="7" l="1"/>
  <c r="C68" i="7" s="1"/>
  <c r="M41" i="10"/>
  <c r="M59" i="7"/>
  <c r="J18" i="9"/>
  <c r="J17" i="9" s="1"/>
  <c r="G17" i="9"/>
  <c r="C17" i="9"/>
  <c r="G58" i="9"/>
  <c r="F58" i="9"/>
  <c r="C58" i="9"/>
  <c r="G50" i="9"/>
  <c r="C50" i="9"/>
  <c r="G39" i="9"/>
  <c r="C39" i="9"/>
  <c r="G28" i="9"/>
  <c r="C28" i="9"/>
  <c r="F17" i="9"/>
  <c r="B17" i="9"/>
  <c r="C69" i="7" l="1"/>
  <c r="C70" i="7" s="1"/>
  <c r="C71" i="7" s="1"/>
  <c r="C72" i="7" s="1"/>
  <c r="C73" i="7" s="1"/>
  <c r="C74" i="7" s="1"/>
  <c r="C75" i="7" s="1"/>
  <c r="N36" i="10"/>
  <c r="N37" i="10"/>
  <c r="N38" i="10"/>
  <c r="N41" i="10"/>
  <c r="N39" i="10"/>
  <c r="M31" i="10"/>
  <c r="J83" i="1"/>
  <c r="C76" i="7" l="1"/>
  <c r="C81" i="7"/>
  <c r="C66" i="1"/>
  <c r="H27" i="1"/>
  <c r="K84" i="7" l="1"/>
  <c r="K85" i="7" s="1"/>
  <c r="K87" i="7" s="1"/>
  <c r="K88" i="7" s="1"/>
  <c r="K78" i="7"/>
  <c r="K81" i="7" s="1"/>
  <c r="K82" i="7" s="1"/>
  <c r="J5" i="5"/>
  <c r="J6" i="5"/>
  <c r="A18" i="5"/>
  <c r="B18" i="5" s="1"/>
  <c r="C18" i="5"/>
  <c r="A19" i="5"/>
  <c r="A20" i="5" s="1"/>
  <c r="D19" i="5" l="1"/>
  <c r="B20" i="5"/>
  <c r="A21" i="5"/>
  <c r="A22" i="5" s="1"/>
  <c r="A23" i="5" s="1"/>
  <c r="A24" i="5" s="1"/>
  <c r="A25" i="5" s="1"/>
  <c r="B25" i="5" s="1"/>
  <c r="B19" i="5"/>
  <c r="D18" i="5"/>
  <c r="E18" i="5" s="1"/>
  <c r="H18" i="5"/>
  <c r="D20" i="5"/>
  <c r="B21" i="5" l="1"/>
  <c r="D25" i="5"/>
  <c r="D23" i="5"/>
  <c r="D24" i="5"/>
  <c r="B22" i="5"/>
  <c r="B24" i="5"/>
  <c r="D21" i="5"/>
  <c r="B23" i="5"/>
  <c r="D22" i="5"/>
  <c r="A26" i="5"/>
  <c r="F18" i="5"/>
  <c r="G18" i="5" s="1"/>
  <c r="I18" i="5" s="1"/>
  <c r="J18" i="5"/>
  <c r="J84" i="1"/>
  <c r="J54" i="1"/>
  <c r="I85" i="1"/>
  <c r="H85" i="1"/>
  <c r="J82" i="1"/>
  <c r="J81" i="1"/>
  <c r="J80" i="1"/>
  <c r="J79" i="1"/>
  <c r="J78" i="1"/>
  <c r="J77" i="1"/>
  <c r="J76" i="1"/>
  <c r="E10" i="1"/>
  <c r="C19" i="5" l="1"/>
  <c r="B26" i="5"/>
  <c r="A27" i="5"/>
  <c r="D26" i="5"/>
  <c r="J85" i="1"/>
  <c r="E39" i="1"/>
  <c r="J37" i="1"/>
  <c r="J44" i="1"/>
  <c r="E46" i="1"/>
  <c r="J61" i="1"/>
  <c r="J62" i="1"/>
  <c r="J63" i="1"/>
  <c r="J64" i="1"/>
  <c r="J55" i="1"/>
  <c r="J56" i="1"/>
  <c r="J57" i="1"/>
  <c r="J48" i="1"/>
  <c r="J49" i="1"/>
  <c r="J50" i="1"/>
  <c r="J41" i="1"/>
  <c r="J42" i="1"/>
  <c r="J43" i="1"/>
  <c r="J32" i="1"/>
  <c r="J33" i="1"/>
  <c r="J34" i="1"/>
  <c r="J35" i="1"/>
  <c r="J36" i="1"/>
  <c r="J20" i="1"/>
  <c r="J21" i="1"/>
  <c r="J22" i="1"/>
  <c r="J23" i="1"/>
  <c r="J24" i="1"/>
  <c r="J25" i="1"/>
  <c r="J26" i="1"/>
  <c r="J27" i="1"/>
  <c r="J28" i="1"/>
  <c r="E65" i="1"/>
  <c r="E66" i="1"/>
  <c r="E67" i="1"/>
  <c r="E68" i="1"/>
  <c r="E69" i="1"/>
  <c r="E70" i="1"/>
  <c r="E71" i="1"/>
  <c r="E57" i="1"/>
  <c r="E58" i="1"/>
  <c r="E59" i="1"/>
  <c r="E60" i="1"/>
  <c r="E61" i="1"/>
  <c r="E50" i="1"/>
  <c r="E51" i="1"/>
  <c r="E52" i="1"/>
  <c r="E43" i="1"/>
  <c r="E44" i="1"/>
  <c r="E45" i="1"/>
  <c r="E33" i="1"/>
  <c r="E34" i="1"/>
  <c r="E35" i="1"/>
  <c r="E36" i="1"/>
  <c r="E37" i="1"/>
  <c r="E38" i="1"/>
  <c r="E20" i="1"/>
  <c r="E21" i="1"/>
  <c r="E22" i="1"/>
  <c r="E23" i="1"/>
  <c r="E24" i="1"/>
  <c r="E25" i="1"/>
  <c r="E26" i="1"/>
  <c r="E27" i="1"/>
  <c r="E28" i="1"/>
  <c r="E29" i="1"/>
  <c r="I65" i="1"/>
  <c r="H65" i="1"/>
  <c r="I58" i="1"/>
  <c r="H58" i="1"/>
  <c r="I51" i="1"/>
  <c r="H51" i="1"/>
  <c r="I45" i="1"/>
  <c r="H45" i="1"/>
  <c r="I38" i="1"/>
  <c r="H38" i="1"/>
  <c r="D72" i="1"/>
  <c r="C72" i="1"/>
  <c r="D62" i="1"/>
  <c r="C62" i="1"/>
  <c r="D53" i="1"/>
  <c r="C53" i="1"/>
  <c r="D47" i="1"/>
  <c r="C47" i="1"/>
  <c r="D40" i="1"/>
  <c r="C40" i="1"/>
  <c r="I29" i="1"/>
  <c r="H29" i="1"/>
  <c r="D30" i="1"/>
  <c r="C30" i="1"/>
  <c r="E17" i="1"/>
  <c r="E19" i="5" l="1"/>
  <c r="H19" i="5"/>
  <c r="D27" i="5"/>
  <c r="A28" i="5"/>
  <c r="B27" i="5"/>
  <c r="E72" i="1"/>
  <c r="J69" i="1"/>
  <c r="E30" i="1"/>
  <c r="J67" i="1"/>
  <c r="J4" i="1" s="1"/>
  <c r="J65" i="1"/>
  <c r="J58" i="1"/>
  <c r="J51" i="1"/>
  <c r="J45" i="1"/>
  <c r="J38" i="1"/>
  <c r="E62" i="1"/>
  <c r="E53" i="1"/>
  <c r="E47" i="1"/>
  <c r="E40" i="1"/>
  <c r="J29" i="1"/>
  <c r="B28" i="5" l="1"/>
  <c r="A29" i="5"/>
  <c r="D28" i="5"/>
  <c r="J19" i="5"/>
  <c r="F19" i="5"/>
  <c r="G19" i="5" s="1"/>
  <c r="I19" i="5" s="1"/>
  <c r="J10" i="1"/>
  <c r="J71" i="1"/>
  <c r="C20" i="5" l="1"/>
  <c r="A30" i="5"/>
  <c r="D29" i="5"/>
  <c r="B29" i="5"/>
  <c r="J16" i="1"/>
  <c r="A31" i="5" l="1"/>
  <c r="B30" i="5"/>
  <c r="D30" i="5"/>
  <c r="H20" i="5"/>
  <c r="E20" i="5"/>
  <c r="J20" i="5" l="1"/>
  <c r="A32" i="5"/>
  <c r="B31" i="5"/>
  <c r="D31" i="5"/>
  <c r="F20" i="5"/>
  <c r="G20" i="5" s="1"/>
  <c r="I20" i="5" s="1"/>
  <c r="C21" i="5" l="1"/>
  <c r="A33" i="5"/>
  <c r="B32" i="5"/>
  <c r="D32" i="5"/>
  <c r="A34" i="5" l="1"/>
  <c r="B33" i="5"/>
  <c r="D33" i="5"/>
  <c r="H21" i="5"/>
  <c r="E21" i="5"/>
  <c r="F21" i="5" l="1"/>
  <c r="G21" i="5" s="1"/>
  <c r="I21" i="5" s="1"/>
  <c r="J21" i="5"/>
  <c r="B34" i="5"/>
  <c r="A35" i="5"/>
  <c r="D34" i="5"/>
  <c r="C22" i="5" l="1"/>
  <c r="D35" i="5"/>
  <c r="A36" i="5"/>
  <c r="B35" i="5"/>
  <c r="B36" i="5" l="1"/>
  <c r="A37" i="5"/>
  <c r="D36" i="5"/>
  <c r="H22" i="5"/>
  <c r="E22" i="5"/>
  <c r="J22" i="5" l="1"/>
  <c r="A38" i="5"/>
  <c r="D37" i="5"/>
  <c r="B37" i="5"/>
  <c r="F22" i="5"/>
  <c r="G22" i="5" s="1"/>
  <c r="I22" i="5" s="1"/>
  <c r="A39" i="5" l="1"/>
  <c r="D38" i="5"/>
  <c r="B38" i="5"/>
  <c r="C23" i="5"/>
  <c r="H23" i="5" l="1"/>
  <c r="E23" i="5"/>
  <c r="A40" i="5"/>
  <c r="B39" i="5"/>
  <c r="D39" i="5"/>
  <c r="A41" i="5" l="1"/>
  <c r="B40" i="5"/>
  <c r="D40" i="5"/>
  <c r="F23" i="5"/>
  <c r="G23" i="5" s="1"/>
  <c r="I23" i="5" s="1"/>
  <c r="C24" i="5" s="1"/>
  <c r="J23" i="5"/>
  <c r="H24" i="5" l="1"/>
  <c r="J24" i="5" s="1"/>
  <c r="E24" i="5"/>
  <c r="A42" i="5"/>
  <c r="B41" i="5"/>
  <c r="D41" i="5"/>
  <c r="A43" i="5" l="1"/>
  <c r="B42" i="5"/>
  <c r="D42" i="5"/>
  <c r="F24" i="5"/>
  <c r="G24" i="5" s="1"/>
  <c r="I24" i="5" s="1"/>
  <c r="C25" i="5" s="1"/>
  <c r="H25" i="5" l="1"/>
  <c r="J25" i="5" s="1"/>
  <c r="E25" i="5"/>
  <c r="D43" i="5"/>
  <c r="A44" i="5"/>
  <c r="B43" i="5"/>
  <c r="A45" i="5" l="1"/>
  <c r="B44" i="5"/>
  <c r="D44" i="5"/>
  <c r="F25" i="5"/>
  <c r="G25" i="5" s="1"/>
  <c r="I25" i="5" s="1"/>
  <c r="C26" i="5" s="1"/>
  <c r="A46" i="5" l="1"/>
  <c r="D45" i="5"/>
  <c r="B45" i="5"/>
  <c r="H26" i="5"/>
  <c r="J26" i="5" s="1"/>
  <c r="E26" i="5"/>
  <c r="A47" i="5" l="1"/>
  <c r="D46" i="5"/>
  <c r="B46" i="5"/>
  <c r="F26" i="5"/>
  <c r="G26" i="5" s="1"/>
  <c r="I26" i="5" s="1"/>
  <c r="C27" i="5" s="1"/>
  <c r="E27" i="5" l="1"/>
  <c r="H27" i="5"/>
  <c r="J27" i="5" s="1"/>
  <c r="A48" i="5"/>
  <c r="B47" i="5"/>
  <c r="D47" i="5"/>
  <c r="A49" i="5" l="1"/>
  <c r="D48" i="5"/>
  <c r="B48" i="5"/>
  <c r="F27" i="5"/>
  <c r="G27" i="5" s="1"/>
  <c r="I27" i="5" s="1"/>
  <c r="C28" i="5" s="1"/>
  <c r="H28" i="5" l="1"/>
  <c r="J28" i="5" s="1"/>
  <c r="E28" i="5"/>
  <c r="A50" i="5"/>
  <c r="D49" i="5"/>
  <c r="B49" i="5"/>
  <c r="A51" i="5" l="1"/>
  <c r="B50" i="5"/>
  <c r="D50" i="5"/>
  <c r="F28" i="5"/>
  <c r="G28" i="5" s="1"/>
  <c r="I28" i="5" s="1"/>
  <c r="C29" i="5" s="1"/>
  <c r="H29" i="5" l="1"/>
  <c r="J29" i="5" s="1"/>
  <c r="E29" i="5"/>
  <c r="D51" i="5"/>
  <c r="A52" i="5"/>
  <c r="B51" i="5"/>
  <c r="F29" i="5" l="1"/>
  <c r="G29" i="5" s="1"/>
  <c r="I29" i="5" s="1"/>
  <c r="C30" i="5" s="1"/>
  <c r="B52" i="5"/>
  <c r="A53" i="5"/>
  <c r="D52" i="5"/>
  <c r="H30" i="5" l="1"/>
  <c r="J30" i="5" s="1"/>
  <c r="E30" i="5"/>
  <c r="B53" i="5"/>
  <c r="A54" i="5"/>
  <c r="D53" i="5"/>
  <c r="F30" i="5" l="1"/>
  <c r="G30" i="5" s="1"/>
  <c r="I30" i="5" s="1"/>
  <c r="C31" i="5" s="1"/>
  <c r="A55" i="5"/>
  <c r="D54" i="5"/>
  <c r="B54" i="5"/>
  <c r="H31" i="5" l="1"/>
  <c r="J31" i="5" s="1"/>
  <c r="E31" i="5"/>
  <c r="A56" i="5"/>
  <c r="B55" i="5"/>
  <c r="D55" i="5"/>
  <c r="D56" i="5" l="1"/>
  <c r="A57" i="5"/>
  <c r="B56" i="5"/>
  <c r="F31" i="5"/>
  <c r="G31" i="5" s="1"/>
  <c r="I31" i="5" s="1"/>
  <c r="C32" i="5" s="1"/>
  <c r="A58" i="5" l="1"/>
  <c r="D57" i="5"/>
  <c r="B57" i="5"/>
  <c r="E32" i="5"/>
  <c r="H32" i="5"/>
  <c r="J32" i="5" s="1"/>
  <c r="F32" i="5" l="1"/>
  <c r="G32" i="5" s="1"/>
  <c r="I32" i="5" s="1"/>
  <c r="C33" i="5" s="1"/>
  <c r="B58" i="5"/>
  <c r="A59" i="5"/>
  <c r="D58" i="5"/>
  <c r="H33" i="5" l="1"/>
  <c r="J33" i="5" s="1"/>
  <c r="E33" i="5"/>
  <c r="B59" i="5"/>
  <c r="A60" i="5"/>
  <c r="D59" i="5"/>
  <c r="A61" i="5" l="1"/>
  <c r="B60" i="5"/>
  <c r="D60" i="5"/>
  <c r="F33" i="5"/>
  <c r="G33" i="5" s="1"/>
  <c r="I33" i="5" s="1"/>
  <c r="C34" i="5" s="1"/>
  <c r="H34" i="5" l="1"/>
  <c r="J34" i="5" s="1"/>
  <c r="E34" i="5"/>
  <c r="B61" i="5"/>
  <c r="A62" i="5"/>
  <c r="D61" i="5"/>
  <c r="B62" i="5" l="1"/>
  <c r="A63" i="5"/>
  <c r="D62" i="5"/>
  <c r="F34" i="5"/>
  <c r="G34" i="5" s="1"/>
  <c r="I34" i="5" s="1"/>
  <c r="C35" i="5" s="1"/>
  <c r="E35" i="5" l="1"/>
  <c r="H35" i="5"/>
  <c r="J35" i="5" s="1"/>
  <c r="A64" i="5"/>
  <c r="B63" i="5"/>
  <c r="D63" i="5"/>
  <c r="A65" i="5" l="1"/>
  <c r="B64" i="5"/>
  <c r="D64" i="5"/>
  <c r="F35" i="5"/>
  <c r="G35" i="5" s="1"/>
  <c r="I35" i="5" s="1"/>
  <c r="C36" i="5" s="1"/>
  <c r="H36" i="5" l="1"/>
  <c r="J36" i="5" s="1"/>
  <c r="E36" i="5"/>
  <c r="A66" i="5"/>
  <c r="B65" i="5"/>
  <c r="D65" i="5"/>
  <c r="B66" i="5" l="1"/>
  <c r="A67" i="5"/>
  <c r="D66" i="5"/>
  <c r="F36" i="5"/>
  <c r="G36" i="5" s="1"/>
  <c r="I36" i="5" s="1"/>
  <c r="C37" i="5" s="1"/>
  <c r="H37" i="5" l="1"/>
  <c r="J37" i="5" s="1"/>
  <c r="E37" i="5"/>
  <c r="D67" i="5"/>
  <c r="A68" i="5"/>
  <c r="B67" i="5"/>
  <c r="A69" i="5" l="1"/>
  <c r="D68" i="5"/>
  <c r="B68" i="5"/>
  <c r="F37" i="5"/>
  <c r="G37" i="5" s="1"/>
  <c r="I37" i="5" s="1"/>
  <c r="C38" i="5" s="1"/>
  <c r="H38" i="5" l="1"/>
  <c r="J38" i="5" s="1"/>
  <c r="E38" i="5"/>
  <c r="A70" i="5"/>
  <c r="B69" i="5"/>
  <c r="D69" i="5"/>
  <c r="D70" i="5" l="1"/>
  <c r="A71" i="5"/>
  <c r="B70" i="5"/>
  <c r="F38" i="5"/>
  <c r="G38" i="5" s="1"/>
  <c r="I38" i="5" s="1"/>
  <c r="C39" i="5" s="1"/>
  <c r="H39" i="5" l="1"/>
  <c r="J39" i="5" s="1"/>
  <c r="E39" i="5"/>
  <c r="B71" i="5"/>
  <c r="A72" i="5"/>
  <c r="D71" i="5"/>
  <c r="A73" i="5" l="1"/>
  <c r="D72" i="5"/>
  <c r="B72" i="5"/>
  <c r="F39" i="5"/>
  <c r="G39" i="5" s="1"/>
  <c r="I39" i="5" s="1"/>
  <c r="C40" i="5" s="1"/>
  <c r="H40" i="5" l="1"/>
  <c r="J40" i="5" s="1"/>
  <c r="E40" i="5"/>
  <c r="A74" i="5"/>
  <c r="B73" i="5"/>
  <c r="D73" i="5"/>
  <c r="A75" i="5" l="1"/>
  <c r="D74" i="5"/>
  <c r="B74" i="5"/>
  <c r="F40" i="5"/>
  <c r="G40" i="5" s="1"/>
  <c r="I40" i="5" s="1"/>
  <c r="C41" i="5" s="1"/>
  <c r="H41" i="5" l="1"/>
  <c r="J41" i="5" s="1"/>
  <c r="E41" i="5"/>
  <c r="B75" i="5"/>
  <c r="A76" i="5"/>
  <c r="D75" i="5"/>
  <c r="F41" i="5" l="1"/>
  <c r="G41" i="5" s="1"/>
  <c r="I41" i="5" s="1"/>
  <c r="C42" i="5" s="1"/>
  <c r="A77" i="5"/>
  <c r="B76" i="5"/>
  <c r="D76" i="5"/>
  <c r="B77" i="5" l="1"/>
  <c r="A78" i="5"/>
  <c r="D77" i="5"/>
  <c r="H42" i="5"/>
  <c r="J42" i="5" s="1"/>
  <c r="E42" i="5"/>
  <c r="F42" i="5" l="1"/>
  <c r="G42" i="5" s="1"/>
  <c r="I42" i="5" s="1"/>
  <c r="C43" i="5" s="1"/>
  <c r="B78" i="5"/>
  <c r="A79" i="5"/>
  <c r="D78" i="5"/>
  <c r="E43" i="5" l="1"/>
  <c r="H43" i="5"/>
  <c r="J43" i="5" s="1"/>
  <c r="B79" i="5"/>
  <c r="A80" i="5"/>
  <c r="D79" i="5"/>
  <c r="D80" i="5" l="1"/>
  <c r="A81" i="5"/>
  <c r="B80" i="5"/>
  <c r="F43" i="5"/>
  <c r="G43" i="5" s="1"/>
  <c r="I43" i="5" s="1"/>
  <c r="C44" i="5" s="1"/>
  <c r="A82" i="5" l="1"/>
  <c r="B81" i="5"/>
  <c r="D81" i="5"/>
  <c r="H44" i="5"/>
  <c r="J44" i="5" s="1"/>
  <c r="E44" i="5"/>
  <c r="F44" i="5" l="1"/>
  <c r="G44" i="5" s="1"/>
  <c r="I44" i="5" s="1"/>
  <c r="C45" i="5" s="1"/>
  <c r="B82" i="5"/>
  <c r="A83" i="5"/>
  <c r="D82" i="5"/>
  <c r="H45" i="5" l="1"/>
  <c r="J45" i="5" s="1"/>
  <c r="E45" i="5"/>
  <c r="B83" i="5"/>
  <c r="A84" i="5"/>
  <c r="D83" i="5"/>
  <c r="D84" i="5" l="1"/>
  <c r="A85" i="5"/>
  <c r="B84" i="5"/>
  <c r="F45" i="5"/>
  <c r="G45" i="5" s="1"/>
  <c r="I45" i="5" s="1"/>
  <c r="C46" i="5" s="1"/>
  <c r="H46" i="5" l="1"/>
  <c r="J46" i="5" s="1"/>
  <c r="E46" i="5"/>
  <c r="A86" i="5"/>
  <c r="B85" i="5"/>
  <c r="D85" i="5"/>
  <c r="A87" i="5" l="1"/>
  <c r="D86" i="5"/>
  <c r="B86" i="5"/>
  <c r="F46" i="5"/>
  <c r="G46" i="5" s="1"/>
  <c r="I46" i="5" s="1"/>
  <c r="C47" i="5" s="1"/>
  <c r="H47" i="5" l="1"/>
  <c r="J47" i="5" s="1"/>
  <c r="E47" i="5"/>
  <c r="B87" i="5"/>
  <c r="A88" i="5"/>
  <c r="D87" i="5"/>
  <c r="F47" i="5" l="1"/>
  <c r="G47" i="5" s="1"/>
  <c r="I47" i="5" s="1"/>
  <c r="C48" i="5" s="1"/>
  <c r="A89" i="5"/>
  <c r="B88" i="5"/>
  <c r="D88" i="5"/>
  <c r="E48" i="5" l="1"/>
  <c r="H48" i="5"/>
  <c r="J48" i="5" s="1"/>
  <c r="A90" i="5"/>
  <c r="B89" i="5"/>
  <c r="D89" i="5"/>
  <c r="B90" i="5" l="1"/>
  <c r="A91" i="5"/>
  <c r="D90" i="5"/>
  <c r="F48" i="5"/>
  <c r="G48" i="5" s="1"/>
  <c r="I48" i="5" s="1"/>
  <c r="C49" i="5" s="1"/>
  <c r="H49" i="5" l="1"/>
  <c r="J49" i="5" s="1"/>
  <c r="E49" i="5"/>
  <c r="A92" i="5"/>
  <c r="B91" i="5"/>
  <c r="D91" i="5"/>
  <c r="B92" i="5" l="1"/>
  <c r="A93" i="5"/>
  <c r="D92" i="5"/>
  <c r="F49" i="5"/>
  <c r="G49" i="5" s="1"/>
  <c r="I49" i="5" s="1"/>
  <c r="C50" i="5" s="1"/>
  <c r="H50" i="5" l="1"/>
  <c r="J50" i="5" s="1"/>
  <c r="E50" i="5"/>
  <c r="B93" i="5"/>
  <c r="A94" i="5"/>
  <c r="D93" i="5"/>
  <c r="A95" i="5" l="1"/>
  <c r="B94" i="5"/>
  <c r="D94" i="5"/>
  <c r="F50" i="5"/>
  <c r="G50" i="5" s="1"/>
  <c r="I50" i="5" s="1"/>
  <c r="C51" i="5" s="1"/>
  <c r="E51" i="5" l="1"/>
  <c r="H51" i="5"/>
  <c r="J51" i="5" s="1"/>
  <c r="D95" i="5"/>
  <c r="A96" i="5"/>
  <c r="B95" i="5"/>
  <c r="A97" i="5" l="1"/>
  <c r="B96" i="5"/>
  <c r="D96" i="5"/>
  <c r="F51" i="5"/>
  <c r="G51" i="5" s="1"/>
  <c r="I51" i="5" s="1"/>
  <c r="C52" i="5" s="1"/>
  <c r="E52" i="5" l="1"/>
  <c r="H52" i="5"/>
  <c r="J52" i="5" s="1"/>
  <c r="B97" i="5"/>
  <c r="A98" i="5"/>
  <c r="D97" i="5"/>
  <c r="F52" i="5" l="1"/>
  <c r="G52" i="5" s="1"/>
  <c r="I52" i="5" s="1"/>
  <c r="C53" i="5" s="1"/>
  <c r="D98" i="5"/>
  <c r="A99" i="5"/>
  <c r="B98" i="5"/>
  <c r="A100" i="5" l="1"/>
  <c r="B99" i="5"/>
  <c r="D99" i="5"/>
  <c r="H53" i="5"/>
  <c r="J53" i="5" s="1"/>
  <c r="E53" i="5"/>
  <c r="F53" i="5" l="1"/>
  <c r="G53" i="5" s="1"/>
  <c r="I53" i="5" s="1"/>
  <c r="C54" i="5" s="1"/>
  <c r="B100" i="5"/>
  <c r="A101" i="5"/>
  <c r="D100" i="5"/>
  <c r="H54" i="5" l="1"/>
  <c r="J54" i="5" s="1"/>
  <c r="E54" i="5"/>
  <c r="A102" i="5"/>
  <c r="D101" i="5"/>
  <c r="B101" i="5"/>
  <c r="F54" i="5" l="1"/>
  <c r="G54" i="5" s="1"/>
  <c r="I54" i="5" s="1"/>
  <c r="C55" i="5" s="1"/>
  <c r="B102" i="5"/>
  <c r="A103" i="5"/>
  <c r="D102" i="5"/>
  <c r="B103" i="5" l="1"/>
  <c r="A104" i="5"/>
  <c r="D103" i="5"/>
  <c r="H55" i="5"/>
  <c r="J55" i="5" s="1"/>
  <c r="E55" i="5"/>
  <c r="F55" i="5" l="1"/>
  <c r="G55" i="5" s="1"/>
  <c r="I55" i="5" s="1"/>
  <c r="C56" i="5" s="1"/>
  <c r="B104" i="5"/>
  <c r="A105" i="5"/>
  <c r="D104" i="5"/>
  <c r="H56" i="5" l="1"/>
  <c r="J56" i="5" s="1"/>
  <c r="E56" i="5"/>
  <c r="A106" i="5"/>
  <c r="B105" i="5"/>
  <c r="D105" i="5"/>
  <c r="D106" i="5" l="1"/>
  <c r="A107" i="5"/>
  <c r="B106" i="5"/>
  <c r="F56" i="5"/>
  <c r="G56" i="5" s="1"/>
  <c r="I56" i="5" s="1"/>
  <c r="C57" i="5" s="1"/>
  <c r="H57" i="5" l="1"/>
  <c r="J57" i="5" s="1"/>
  <c r="E57" i="5"/>
  <c r="A108" i="5"/>
  <c r="B107" i="5"/>
  <c r="D107" i="5"/>
  <c r="F57" i="5" l="1"/>
  <c r="G57" i="5" s="1"/>
  <c r="I57" i="5" s="1"/>
  <c r="C58" i="5" s="1"/>
  <c r="D108" i="5"/>
  <c r="A109" i="5"/>
  <c r="B108" i="5"/>
  <c r="H58" i="5" l="1"/>
  <c r="J58" i="5" s="1"/>
  <c r="E58" i="5"/>
  <c r="B109" i="5"/>
  <c r="A110" i="5"/>
  <c r="D109" i="5"/>
  <c r="B110" i="5" l="1"/>
  <c r="A111" i="5"/>
  <c r="D110" i="5"/>
  <c r="F58" i="5"/>
  <c r="G58" i="5" s="1"/>
  <c r="I58" i="5" s="1"/>
  <c r="C59" i="5" s="1"/>
  <c r="A112" i="5" l="1"/>
  <c r="B111" i="5"/>
  <c r="D111" i="5"/>
  <c r="H59" i="5"/>
  <c r="J59" i="5" s="1"/>
  <c r="E59" i="5"/>
  <c r="F59" i="5" l="1"/>
  <c r="G59" i="5" s="1"/>
  <c r="I59" i="5" s="1"/>
  <c r="C60" i="5" s="1"/>
  <c r="A113" i="5"/>
  <c r="D112" i="5"/>
  <c r="B112" i="5"/>
  <c r="A114" i="5" l="1"/>
  <c r="D113" i="5"/>
  <c r="B113" i="5"/>
  <c r="H60" i="5"/>
  <c r="J60" i="5" s="1"/>
  <c r="E60" i="5"/>
  <c r="B114" i="5" l="1"/>
  <c r="A115" i="5"/>
  <c r="D114" i="5"/>
  <c r="F60" i="5"/>
  <c r="G60" i="5" s="1"/>
  <c r="I60" i="5" s="1"/>
  <c r="C61" i="5" s="1"/>
  <c r="H61" i="5" l="1"/>
  <c r="J61" i="5" s="1"/>
  <c r="E61" i="5"/>
  <c r="A116" i="5"/>
  <c r="B115" i="5"/>
  <c r="D115" i="5"/>
  <c r="A117" i="5" l="1"/>
  <c r="D116" i="5"/>
  <c r="B116" i="5"/>
  <c r="F61" i="5"/>
  <c r="G61" i="5" s="1"/>
  <c r="I61" i="5" s="1"/>
  <c r="C62" i="5" s="1"/>
  <c r="E62" i="5" l="1"/>
  <c r="H62" i="5"/>
  <c r="J62" i="5" s="1"/>
  <c r="B117" i="5"/>
  <c r="A118" i="5"/>
  <c r="D117" i="5"/>
  <c r="A119" i="5" l="1"/>
  <c r="B118" i="5"/>
  <c r="D118" i="5"/>
  <c r="F62" i="5"/>
  <c r="G62" i="5" s="1"/>
  <c r="I62" i="5" s="1"/>
  <c r="C63" i="5" s="1"/>
  <c r="H63" i="5" l="1"/>
  <c r="J63" i="5" s="1"/>
  <c r="E63" i="5"/>
  <c r="A120" i="5"/>
  <c r="B119" i="5"/>
  <c r="D119" i="5"/>
  <c r="A121" i="5" l="1"/>
  <c r="B120" i="5"/>
  <c r="D120" i="5"/>
  <c r="F63" i="5"/>
  <c r="G63" i="5" s="1"/>
  <c r="I63" i="5" s="1"/>
  <c r="C64" i="5" s="1"/>
  <c r="H64" i="5" l="1"/>
  <c r="J64" i="5" s="1"/>
  <c r="E64" i="5"/>
  <c r="A122" i="5"/>
  <c r="B121" i="5"/>
  <c r="D121" i="5"/>
  <c r="F64" i="5" l="1"/>
  <c r="G64" i="5" s="1"/>
  <c r="I64" i="5" s="1"/>
  <c r="C65" i="5" s="1"/>
  <c r="A123" i="5"/>
  <c r="D122" i="5"/>
  <c r="B122" i="5"/>
  <c r="H65" i="5" l="1"/>
  <c r="J65" i="5" s="1"/>
  <c r="E65" i="5"/>
  <c r="A124" i="5"/>
  <c r="B123" i="5"/>
  <c r="D123" i="5"/>
  <c r="B124" i="5" l="1"/>
  <c r="D124" i="5"/>
  <c r="A125" i="5"/>
  <c r="F65" i="5"/>
  <c r="G65" i="5" s="1"/>
  <c r="I65" i="5" s="1"/>
  <c r="C66" i="5" s="1"/>
  <c r="H66" i="5" l="1"/>
  <c r="J66" i="5" s="1"/>
  <c r="E66" i="5"/>
  <c r="A126" i="5"/>
  <c r="B125" i="5"/>
  <c r="D125" i="5"/>
  <c r="D126" i="5" l="1"/>
  <c r="A127" i="5"/>
  <c r="B126" i="5"/>
  <c r="F66" i="5"/>
  <c r="G66" i="5" s="1"/>
  <c r="I66" i="5" s="1"/>
  <c r="C67" i="5" s="1"/>
  <c r="B127" i="5" l="1"/>
  <c r="A128" i="5"/>
  <c r="D127" i="5"/>
  <c r="E67" i="5"/>
  <c r="H67" i="5"/>
  <c r="J67" i="5" s="1"/>
  <c r="F67" i="5" l="1"/>
  <c r="G67" i="5" s="1"/>
  <c r="I67" i="5" s="1"/>
  <c r="C68" i="5" s="1"/>
  <c r="A129" i="5"/>
  <c r="B128" i="5"/>
  <c r="D128" i="5"/>
  <c r="H68" i="5" l="1"/>
  <c r="J68" i="5" s="1"/>
  <c r="E68" i="5"/>
  <c r="A130" i="5"/>
  <c r="D129" i="5"/>
  <c r="B129" i="5"/>
  <c r="F68" i="5" l="1"/>
  <c r="G68" i="5" s="1"/>
  <c r="I68" i="5" s="1"/>
  <c r="C69" i="5" s="1"/>
  <c r="D130" i="5"/>
  <c r="A131" i="5"/>
  <c r="B130" i="5"/>
  <c r="B131" i="5" l="1"/>
  <c r="A132" i="5"/>
  <c r="D131" i="5"/>
  <c r="H69" i="5"/>
  <c r="J69" i="5" s="1"/>
  <c r="E69" i="5"/>
  <c r="A133" i="5" l="1"/>
  <c r="B132" i="5"/>
  <c r="D132" i="5"/>
  <c r="F69" i="5"/>
  <c r="G69" i="5" s="1"/>
  <c r="I69" i="5" s="1"/>
  <c r="C70" i="5" s="1"/>
  <c r="A134" i="5" l="1"/>
  <c r="B133" i="5"/>
  <c r="D133" i="5"/>
  <c r="E70" i="5"/>
  <c r="H70" i="5"/>
  <c r="J70" i="5" s="1"/>
  <c r="F70" i="5" l="1"/>
  <c r="G70" i="5" s="1"/>
  <c r="I70" i="5" s="1"/>
  <c r="C71" i="5" s="1"/>
  <c r="D134" i="5"/>
  <c r="A135" i="5"/>
  <c r="B134" i="5"/>
  <c r="H71" i="5" l="1"/>
  <c r="J71" i="5" s="1"/>
  <c r="E71" i="5"/>
  <c r="A136" i="5"/>
  <c r="B135" i="5"/>
  <c r="D135" i="5"/>
  <c r="F71" i="5" l="1"/>
  <c r="G71" i="5" s="1"/>
  <c r="I71" i="5" s="1"/>
  <c r="C72" i="5" s="1"/>
  <c r="A137" i="5"/>
  <c r="D136" i="5"/>
  <c r="B136" i="5"/>
  <c r="E72" i="5" l="1"/>
  <c r="H72" i="5"/>
  <c r="J72" i="5" s="1"/>
  <c r="A138" i="5"/>
  <c r="D137" i="5"/>
  <c r="B137" i="5"/>
  <c r="A139" i="5" l="1"/>
  <c r="D138" i="5"/>
  <c r="B138" i="5"/>
  <c r="F72" i="5"/>
  <c r="G72" i="5" s="1"/>
  <c r="I72" i="5" s="1"/>
  <c r="C73" i="5" s="1"/>
  <c r="A140" i="5" l="1"/>
  <c r="B139" i="5"/>
  <c r="D139" i="5"/>
  <c r="E73" i="5"/>
  <c r="H73" i="5"/>
  <c r="J73" i="5" s="1"/>
  <c r="F73" i="5" l="1"/>
  <c r="G73" i="5" s="1"/>
  <c r="I73" i="5" s="1"/>
  <c r="C74" i="5" s="1"/>
  <c r="A141" i="5"/>
  <c r="B140" i="5"/>
  <c r="D140" i="5"/>
  <c r="H74" i="5" l="1"/>
  <c r="J74" i="5" s="1"/>
  <c r="E74" i="5"/>
  <c r="A142" i="5"/>
  <c r="D141" i="5"/>
  <c r="B141" i="5"/>
  <c r="A143" i="5" l="1"/>
  <c r="D142" i="5"/>
  <c r="B142" i="5"/>
  <c r="F74" i="5"/>
  <c r="G74" i="5" s="1"/>
  <c r="I74" i="5" s="1"/>
  <c r="C75" i="5" s="1"/>
  <c r="H75" i="5" l="1"/>
  <c r="J75" i="5" s="1"/>
  <c r="E75" i="5"/>
  <c r="A144" i="5"/>
  <c r="D143" i="5"/>
  <c r="B143" i="5"/>
  <c r="A145" i="5" l="1"/>
  <c r="B144" i="5"/>
  <c r="D144" i="5"/>
  <c r="F75" i="5"/>
  <c r="G75" i="5" s="1"/>
  <c r="I75" i="5" s="1"/>
  <c r="C76" i="5" s="1"/>
  <c r="E76" i="5" l="1"/>
  <c r="H76" i="5"/>
  <c r="J76" i="5" s="1"/>
  <c r="A146" i="5"/>
  <c r="B145" i="5"/>
  <c r="D145" i="5"/>
  <c r="A147" i="5" l="1"/>
  <c r="D146" i="5"/>
  <c r="B146" i="5"/>
  <c r="F76" i="5"/>
  <c r="G76" i="5" s="1"/>
  <c r="I76" i="5" s="1"/>
  <c r="C77" i="5" s="1"/>
  <c r="H77" i="5" l="1"/>
  <c r="J77" i="5" s="1"/>
  <c r="E77" i="5"/>
  <c r="A148" i="5"/>
  <c r="D147" i="5"/>
  <c r="B147" i="5"/>
  <c r="A149" i="5" l="1"/>
  <c r="B148" i="5"/>
  <c r="D148" i="5"/>
  <c r="F77" i="5"/>
  <c r="G77" i="5" s="1"/>
  <c r="I77" i="5" s="1"/>
  <c r="C78" i="5" s="1"/>
  <c r="H78" i="5" l="1"/>
  <c r="J78" i="5" s="1"/>
  <c r="E78" i="5"/>
  <c r="A150" i="5"/>
  <c r="B149" i="5"/>
  <c r="D149" i="5"/>
  <c r="A151" i="5" l="1"/>
  <c r="D150" i="5"/>
  <c r="B150" i="5"/>
  <c r="F78" i="5"/>
  <c r="G78" i="5" s="1"/>
  <c r="I78" i="5" s="1"/>
  <c r="C79" i="5" s="1"/>
  <c r="H79" i="5" l="1"/>
  <c r="J79" i="5" s="1"/>
  <c r="E79" i="5"/>
  <c r="A152" i="5"/>
  <c r="B151" i="5"/>
  <c r="D151" i="5"/>
  <c r="A153" i="5" l="1"/>
  <c r="B152" i="5"/>
  <c r="D152" i="5"/>
  <c r="F79" i="5"/>
  <c r="G79" i="5" s="1"/>
  <c r="I79" i="5" s="1"/>
  <c r="C80" i="5" s="1"/>
  <c r="E80" i="5" l="1"/>
  <c r="H80" i="5"/>
  <c r="J80" i="5" s="1"/>
  <c r="A154" i="5"/>
  <c r="D153" i="5"/>
  <c r="B153" i="5"/>
  <c r="A155" i="5" l="1"/>
  <c r="D154" i="5"/>
  <c r="B154" i="5"/>
  <c r="F80" i="5"/>
  <c r="G80" i="5" s="1"/>
  <c r="I80" i="5" s="1"/>
  <c r="C81" i="5" s="1"/>
  <c r="A156" i="5" l="1"/>
  <c r="B155" i="5"/>
  <c r="D155" i="5"/>
  <c r="H81" i="5"/>
  <c r="J81" i="5" s="1"/>
  <c r="E81" i="5"/>
  <c r="F81" i="5" l="1"/>
  <c r="G81" i="5" s="1"/>
  <c r="I81" i="5" s="1"/>
  <c r="C82" i="5" s="1"/>
  <c r="A157" i="5"/>
  <c r="D156" i="5"/>
  <c r="B156" i="5"/>
  <c r="H82" i="5" l="1"/>
  <c r="J82" i="5" s="1"/>
  <c r="E82" i="5"/>
  <c r="A158" i="5"/>
  <c r="D157" i="5"/>
  <c r="B157" i="5"/>
  <c r="A159" i="5" l="1"/>
  <c r="D158" i="5"/>
  <c r="B158" i="5"/>
  <c r="F82" i="5"/>
  <c r="G82" i="5" s="1"/>
  <c r="I82" i="5" s="1"/>
  <c r="C83" i="5" s="1"/>
  <c r="A160" i="5" l="1"/>
  <c r="D159" i="5"/>
  <c r="B159" i="5"/>
  <c r="H83" i="5"/>
  <c r="J83" i="5" s="1"/>
  <c r="E83" i="5"/>
  <c r="F83" i="5" l="1"/>
  <c r="G83" i="5" s="1"/>
  <c r="I83" i="5" s="1"/>
  <c r="C84" i="5" s="1"/>
  <c r="D160" i="5"/>
  <c r="A161" i="5"/>
  <c r="B160" i="5"/>
  <c r="E84" i="5" l="1"/>
  <c r="H84" i="5"/>
  <c r="J84" i="5" s="1"/>
  <c r="A162" i="5"/>
  <c r="B161" i="5"/>
  <c r="D161" i="5"/>
  <c r="A163" i="5" l="1"/>
  <c r="B162" i="5"/>
  <c r="D162" i="5"/>
  <c r="F84" i="5"/>
  <c r="G84" i="5" s="1"/>
  <c r="I84" i="5" s="1"/>
  <c r="C85" i="5" s="1"/>
  <c r="A164" i="5" l="1"/>
  <c r="D163" i="5"/>
  <c r="B163" i="5"/>
  <c r="E85" i="5"/>
  <c r="H85" i="5"/>
  <c r="J85" i="5" s="1"/>
  <c r="A165" i="5" l="1"/>
  <c r="B164" i="5"/>
  <c r="D164" i="5"/>
  <c r="F85" i="5"/>
  <c r="G85" i="5" s="1"/>
  <c r="I85" i="5" s="1"/>
  <c r="C86" i="5" s="1"/>
  <c r="H86" i="5" l="1"/>
  <c r="J86" i="5" s="1"/>
  <c r="E86" i="5"/>
  <c r="A166" i="5"/>
  <c r="B165" i="5"/>
  <c r="D165" i="5"/>
  <c r="A167" i="5" l="1"/>
  <c r="D166" i="5"/>
  <c r="B166" i="5"/>
  <c r="F86" i="5"/>
  <c r="G86" i="5" s="1"/>
  <c r="I86" i="5" s="1"/>
  <c r="C87" i="5" s="1"/>
  <c r="A168" i="5" l="1"/>
  <c r="B167" i="5"/>
  <c r="D167" i="5"/>
  <c r="H87" i="5"/>
  <c r="J87" i="5" s="1"/>
  <c r="E87" i="5"/>
  <c r="F87" i="5" l="1"/>
  <c r="G87" i="5" s="1"/>
  <c r="I87" i="5"/>
  <c r="C88" i="5" s="1"/>
  <c r="D168" i="5"/>
  <c r="A169" i="5"/>
  <c r="B168" i="5"/>
  <c r="A170" i="5" l="1"/>
  <c r="D169" i="5"/>
  <c r="B169" i="5"/>
  <c r="E88" i="5"/>
  <c r="H88" i="5"/>
  <c r="J88" i="5" s="1"/>
  <c r="F88" i="5" l="1"/>
  <c r="G88" i="5" s="1"/>
  <c r="I88" i="5"/>
  <c r="C89" i="5" s="1"/>
  <c r="A171" i="5"/>
  <c r="D170" i="5"/>
  <c r="B170" i="5"/>
  <c r="A172" i="5" l="1"/>
  <c r="B171" i="5"/>
  <c r="D171" i="5"/>
  <c r="H89" i="5"/>
  <c r="J89" i="5" s="1"/>
  <c r="E89" i="5"/>
  <c r="F89" i="5" l="1"/>
  <c r="G89" i="5" s="1"/>
  <c r="I89" i="5"/>
  <c r="C90" i="5" s="1"/>
  <c r="A173" i="5"/>
  <c r="D172" i="5"/>
  <c r="B172" i="5"/>
  <c r="H90" i="5" l="1"/>
  <c r="J90" i="5" s="1"/>
  <c r="E90" i="5"/>
  <c r="A174" i="5"/>
  <c r="D173" i="5"/>
  <c r="B173" i="5"/>
  <c r="D174" i="5" l="1"/>
  <c r="A175" i="5"/>
  <c r="B174" i="5"/>
  <c r="F90" i="5"/>
  <c r="G90" i="5" s="1"/>
  <c r="I90" i="5" s="1"/>
  <c r="C91" i="5" s="1"/>
  <c r="H91" i="5" l="1"/>
  <c r="J91" i="5" s="1"/>
  <c r="E91" i="5"/>
  <c r="A176" i="5"/>
  <c r="D175" i="5"/>
  <c r="B175" i="5"/>
  <c r="D176" i="5" l="1"/>
  <c r="A177" i="5"/>
  <c r="B176" i="5"/>
  <c r="F91" i="5"/>
  <c r="G91" i="5" s="1"/>
  <c r="I91" i="5" s="1"/>
  <c r="C92" i="5" s="1"/>
  <c r="E92" i="5" l="1"/>
  <c r="H92" i="5"/>
  <c r="J92" i="5" s="1"/>
  <c r="A178" i="5"/>
  <c r="B177" i="5"/>
  <c r="D177" i="5"/>
  <c r="A179" i="5" l="1"/>
  <c r="D178" i="5"/>
  <c r="B178" i="5"/>
  <c r="F92" i="5"/>
  <c r="G92" i="5" s="1"/>
  <c r="I92" i="5" s="1"/>
  <c r="C93" i="5" s="1"/>
  <c r="E93" i="5" l="1"/>
  <c r="H93" i="5"/>
  <c r="J93" i="5" s="1"/>
  <c r="A180" i="5"/>
  <c r="D179" i="5"/>
  <c r="B179" i="5"/>
  <c r="A181" i="5" l="1"/>
  <c r="B180" i="5"/>
  <c r="D180" i="5"/>
  <c r="F93" i="5"/>
  <c r="G93" i="5" s="1"/>
  <c r="I93" i="5" s="1"/>
  <c r="C94" i="5" s="1"/>
  <c r="E94" i="5" l="1"/>
  <c r="H94" i="5"/>
  <c r="J94" i="5" s="1"/>
  <c r="A182" i="5"/>
  <c r="B181" i="5"/>
  <c r="D181" i="5"/>
  <c r="B182" i="5" l="1"/>
  <c r="A183" i="5"/>
  <c r="D182" i="5"/>
  <c r="F94" i="5"/>
  <c r="G94" i="5" s="1"/>
  <c r="I94" i="5" s="1"/>
  <c r="C95" i="5" s="1"/>
  <c r="E95" i="5" l="1"/>
  <c r="H95" i="5"/>
  <c r="J95" i="5" s="1"/>
  <c r="A184" i="5"/>
  <c r="B183" i="5"/>
  <c r="D183" i="5"/>
  <c r="B184" i="5" l="1"/>
  <c r="A185" i="5"/>
  <c r="D184" i="5"/>
  <c r="F95" i="5"/>
  <c r="G95" i="5" s="1"/>
  <c r="I95" i="5" s="1"/>
  <c r="C96" i="5" s="1"/>
  <c r="E96" i="5" l="1"/>
  <c r="H96" i="5"/>
  <c r="J96" i="5" s="1"/>
  <c r="A186" i="5"/>
  <c r="D185" i="5"/>
  <c r="B185" i="5"/>
  <c r="A187" i="5" l="1"/>
  <c r="D186" i="5"/>
  <c r="B186" i="5"/>
  <c r="F96" i="5"/>
  <c r="G96" i="5" s="1"/>
  <c r="I96" i="5" s="1"/>
  <c r="C97" i="5" s="1"/>
  <c r="E97" i="5" l="1"/>
  <c r="H97" i="5"/>
  <c r="J97" i="5" s="1"/>
  <c r="A188" i="5"/>
  <c r="B187" i="5"/>
  <c r="D187" i="5"/>
  <c r="A189" i="5" l="1"/>
  <c r="B188" i="5"/>
  <c r="D188" i="5"/>
  <c r="F97" i="5"/>
  <c r="G97" i="5" s="1"/>
  <c r="I97" i="5" s="1"/>
  <c r="C98" i="5" s="1"/>
  <c r="E98" i="5" l="1"/>
  <c r="H98" i="5"/>
  <c r="J98" i="5" s="1"/>
  <c r="A190" i="5"/>
  <c r="D189" i="5"/>
  <c r="B189" i="5"/>
  <c r="B190" i="5" l="1"/>
  <c r="A191" i="5"/>
  <c r="D190" i="5"/>
  <c r="F98" i="5"/>
  <c r="G98" i="5" s="1"/>
  <c r="I98" i="5" s="1"/>
  <c r="C99" i="5" s="1"/>
  <c r="E99" i="5" l="1"/>
  <c r="H99" i="5"/>
  <c r="J99" i="5" s="1"/>
  <c r="A192" i="5"/>
  <c r="D191" i="5"/>
  <c r="B191" i="5"/>
  <c r="B192" i="5" l="1"/>
  <c r="A193" i="5"/>
  <c r="D192" i="5"/>
  <c r="F99" i="5"/>
  <c r="G99" i="5" s="1"/>
  <c r="I99" i="5" s="1"/>
  <c r="C100" i="5" s="1"/>
  <c r="H100" i="5" l="1"/>
  <c r="J100" i="5" s="1"/>
  <c r="E100" i="5"/>
  <c r="A194" i="5"/>
  <c r="B193" i="5"/>
  <c r="D193" i="5"/>
  <c r="A195" i="5" l="1"/>
  <c r="B194" i="5"/>
  <c r="D194" i="5"/>
  <c r="F100" i="5"/>
  <c r="G100" i="5" s="1"/>
  <c r="I100" i="5" s="1"/>
  <c r="C101" i="5" s="1"/>
  <c r="E101" i="5" l="1"/>
  <c r="H101" i="5"/>
  <c r="J101" i="5" s="1"/>
  <c r="A196" i="5"/>
  <c r="D195" i="5"/>
  <c r="B195" i="5"/>
  <c r="A197" i="5" l="1"/>
  <c r="B196" i="5"/>
  <c r="D196" i="5"/>
  <c r="F101" i="5"/>
  <c r="G101" i="5" s="1"/>
  <c r="I101" i="5" s="1"/>
  <c r="C102" i="5" s="1"/>
  <c r="H102" i="5" l="1"/>
  <c r="J102" i="5" s="1"/>
  <c r="E102" i="5"/>
  <c r="A198" i="5"/>
  <c r="B197" i="5"/>
  <c r="D197" i="5"/>
  <c r="B198" i="5" l="1"/>
  <c r="A199" i="5"/>
  <c r="D198" i="5"/>
  <c r="F102" i="5"/>
  <c r="G102" i="5" s="1"/>
  <c r="I102" i="5" s="1"/>
  <c r="C103" i="5" s="1"/>
  <c r="E103" i="5" l="1"/>
  <c r="H103" i="5"/>
  <c r="J103" i="5" s="1"/>
  <c r="A200" i="5"/>
  <c r="B199" i="5"/>
  <c r="D199" i="5"/>
  <c r="B200" i="5" l="1"/>
  <c r="A201" i="5"/>
  <c r="D200" i="5"/>
  <c r="F103" i="5"/>
  <c r="G103" i="5" s="1"/>
  <c r="I103" i="5" s="1"/>
  <c r="C104" i="5" s="1"/>
  <c r="E104" i="5" l="1"/>
  <c r="H104" i="5"/>
  <c r="J104" i="5" s="1"/>
  <c r="A202" i="5"/>
  <c r="D201" i="5"/>
  <c r="B201" i="5"/>
  <c r="A203" i="5" l="1"/>
  <c r="D202" i="5"/>
  <c r="B202" i="5"/>
  <c r="F104" i="5"/>
  <c r="G104" i="5" s="1"/>
  <c r="I104" i="5" s="1"/>
  <c r="C105" i="5" s="1"/>
  <c r="E105" i="5" l="1"/>
  <c r="H105" i="5"/>
  <c r="J105" i="5" s="1"/>
  <c r="A204" i="5"/>
  <c r="B203" i="5"/>
  <c r="D203" i="5"/>
  <c r="A205" i="5" l="1"/>
  <c r="B204" i="5"/>
  <c r="D204" i="5"/>
  <c r="F105" i="5"/>
  <c r="G105" i="5" s="1"/>
  <c r="I105" i="5" s="1"/>
  <c r="C106" i="5" s="1"/>
  <c r="E106" i="5" l="1"/>
  <c r="H106" i="5"/>
  <c r="J106" i="5" s="1"/>
  <c r="A206" i="5"/>
  <c r="B205" i="5"/>
  <c r="D205" i="5"/>
  <c r="B206" i="5" l="1"/>
  <c r="A207" i="5"/>
  <c r="D206" i="5"/>
  <c r="F106" i="5"/>
  <c r="G106" i="5" s="1"/>
  <c r="I106" i="5" s="1"/>
  <c r="C107" i="5" s="1"/>
  <c r="H107" i="5" l="1"/>
  <c r="J107" i="5" s="1"/>
  <c r="E107" i="5"/>
  <c r="A208" i="5"/>
  <c r="D207" i="5"/>
  <c r="B207" i="5"/>
  <c r="B208" i="5" l="1"/>
  <c r="D208" i="5"/>
  <c r="A209" i="5"/>
  <c r="F107" i="5"/>
  <c r="G107" i="5" s="1"/>
  <c r="I107" i="5" s="1"/>
  <c r="C108" i="5" s="1"/>
  <c r="E108" i="5" l="1"/>
  <c r="H108" i="5"/>
  <c r="J108" i="5" s="1"/>
  <c r="A210" i="5"/>
  <c r="B209" i="5"/>
  <c r="D209" i="5"/>
  <c r="A211" i="5" l="1"/>
  <c r="D210" i="5"/>
  <c r="B210" i="5"/>
  <c r="F108" i="5"/>
  <c r="G108" i="5" s="1"/>
  <c r="I108" i="5" s="1"/>
  <c r="C109" i="5" s="1"/>
  <c r="H109" i="5" l="1"/>
  <c r="J109" i="5" s="1"/>
  <c r="E109" i="5"/>
  <c r="A212" i="5"/>
  <c r="D211" i="5"/>
  <c r="B211" i="5"/>
  <c r="A213" i="5" l="1"/>
  <c r="B212" i="5"/>
  <c r="D212" i="5"/>
  <c r="F109" i="5"/>
  <c r="G109" i="5" s="1"/>
  <c r="I109" i="5" s="1"/>
  <c r="C110" i="5" s="1"/>
  <c r="H110" i="5" l="1"/>
  <c r="J110" i="5" s="1"/>
  <c r="E110" i="5"/>
  <c r="A214" i="5"/>
  <c r="D213" i="5"/>
  <c r="B213" i="5"/>
  <c r="A215" i="5" l="1"/>
  <c r="B214" i="5"/>
  <c r="D214" i="5"/>
  <c r="F110" i="5"/>
  <c r="G110" i="5" s="1"/>
  <c r="I110" i="5" s="1"/>
  <c r="C111" i="5" s="1"/>
  <c r="E111" i="5" l="1"/>
  <c r="H111" i="5"/>
  <c r="J111" i="5" s="1"/>
  <c r="A216" i="5"/>
  <c r="B215" i="5"/>
  <c r="D215" i="5"/>
  <c r="D216" i="5" l="1"/>
  <c r="A217" i="5"/>
  <c r="B216" i="5"/>
  <c r="F111" i="5"/>
  <c r="G111" i="5" s="1"/>
  <c r="I111" i="5" s="1"/>
  <c r="C112" i="5" s="1"/>
  <c r="H112" i="5" l="1"/>
  <c r="J112" i="5" s="1"/>
  <c r="E112" i="5"/>
  <c r="A218" i="5"/>
  <c r="B217" i="5"/>
  <c r="D217" i="5"/>
  <c r="D218" i="5" l="1"/>
  <c r="A219" i="5"/>
  <c r="B218" i="5"/>
  <c r="F112" i="5"/>
  <c r="G112" i="5" s="1"/>
  <c r="I112" i="5" s="1"/>
  <c r="C113" i="5" s="1"/>
  <c r="B219" i="5" l="1"/>
  <c r="A220" i="5"/>
  <c r="D219" i="5"/>
  <c r="E113" i="5"/>
  <c r="H113" i="5"/>
  <c r="J113" i="5" s="1"/>
  <c r="B220" i="5" l="1"/>
  <c r="A221" i="5"/>
  <c r="D220" i="5"/>
  <c r="F113" i="5"/>
  <c r="G113" i="5" s="1"/>
  <c r="I113" i="5" s="1"/>
  <c r="C114" i="5" s="1"/>
  <c r="H114" i="5" l="1"/>
  <c r="J114" i="5" s="1"/>
  <c r="E114" i="5"/>
  <c r="B221" i="5"/>
  <c r="A222" i="5"/>
  <c r="D221" i="5"/>
  <c r="A223" i="5" l="1"/>
  <c r="D222" i="5"/>
  <c r="B222" i="5"/>
  <c r="F114" i="5"/>
  <c r="G114" i="5" s="1"/>
  <c r="I114" i="5" s="1"/>
  <c r="C115" i="5" s="1"/>
  <c r="H115" i="5" l="1"/>
  <c r="J115" i="5" s="1"/>
  <c r="E115" i="5"/>
  <c r="A224" i="5"/>
  <c r="B223" i="5"/>
  <c r="D223" i="5"/>
  <c r="B224" i="5" l="1"/>
  <c r="A225" i="5"/>
  <c r="D224" i="5"/>
  <c r="F115" i="5"/>
  <c r="G115" i="5" s="1"/>
  <c r="I115" i="5" s="1"/>
  <c r="C116" i="5" s="1"/>
  <c r="E116" i="5" l="1"/>
  <c r="H116" i="5"/>
  <c r="J116" i="5" s="1"/>
  <c r="A226" i="5"/>
  <c r="B225" i="5"/>
  <c r="D225" i="5"/>
  <c r="F116" i="5" l="1"/>
  <c r="G116" i="5" s="1"/>
  <c r="I116" i="5" s="1"/>
  <c r="C117" i="5" s="1"/>
  <c r="A227" i="5"/>
  <c r="B226" i="5"/>
  <c r="D226" i="5"/>
  <c r="E117" i="5" l="1"/>
  <c r="H117" i="5"/>
  <c r="J117" i="5" s="1"/>
  <c r="A228" i="5"/>
  <c r="B227" i="5"/>
  <c r="D227" i="5"/>
  <c r="F117" i="5" l="1"/>
  <c r="G117" i="5" s="1"/>
  <c r="I117" i="5" s="1"/>
  <c r="C118" i="5" s="1"/>
  <c r="B228" i="5"/>
  <c r="A229" i="5"/>
  <c r="D228" i="5"/>
  <c r="E118" i="5" l="1"/>
  <c r="H118" i="5"/>
  <c r="J118" i="5" s="1"/>
  <c r="A230" i="5"/>
  <c r="B229" i="5"/>
  <c r="D229" i="5"/>
  <c r="F118" i="5" l="1"/>
  <c r="G118" i="5" s="1"/>
  <c r="I118" i="5" s="1"/>
  <c r="C119" i="5" s="1"/>
  <c r="A231" i="5"/>
  <c r="D230" i="5"/>
  <c r="B230" i="5"/>
  <c r="H119" i="5" l="1"/>
  <c r="J119" i="5" s="1"/>
  <c r="E119" i="5"/>
  <c r="A232" i="5"/>
  <c r="B231" i="5"/>
  <c r="D231" i="5"/>
  <c r="F119" i="5" l="1"/>
  <c r="G119" i="5" s="1"/>
  <c r="I119" i="5" s="1"/>
  <c r="C120" i="5" s="1"/>
  <c r="B232" i="5"/>
  <c r="A233" i="5"/>
  <c r="D232" i="5"/>
  <c r="H120" i="5" l="1"/>
  <c r="J120" i="5" s="1"/>
  <c r="E120" i="5"/>
  <c r="A234" i="5"/>
  <c r="B233" i="5"/>
  <c r="D233" i="5"/>
  <c r="A235" i="5" l="1"/>
  <c r="B234" i="5"/>
  <c r="D234" i="5"/>
  <c r="F120" i="5"/>
  <c r="G120" i="5" s="1"/>
  <c r="I120" i="5" s="1"/>
  <c r="C121" i="5" s="1"/>
  <c r="D235" i="5" l="1"/>
  <c r="A236" i="5"/>
  <c r="B235" i="5"/>
  <c r="H121" i="5"/>
  <c r="J121" i="5" s="1"/>
  <c r="E121" i="5"/>
  <c r="A237" i="5" l="1"/>
  <c r="D236" i="5"/>
  <c r="B236" i="5"/>
  <c r="F121" i="5"/>
  <c r="G121" i="5" s="1"/>
  <c r="I121" i="5" s="1"/>
  <c r="C122" i="5" s="1"/>
  <c r="E122" i="5" l="1"/>
  <c r="H122" i="5"/>
  <c r="J122" i="5" s="1"/>
  <c r="A238" i="5"/>
  <c r="B237" i="5"/>
  <c r="D237" i="5"/>
  <c r="A239" i="5" l="1"/>
  <c r="D238" i="5"/>
  <c r="B238" i="5"/>
  <c r="F122" i="5"/>
  <c r="G122" i="5" s="1"/>
  <c r="I122" i="5" s="1"/>
  <c r="C123" i="5" s="1"/>
  <c r="H123" i="5" l="1"/>
  <c r="J123" i="5" s="1"/>
  <c r="E123" i="5"/>
  <c r="D239" i="5"/>
  <c r="A240" i="5"/>
  <c r="B239" i="5"/>
  <c r="F123" i="5" l="1"/>
  <c r="G123" i="5" s="1"/>
  <c r="I123" i="5" s="1"/>
  <c r="C124" i="5" s="1"/>
  <c r="A241" i="5"/>
  <c r="B240" i="5"/>
  <c r="D240" i="5"/>
  <c r="H124" i="5" l="1"/>
  <c r="J124" i="5" s="1"/>
  <c r="E124" i="5"/>
  <c r="A242" i="5"/>
  <c r="B241" i="5"/>
  <c r="D241" i="5"/>
  <c r="A243" i="5" l="1"/>
  <c r="D242" i="5"/>
  <c r="B242" i="5"/>
  <c r="F124" i="5"/>
  <c r="G124" i="5" s="1"/>
  <c r="I124" i="5" s="1"/>
  <c r="C125" i="5" s="1"/>
  <c r="H125" i="5" l="1"/>
  <c r="J125" i="5" s="1"/>
  <c r="E125" i="5"/>
  <c r="D243" i="5"/>
  <c r="A244" i="5"/>
  <c r="B243" i="5"/>
  <c r="A245" i="5" l="1"/>
  <c r="D244" i="5"/>
  <c r="B244" i="5"/>
  <c r="F125" i="5"/>
  <c r="G125" i="5" s="1"/>
  <c r="I125" i="5" s="1"/>
  <c r="C126" i="5" s="1"/>
  <c r="E126" i="5" l="1"/>
  <c r="H126" i="5"/>
  <c r="J126" i="5" s="1"/>
  <c r="A246" i="5"/>
  <c r="D245" i="5"/>
  <c r="B245" i="5"/>
  <c r="F126" i="5" l="1"/>
  <c r="G126" i="5" s="1"/>
  <c r="I126" i="5" s="1"/>
  <c r="C127" i="5" s="1"/>
  <c r="D246" i="5"/>
  <c r="A247" i="5"/>
  <c r="B246" i="5"/>
  <c r="H127" i="5" l="1"/>
  <c r="J127" i="5" s="1"/>
  <c r="E127" i="5"/>
  <c r="A248" i="5"/>
  <c r="B247" i="5"/>
  <c r="D247" i="5"/>
  <c r="A249" i="5" l="1"/>
  <c r="D248" i="5"/>
  <c r="B248" i="5"/>
  <c r="F127" i="5"/>
  <c r="G127" i="5" s="1"/>
  <c r="I127" i="5" s="1"/>
  <c r="C128" i="5" s="1"/>
  <c r="E128" i="5" l="1"/>
  <c r="H128" i="5"/>
  <c r="J128" i="5" s="1"/>
  <c r="A250" i="5"/>
  <c r="B249" i="5"/>
  <c r="D249" i="5"/>
  <c r="D250" i="5" l="1"/>
  <c r="A251" i="5"/>
  <c r="B250" i="5"/>
  <c r="F128" i="5"/>
  <c r="G128" i="5" s="1"/>
  <c r="I128" i="5" s="1"/>
  <c r="C129" i="5" s="1"/>
  <c r="H129" i="5" l="1"/>
  <c r="J129" i="5" s="1"/>
  <c r="E129" i="5"/>
  <c r="A252" i="5"/>
  <c r="B251" i="5"/>
  <c r="D251" i="5"/>
  <c r="D252" i="5" l="1"/>
  <c r="A253" i="5"/>
  <c r="B252" i="5"/>
  <c r="F129" i="5"/>
  <c r="G129" i="5" s="1"/>
  <c r="I129" i="5" s="1"/>
  <c r="C130" i="5" s="1"/>
  <c r="E130" i="5" l="1"/>
  <c r="H130" i="5"/>
  <c r="J130" i="5" s="1"/>
  <c r="A254" i="5"/>
  <c r="B253" i="5"/>
  <c r="D253" i="5"/>
  <c r="D254" i="5" l="1"/>
  <c r="A255" i="5"/>
  <c r="B254" i="5"/>
  <c r="F130" i="5"/>
  <c r="G130" i="5" s="1"/>
  <c r="I130" i="5" s="1"/>
  <c r="C131" i="5" s="1"/>
  <c r="H131" i="5" l="1"/>
  <c r="J131" i="5" s="1"/>
  <c r="E131" i="5"/>
  <c r="A256" i="5"/>
  <c r="B255" i="5"/>
  <c r="D255" i="5"/>
  <c r="A257" i="5" l="1"/>
  <c r="D256" i="5"/>
  <c r="B256" i="5"/>
  <c r="F131" i="5"/>
  <c r="G131" i="5" s="1"/>
  <c r="I131" i="5" s="1"/>
  <c r="C132" i="5" s="1"/>
  <c r="H132" i="5" l="1"/>
  <c r="J132" i="5" s="1"/>
  <c r="E132" i="5"/>
  <c r="A258" i="5"/>
  <c r="D257" i="5"/>
  <c r="B257" i="5"/>
  <c r="D258" i="5" l="1"/>
  <c r="A259" i="5"/>
  <c r="B258" i="5"/>
  <c r="F132" i="5"/>
  <c r="G132" i="5" s="1"/>
  <c r="I132" i="5" s="1"/>
  <c r="C133" i="5" s="1"/>
  <c r="H133" i="5" l="1"/>
  <c r="J133" i="5" s="1"/>
  <c r="E133" i="5"/>
  <c r="A260" i="5"/>
  <c r="D259" i="5"/>
  <c r="B259" i="5"/>
  <c r="A261" i="5" l="1"/>
  <c r="D260" i="5"/>
  <c r="B260" i="5"/>
  <c r="F133" i="5"/>
  <c r="G133" i="5" s="1"/>
  <c r="I133" i="5" s="1"/>
  <c r="C134" i="5" s="1"/>
  <c r="E134" i="5" l="1"/>
  <c r="H134" i="5"/>
  <c r="J134" i="5" s="1"/>
  <c r="A262" i="5"/>
  <c r="B261" i="5"/>
  <c r="D261" i="5"/>
  <c r="D262" i="5" l="1"/>
  <c r="A263" i="5"/>
  <c r="B262" i="5"/>
  <c r="F134" i="5"/>
  <c r="G134" i="5" s="1"/>
  <c r="I134" i="5" s="1"/>
  <c r="C135" i="5" s="1"/>
  <c r="E135" i="5" l="1"/>
  <c r="H135" i="5"/>
  <c r="J135" i="5" s="1"/>
  <c r="A264" i="5"/>
  <c r="B263" i="5"/>
  <c r="D263" i="5"/>
  <c r="A265" i="5" l="1"/>
  <c r="D264" i="5"/>
  <c r="B264" i="5"/>
  <c r="F135" i="5"/>
  <c r="G135" i="5" s="1"/>
  <c r="I135" i="5" s="1"/>
  <c r="C136" i="5" s="1"/>
  <c r="E136" i="5" l="1"/>
  <c r="H136" i="5"/>
  <c r="J136" i="5" s="1"/>
  <c r="B265" i="5"/>
  <c r="A266" i="5"/>
  <c r="D265" i="5"/>
  <c r="A267" i="5" l="1"/>
  <c r="D266" i="5"/>
  <c r="B266" i="5"/>
  <c r="F136" i="5"/>
  <c r="G136" i="5" s="1"/>
  <c r="I136" i="5" s="1"/>
  <c r="C137" i="5" s="1"/>
  <c r="B267" i="5" l="1"/>
  <c r="A268" i="5"/>
  <c r="D267" i="5"/>
  <c r="H137" i="5"/>
  <c r="J137" i="5" s="1"/>
  <c r="E137" i="5"/>
  <c r="A269" i="5" l="1"/>
  <c r="D268" i="5"/>
  <c r="B268" i="5"/>
  <c r="F137" i="5"/>
  <c r="G137" i="5" s="1"/>
  <c r="I137" i="5" s="1"/>
  <c r="C138" i="5" s="1"/>
  <c r="H138" i="5" l="1"/>
  <c r="J138" i="5" s="1"/>
  <c r="E138" i="5"/>
  <c r="B269" i="5"/>
  <c r="A270" i="5"/>
  <c r="D269" i="5"/>
  <c r="F138" i="5" l="1"/>
  <c r="G138" i="5" s="1"/>
  <c r="I138" i="5" s="1"/>
  <c r="C139" i="5" s="1"/>
  <c r="A271" i="5"/>
  <c r="D270" i="5"/>
  <c r="B270" i="5"/>
  <c r="H139" i="5" l="1"/>
  <c r="J139" i="5" s="1"/>
  <c r="E139" i="5"/>
  <c r="A272" i="5"/>
  <c r="D271" i="5"/>
  <c r="B271" i="5"/>
  <c r="I139" i="5" l="1"/>
  <c r="C140" i="5" s="1"/>
  <c r="F139" i="5"/>
  <c r="G139" i="5" s="1"/>
  <c r="A273" i="5"/>
  <c r="B272" i="5"/>
  <c r="D272" i="5"/>
  <c r="B273" i="5" l="1"/>
  <c r="A274" i="5"/>
  <c r="D273" i="5"/>
  <c r="E140" i="5"/>
  <c r="H140" i="5"/>
  <c r="J140" i="5" s="1"/>
  <c r="D274" i="5" l="1"/>
  <c r="A275" i="5"/>
  <c r="B274" i="5"/>
  <c r="F140" i="5"/>
  <c r="G140" i="5" s="1"/>
  <c r="I140" i="5"/>
  <c r="C141" i="5" s="1"/>
  <c r="H141" i="5" l="1"/>
  <c r="J141" i="5" s="1"/>
  <c r="E141" i="5"/>
  <c r="A276" i="5"/>
  <c r="D275" i="5"/>
  <c r="B275" i="5"/>
  <c r="D276" i="5" l="1"/>
  <c r="A277" i="5"/>
  <c r="B276" i="5"/>
  <c r="F141" i="5"/>
  <c r="G141" i="5" s="1"/>
  <c r="I141" i="5" s="1"/>
  <c r="C142" i="5" s="1"/>
  <c r="H142" i="5" l="1"/>
  <c r="J142" i="5" s="1"/>
  <c r="E142" i="5"/>
  <c r="A278" i="5"/>
  <c r="B277" i="5"/>
  <c r="D277" i="5"/>
  <c r="D278" i="5" l="1"/>
  <c r="A279" i="5"/>
  <c r="B278" i="5"/>
  <c r="F142" i="5"/>
  <c r="G142" i="5" s="1"/>
  <c r="I142" i="5" s="1"/>
  <c r="C143" i="5" s="1"/>
  <c r="E143" i="5" l="1"/>
  <c r="H143" i="5"/>
  <c r="J143" i="5" s="1"/>
  <c r="A280" i="5"/>
  <c r="B279" i="5"/>
  <c r="D279" i="5"/>
  <c r="F143" i="5" l="1"/>
  <c r="G143" i="5" s="1"/>
  <c r="I143" i="5" s="1"/>
  <c r="C144" i="5" s="1"/>
  <c r="A281" i="5"/>
  <c r="D280" i="5"/>
  <c r="B280" i="5"/>
  <c r="H144" i="5" l="1"/>
  <c r="J144" i="5" s="1"/>
  <c r="E144" i="5"/>
  <c r="A282" i="5"/>
  <c r="D281" i="5"/>
  <c r="B281" i="5"/>
  <c r="D282" i="5" l="1"/>
  <c r="A283" i="5"/>
  <c r="B282" i="5"/>
  <c r="F144" i="5"/>
  <c r="G144" i="5" s="1"/>
  <c r="I144" i="5"/>
  <c r="C145" i="5" s="1"/>
  <c r="A284" i="5" l="1"/>
  <c r="D283" i="5"/>
  <c r="B283" i="5"/>
  <c r="H145" i="5"/>
  <c r="J145" i="5" s="1"/>
  <c r="E145" i="5"/>
  <c r="A285" i="5" l="1"/>
  <c r="D284" i="5"/>
  <c r="B284" i="5"/>
  <c r="F145" i="5"/>
  <c r="G145" i="5" s="1"/>
  <c r="I145" i="5"/>
  <c r="C146" i="5" s="1"/>
  <c r="A286" i="5" l="1"/>
  <c r="B285" i="5"/>
  <c r="D285" i="5"/>
  <c r="H146" i="5"/>
  <c r="J146" i="5" s="1"/>
  <c r="E146" i="5"/>
  <c r="F146" i="5" l="1"/>
  <c r="G146" i="5" s="1"/>
  <c r="I146" i="5"/>
  <c r="C147" i="5" s="1"/>
  <c r="D286" i="5"/>
  <c r="A287" i="5"/>
  <c r="B286" i="5"/>
  <c r="B287" i="5" l="1"/>
  <c r="A288" i="5"/>
  <c r="D287" i="5"/>
  <c r="H147" i="5"/>
  <c r="J147" i="5" s="1"/>
  <c r="E147" i="5"/>
  <c r="F147" i="5" l="1"/>
  <c r="G147" i="5" s="1"/>
  <c r="I147" i="5" s="1"/>
  <c r="C148" i="5" s="1"/>
  <c r="A289" i="5"/>
  <c r="B288" i="5"/>
  <c r="D288" i="5"/>
  <c r="E148" i="5" l="1"/>
  <c r="H148" i="5"/>
  <c r="J148" i="5" s="1"/>
  <c r="B289" i="5"/>
  <c r="A290" i="5"/>
  <c r="D289" i="5"/>
  <c r="F148" i="5" l="1"/>
  <c r="G148" i="5" s="1"/>
  <c r="I148" i="5" s="1"/>
  <c r="C149" i="5" s="1"/>
  <c r="D290" i="5"/>
  <c r="A291" i="5"/>
  <c r="B290" i="5"/>
  <c r="H149" i="5" l="1"/>
  <c r="J149" i="5" s="1"/>
  <c r="E149" i="5"/>
  <c r="B291" i="5"/>
  <c r="A292" i="5"/>
  <c r="D291" i="5"/>
  <c r="A293" i="5" l="1"/>
  <c r="D292" i="5"/>
  <c r="B292" i="5"/>
  <c r="F149" i="5"/>
  <c r="G149" i="5" s="1"/>
  <c r="I149" i="5"/>
  <c r="C150" i="5" s="1"/>
  <c r="H150" i="5" l="1"/>
  <c r="J150" i="5" s="1"/>
  <c r="E150" i="5"/>
  <c r="B293" i="5"/>
  <c r="A294" i="5"/>
  <c r="D293" i="5"/>
  <c r="D294" i="5" l="1"/>
  <c r="A295" i="5"/>
  <c r="B294" i="5"/>
  <c r="F150" i="5"/>
  <c r="G150" i="5" s="1"/>
  <c r="I150" i="5" s="1"/>
  <c r="C151" i="5" s="1"/>
  <c r="H151" i="5" l="1"/>
  <c r="J151" i="5" s="1"/>
  <c r="E151" i="5"/>
  <c r="B295" i="5"/>
  <c r="A296" i="5"/>
  <c r="D295" i="5"/>
  <c r="F151" i="5" l="1"/>
  <c r="G151" i="5" s="1"/>
  <c r="I151" i="5" s="1"/>
  <c r="C152" i="5" s="1"/>
  <c r="A297" i="5"/>
  <c r="D296" i="5"/>
  <c r="B296" i="5"/>
  <c r="H152" i="5" l="1"/>
  <c r="J152" i="5" s="1"/>
  <c r="E152" i="5"/>
  <c r="B297" i="5"/>
  <c r="A298" i="5"/>
  <c r="D297" i="5"/>
  <c r="I152" i="5" l="1"/>
  <c r="C153" i="5" s="1"/>
  <c r="F152" i="5"/>
  <c r="G152" i="5" s="1"/>
  <c r="A299" i="5"/>
  <c r="D298" i="5"/>
  <c r="B298" i="5"/>
  <c r="A300" i="5" l="1"/>
  <c r="B299" i="5"/>
  <c r="D299" i="5"/>
  <c r="H153" i="5"/>
  <c r="J153" i="5" s="1"/>
  <c r="E153" i="5"/>
  <c r="F153" i="5" l="1"/>
  <c r="G153" i="5" s="1"/>
  <c r="I153" i="5" s="1"/>
  <c r="C154" i="5" s="1"/>
  <c r="A301" i="5"/>
  <c r="D300" i="5"/>
  <c r="B300" i="5"/>
  <c r="H154" i="5" l="1"/>
  <c r="J154" i="5" s="1"/>
  <c r="E154" i="5"/>
  <c r="A302" i="5"/>
  <c r="B301" i="5"/>
  <c r="D301" i="5"/>
  <c r="A303" i="5" l="1"/>
  <c r="D302" i="5"/>
  <c r="B302" i="5"/>
  <c r="F154" i="5"/>
  <c r="G154" i="5" s="1"/>
  <c r="I154" i="5" s="1"/>
  <c r="C155" i="5" s="1"/>
  <c r="H155" i="5" l="1"/>
  <c r="J155" i="5" s="1"/>
  <c r="E155" i="5"/>
  <c r="A304" i="5"/>
  <c r="D303" i="5"/>
  <c r="B303" i="5"/>
  <c r="F155" i="5" l="1"/>
  <c r="G155" i="5" s="1"/>
  <c r="I155" i="5" s="1"/>
  <c r="C156" i="5" s="1"/>
  <c r="A305" i="5"/>
  <c r="D304" i="5"/>
  <c r="B304" i="5"/>
  <c r="H156" i="5" l="1"/>
  <c r="J156" i="5" s="1"/>
  <c r="E156" i="5"/>
  <c r="D305" i="5"/>
  <c r="A306" i="5"/>
  <c r="B305" i="5"/>
  <c r="D306" i="5" l="1"/>
  <c r="A307" i="5"/>
  <c r="B306" i="5"/>
  <c r="F156" i="5"/>
  <c r="G156" i="5" s="1"/>
  <c r="I156" i="5" s="1"/>
  <c r="C157" i="5" s="1"/>
  <c r="H157" i="5" l="1"/>
  <c r="J157" i="5" s="1"/>
  <c r="E157" i="5"/>
  <c r="B307" i="5"/>
  <c r="A308" i="5"/>
  <c r="D307" i="5"/>
  <c r="D308" i="5" l="1"/>
  <c r="A309" i="5"/>
  <c r="B308" i="5"/>
  <c r="F157" i="5"/>
  <c r="G157" i="5" s="1"/>
  <c r="I157" i="5"/>
  <c r="C158" i="5" s="1"/>
  <c r="A310" i="5" l="1"/>
  <c r="B309" i="5"/>
  <c r="D309" i="5"/>
  <c r="E158" i="5"/>
  <c r="H158" i="5"/>
  <c r="J158" i="5" s="1"/>
  <c r="A311" i="5" l="1"/>
  <c r="D310" i="5"/>
  <c r="B310" i="5"/>
  <c r="F158" i="5"/>
  <c r="G158" i="5" s="1"/>
  <c r="I158" i="5" s="1"/>
  <c r="C159" i="5" s="1"/>
  <c r="H159" i="5" l="1"/>
  <c r="J159" i="5" s="1"/>
  <c r="E159" i="5"/>
  <c r="A312" i="5"/>
  <c r="B311" i="5"/>
  <c r="D311" i="5"/>
  <c r="A313" i="5" l="1"/>
  <c r="D312" i="5"/>
  <c r="B312" i="5"/>
  <c r="F159" i="5"/>
  <c r="G159" i="5" s="1"/>
  <c r="I159" i="5" s="1"/>
  <c r="C160" i="5" s="1"/>
  <c r="E160" i="5" l="1"/>
  <c r="H160" i="5"/>
  <c r="J160" i="5" s="1"/>
  <c r="A314" i="5"/>
  <c r="D313" i="5"/>
  <c r="B313" i="5"/>
  <c r="D314" i="5" l="1"/>
  <c r="A315" i="5"/>
  <c r="B314" i="5"/>
  <c r="F160" i="5"/>
  <c r="G160" i="5" s="1"/>
  <c r="I160" i="5" s="1"/>
  <c r="C161" i="5" s="1"/>
  <c r="H161" i="5" l="1"/>
  <c r="J161" i="5" s="1"/>
  <c r="E161" i="5"/>
  <c r="A316" i="5"/>
  <c r="D315" i="5"/>
  <c r="B315" i="5"/>
  <c r="D316" i="5" l="1"/>
  <c r="A317" i="5"/>
  <c r="B316" i="5"/>
  <c r="F161" i="5"/>
  <c r="G161" i="5" s="1"/>
  <c r="I161" i="5" s="1"/>
  <c r="C162" i="5" s="1"/>
  <c r="H162" i="5" l="1"/>
  <c r="J162" i="5" s="1"/>
  <c r="E162" i="5"/>
  <c r="A318" i="5"/>
  <c r="B317" i="5"/>
  <c r="D317" i="5"/>
  <c r="D318" i="5" l="1"/>
  <c r="A319" i="5"/>
  <c r="B318" i="5"/>
  <c r="F162" i="5"/>
  <c r="G162" i="5" s="1"/>
  <c r="I162" i="5"/>
  <c r="C163" i="5" s="1"/>
  <c r="B319" i="5" l="1"/>
  <c r="A320" i="5"/>
  <c r="D319" i="5"/>
  <c r="H163" i="5"/>
  <c r="J163" i="5" s="1"/>
  <c r="E163" i="5"/>
  <c r="F163" i="5" l="1"/>
  <c r="G163" i="5" s="1"/>
  <c r="I163" i="5" s="1"/>
  <c r="C164" i="5" s="1"/>
  <c r="A321" i="5"/>
  <c r="D320" i="5"/>
  <c r="B320" i="5"/>
  <c r="H164" i="5" l="1"/>
  <c r="J164" i="5" s="1"/>
  <c r="E164" i="5"/>
  <c r="A322" i="5"/>
  <c r="D321" i="5"/>
  <c r="B321" i="5"/>
  <c r="A323" i="5" l="1"/>
  <c r="D322" i="5"/>
  <c r="B322" i="5"/>
  <c r="F164" i="5"/>
  <c r="G164" i="5" s="1"/>
  <c r="I164" i="5" s="1"/>
  <c r="C165" i="5" s="1"/>
  <c r="H165" i="5" l="1"/>
  <c r="J165" i="5" s="1"/>
  <c r="E165" i="5"/>
  <c r="A324" i="5"/>
  <c r="B323" i="5"/>
  <c r="D323" i="5"/>
  <c r="A325" i="5" l="1"/>
  <c r="B324" i="5"/>
  <c r="D324" i="5"/>
  <c r="F165" i="5"/>
  <c r="G165" i="5" s="1"/>
  <c r="I165" i="5"/>
  <c r="C166" i="5" s="1"/>
  <c r="H166" i="5" l="1"/>
  <c r="J166" i="5" s="1"/>
  <c r="E166" i="5"/>
  <c r="B325" i="5"/>
  <c r="D325" i="5"/>
  <c r="A326" i="5"/>
  <c r="F166" i="5" l="1"/>
  <c r="G166" i="5" s="1"/>
  <c r="I166" i="5"/>
  <c r="C167" i="5" s="1"/>
  <c r="A327" i="5"/>
  <c r="B326" i="5"/>
  <c r="D326" i="5"/>
  <c r="D327" i="5" l="1"/>
  <c r="A328" i="5"/>
  <c r="B327" i="5"/>
  <c r="H167" i="5"/>
  <c r="J167" i="5" s="1"/>
  <c r="E167" i="5"/>
  <c r="A329" i="5" l="1"/>
  <c r="B328" i="5"/>
  <c r="D328" i="5"/>
  <c r="F167" i="5"/>
  <c r="G167" i="5" s="1"/>
  <c r="I167" i="5"/>
  <c r="C168" i="5" s="1"/>
  <c r="E168" i="5" l="1"/>
  <c r="H168" i="5"/>
  <c r="J168" i="5" s="1"/>
  <c r="A330" i="5"/>
  <c r="D329" i="5"/>
  <c r="B329" i="5"/>
  <c r="F168" i="5" l="1"/>
  <c r="G168" i="5" s="1"/>
  <c r="I168" i="5" s="1"/>
  <c r="C169" i="5" s="1"/>
  <c r="A331" i="5"/>
  <c r="B330" i="5"/>
  <c r="D330" i="5"/>
  <c r="H169" i="5" l="1"/>
  <c r="J169" i="5" s="1"/>
  <c r="E169" i="5"/>
  <c r="D331" i="5"/>
  <c r="A332" i="5"/>
  <c r="B331" i="5"/>
  <c r="F169" i="5" l="1"/>
  <c r="G169" i="5" s="1"/>
  <c r="I169" i="5" s="1"/>
  <c r="C170" i="5" s="1"/>
  <c r="B332" i="5"/>
  <c r="A333" i="5"/>
  <c r="D332" i="5"/>
  <c r="H170" i="5" l="1"/>
  <c r="J170" i="5" s="1"/>
  <c r="E170" i="5"/>
  <c r="D333" i="5"/>
  <c r="A334" i="5"/>
  <c r="B333" i="5"/>
  <c r="A335" i="5" l="1"/>
  <c r="B334" i="5"/>
  <c r="D334" i="5"/>
  <c r="F170" i="5"/>
  <c r="G170" i="5" s="1"/>
  <c r="I170" i="5"/>
  <c r="C171" i="5" s="1"/>
  <c r="H171" i="5" l="1"/>
  <c r="J171" i="5" s="1"/>
  <c r="E171" i="5"/>
  <c r="D335" i="5"/>
  <c r="A336" i="5"/>
  <c r="B335" i="5"/>
  <c r="F171" i="5" l="1"/>
  <c r="G171" i="5" s="1"/>
  <c r="I171" i="5"/>
  <c r="C172" i="5" s="1"/>
  <c r="B336" i="5"/>
  <c r="D336" i="5"/>
  <c r="A337" i="5"/>
  <c r="E172" i="5" l="1"/>
  <c r="H172" i="5"/>
  <c r="J172" i="5" s="1"/>
  <c r="B337" i="5"/>
  <c r="A338" i="5"/>
  <c r="D337" i="5"/>
  <c r="A339" i="5" l="1"/>
  <c r="B338" i="5"/>
  <c r="D338" i="5"/>
  <c r="F172" i="5"/>
  <c r="G172" i="5" s="1"/>
  <c r="I172" i="5" s="1"/>
  <c r="C173" i="5" s="1"/>
  <c r="H173" i="5" l="1"/>
  <c r="J173" i="5" s="1"/>
  <c r="E173" i="5"/>
  <c r="A340" i="5"/>
  <c r="B339" i="5"/>
  <c r="D339" i="5"/>
  <c r="A341" i="5" l="1"/>
  <c r="B340" i="5"/>
  <c r="D340" i="5"/>
  <c r="F173" i="5"/>
  <c r="G173" i="5" s="1"/>
  <c r="I173" i="5" s="1"/>
  <c r="C174" i="5" s="1"/>
  <c r="E174" i="5" l="1"/>
  <c r="H174" i="5"/>
  <c r="J174" i="5" s="1"/>
  <c r="A342" i="5"/>
  <c r="D341" i="5"/>
  <c r="B341" i="5"/>
  <c r="A343" i="5" l="1"/>
  <c r="B342" i="5"/>
  <c r="D342" i="5"/>
  <c r="F174" i="5"/>
  <c r="G174" i="5" s="1"/>
  <c r="I174" i="5" s="1"/>
  <c r="C175" i="5" s="1"/>
  <c r="H175" i="5" l="1"/>
  <c r="J175" i="5" s="1"/>
  <c r="E175" i="5"/>
  <c r="D343" i="5"/>
  <c r="A344" i="5"/>
  <c r="B343" i="5"/>
  <c r="B344" i="5" l="1"/>
  <c r="A345" i="5"/>
  <c r="D344" i="5"/>
  <c r="F175" i="5"/>
  <c r="G175" i="5" s="1"/>
  <c r="I175" i="5"/>
  <c r="C176" i="5" s="1"/>
  <c r="E176" i="5" l="1"/>
  <c r="H176" i="5"/>
  <c r="J176" i="5" s="1"/>
  <c r="A346" i="5"/>
  <c r="D345" i="5"/>
  <c r="B345" i="5"/>
  <c r="A347" i="5" l="1"/>
  <c r="B346" i="5"/>
  <c r="D346" i="5"/>
  <c r="F176" i="5"/>
  <c r="G176" i="5" s="1"/>
  <c r="I176" i="5"/>
  <c r="C177" i="5" s="1"/>
  <c r="H177" i="5" l="1"/>
  <c r="J177" i="5" s="1"/>
  <c r="E177" i="5"/>
  <c r="A348" i="5"/>
  <c r="D347" i="5"/>
  <c r="B347" i="5"/>
  <c r="D348" i="5" l="1"/>
  <c r="A349" i="5"/>
  <c r="B348" i="5"/>
  <c r="F177" i="5"/>
  <c r="G177" i="5" s="1"/>
  <c r="I177" i="5" s="1"/>
  <c r="C178" i="5" s="1"/>
  <c r="H178" i="5" l="1"/>
  <c r="J178" i="5" s="1"/>
  <c r="E178" i="5"/>
  <c r="A350" i="5"/>
  <c r="B349" i="5"/>
  <c r="D349" i="5"/>
  <c r="A351" i="5" l="1"/>
  <c r="B350" i="5"/>
  <c r="D350" i="5"/>
  <c r="F178" i="5"/>
  <c r="G178" i="5" s="1"/>
  <c r="I178" i="5"/>
  <c r="C179" i="5" s="1"/>
  <c r="H179" i="5" l="1"/>
  <c r="J179" i="5" s="1"/>
  <c r="E179" i="5"/>
  <c r="D351" i="5"/>
  <c r="A352" i="5"/>
  <c r="B351" i="5"/>
  <c r="A353" i="5" l="1"/>
  <c r="B352" i="5"/>
  <c r="D352" i="5"/>
  <c r="F179" i="5"/>
  <c r="G179" i="5" s="1"/>
  <c r="I179" i="5"/>
  <c r="C180" i="5" s="1"/>
  <c r="H180" i="5" l="1"/>
  <c r="J180" i="5" s="1"/>
  <c r="E180" i="5"/>
  <c r="B353" i="5"/>
  <c r="A354" i="5"/>
  <c r="D353" i="5"/>
  <c r="F180" i="5" l="1"/>
  <c r="G180" i="5" s="1"/>
  <c r="I180" i="5" s="1"/>
  <c r="C181" i="5" s="1"/>
  <c r="A355" i="5"/>
  <c r="B354" i="5"/>
  <c r="D354" i="5"/>
  <c r="H181" i="5" l="1"/>
  <c r="J181" i="5" s="1"/>
  <c r="E181" i="5"/>
  <c r="A356" i="5"/>
  <c r="B355" i="5"/>
  <c r="D355" i="5"/>
  <c r="D356" i="5" l="1"/>
  <c r="A357" i="5"/>
  <c r="B356" i="5"/>
  <c r="F181" i="5"/>
  <c r="G181" i="5" s="1"/>
  <c r="I181" i="5"/>
  <c r="C182" i="5" s="1"/>
  <c r="A358" i="5" l="1"/>
  <c r="B357" i="5"/>
  <c r="D357" i="5"/>
  <c r="E182" i="5"/>
  <c r="H182" i="5"/>
  <c r="J182" i="5" s="1"/>
  <c r="F182" i="5" l="1"/>
  <c r="G182" i="5" s="1"/>
  <c r="I182" i="5" s="1"/>
  <c r="C183" i="5" s="1"/>
  <c r="A359" i="5"/>
  <c r="D358" i="5"/>
  <c r="B358" i="5"/>
  <c r="H183" i="5" l="1"/>
  <c r="J183" i="5" s="1"/>
  <c r="E183" i="5"/>
  <c r="A360" i="5"/>
  <c r="B359" i="5"/>
  <c r="D359" i="5"/>
  <c r="A361" i="5" l="1"/>
  <c r="D360" i="5"/>
  <c r="B360" i="5"/>
  <c r="F183" i="5"/>
  <c r="G183" i="5" s="1"/>
  <c r="I183" i="5" s="1"/>
  <c r="C184" i="5" s="1"/>
  <c r="H184" i="5" l="1"/>
  <c r="J184" i="5" s="1"/>
  <c r="E184" i="5"/>
  <c r="A362" i="5"/>
  <c r="D361" i="5"/>
  <c r="B361" i="5"/>
  <c r="B362" i="5" l="1"/>
  <c r="A363" i="5"/>
  <c r="D362" i="5"/>
  <c r="I184" i="5"/>
  <c r="C185" i="5" s="1"/>
  <c r="F184" i="5"/>
  <c r="G184" i="5" s="1"/>
  <c r="H185" i="5" l="1"/>
  <c r="J185" i="5" s="1"/>
  <c r="E185" i="5"/>
  <c r="A364" i="5"/>
  <c r="D363" i="5"/>
  <c r="B363" i="5"/>
  <c r="A365" i="5" l="1"/>
  <c r="B364" i="5"/>
  <c r="D364" i="5"/>
  <c r="F185" i="5"/>
  <c r="G185" i="5" s="1"/>
  <c r="I185" i="5" s="1"/>
  <c r="C186" i="5" s="1"/>
  <c r="H186" i="5" l="1"/>
  <c r="J186" i="5" s="1"/>
  <c r="E186" i="5"/>
  <c r="A366" i="5"/>
  <c r="D365" i="5"/>
  <c r="B365" i="5"/>
  <c r="B366" i="5" l="1"/>
  <c r="A367" i="5"/>
  <c r="D366" i="5"/>
  <c r="F186" i="5"/>
  <c r="G186" i="5" s="1"/>
  <c r="I186" i="5"/>
  <c r="C187" i="5" s="1"/>
  <c r="H187" i="5" l="1"/>
  <c r="J187" i="5" s="1"/>
  <c r="E187" i="5"/>
  <c r="A368" i="5"/>
  <c r="B367" i="5"/>
  <c r="D367" i="5"/>
  <c r="A369" i="5" l="1"/>
  <c r="D368" i="5"/>
  <c r="B368" i="5"/>
  <c r="I187" i="5"/>
  <c r="C188" i="5" s="1"/>
  <c r="F187" i="5"/>
  <c r="G187" i="5" s="1"/>
  <c r="H188" i="5" l="1"/>
  <c r="J188" i="5" s="1"/>
  <c r="E188" i="5"/>
  <c r="A370" i="5"/>
  <c r="B369" i="5"/>
  <c r="D369" i="5"/>
  <c r="F188" i="5" l="1"/>
  <c r="G188" i="5" s="1"/>
  <c r="I188" i="5" s="1"/>
  <c r="C189" i="5" s="1"/>
  <c r="B370" i="5"/>
  <c r="A371" i="5"/>
  <c r="D370" i="5"/>
  <c r="H189" i="5" l="1"/>
  <c r="J189" i="5" s="1"/>
  <c r="E189" i="5"/>
  <c r="A372" i="5"/>
  <c r="B371" i="5"/>
  <c r="D371" i="5"/>
  <c r="A373" i="5" l="1"/>
  <c r="B372" i="5"/>
  <c r="D372" i="5"/>
  <c r="F189" i="5"/>
  <c r="G189" i="5" s="1"/>
  <c r="I189" i="5" s="1"/>
  <c r="C190" i="5" s="1"/>
  <c r="H190" i="5" l="1"/>
  <c r="J190" i="5" s="1"/>
  <c r="E190" i="5"/>
  <c r="A374" i="5"/>
  <c r="B373" i="5"/>
  <c r="D373" i="5"/>
  <c r="F190" i="5" l="1"/>
  <c r="G190" i="5" s="1"/>
  <c r="I190" i="5" s="1"/>
  <c r="C191" i="5" s="1"/>
  <c r="A375" i="5"/>
  <c r="D374" i="5"/>
  <c r="B374" i="5"/>
  <c r="H191" i="5" l="1"/>
  <c r="J191" i="5" s="1"/>
  <c r="E191" i="5"/>
  <c r="A376" i="5"/>
  <c r="B375" i="5"/>
  <c r="D375" i="5"/>
  <c r="A377" i="5" l="1"/>
  <c r="B376" i="5"/>
  <c r="D376" i="5"/>
  <c r="I191" i="5"/>
  <c r="C192" i="5" s="1"/>
  <c r="F191" i="5"/>
  <c r="G191" i="5" s="1"/>
  <c r="H192" i="5" l="1"/>
  <c r="J192" i="5" s="1"/>
  <c r="E192" i="5"/>
  <c r="A378" i="5"/>
  <c r="D377" i="5"/>
  <c r="B377" i="5"/>
  <c r="F192" i="5" l="1"/>
  <c r="G192" i="5" s="1"/>
  <c r="I192" i="5"/>
  <c r="C193" i="5" s="1"/>
  <c r="B378" i="5"/>
  <c r="A379" i="5"/>
  <c r="D378" i="5"/>
  <c r="A380" i="5" l="1"/>
  <c r="D379" i="5"/>
  <c r="B379" i="5"/>
  <c r="H193" i="5"/>
  <c r="J193" i="5" s="1"/>
  <c r="E193" i="5"/>
  <c r="F193" i="5" l="1"/>
  <c r="G193" i="5" s="1"/>
  <c r="I193" i="5"/>
  <c r="C194" i="5" s="1"/>
  <c r="A381" i="5"/>
  <c r="B380" i="5"/>
  <c r="D380" i="5"/>
  <c r="A382" i="5" l="1"/>
  <c r="D381" i="5"/>
  <c r="B381" i="5"/>
  <c r="H194" i="5"/>
  <c r="J194" i="5" s="1"/>
  <c r="E194" i="5"/>
  <c r="F194" i="5" l="1"/>
  <c r="G194" i="5" s="1"/>
  <c r="I194" i="5"/>
  <c r="C195" i="5" s="1"/>
  <c r="A383" i="5"/>
  <c r="B382" i="5"/>
  <c r="D382" i="5"/>
  <c r="A384" i="5" l="1"/>
  <c r="B383" i="5"/>
  <c r="D383" i="5"/>
  <c r="H195" i="5"/>
  <c r="J195" i="5" s="1"/>
  <c r="E195" i="5"/>
  <c r="F195" i="5" l="1"/>
  <c r="G195" i="5" s="1"/>
  <c r="I195" i="5" s="1"/>
  <c r="C196" i="5" s="1"/>
  <c r="A385" i="5"/>
  <c r="B384" i="5"/>
  <c r="D384" i="5"/>
  <c r="H196" i="5" l="1"/>
  <c r="J196" i="5" s="1"/>
  <c r="E196" i="5"/>
  <c r="A386" i="5"/>
  <c r="B385" i="5"/>
  <c r="D385" i="5"/>
  <c r="F196" i="5" l="1"/>
  <c r="G196" i="5" s="1"/>
  <c r="I196" i="5" s="1"/>
  <c r="C197" i="5" s="1"/>
  <c r="B386" i="5"/>
  <c r="A387" i="5"/>
  <c r="D386" i="5"/>
  <c r="H197" i="5" l="1"/>
  <c r="J197" i="5" s="1"/>
  <c r="E197" i="5"/>
  <c r="A388" i="5"/>
  <c r="B387" i="5"/>
  <c r="D387" i="5"/>
  <c r="A389" i="5" l="1"/>
  <c r="B388" i="5"/>
  <c r="D388" i="5"/>
  <c r="F197" i="5"/>
  <c r="G197" i="5" s="1"/>
  <c r="I197" i="5" s="1"/>
  <c r="C198" i="5" s="1"/>
  <c r="H198" i="5" l="1"/>
  <c r="J198" i="5" s="1"/>
  <c r="E198" i="5"/>
  <c r="A390" i="5"/>
  <c r="B389" i="5"/>
  <c r="D389" i="5"/>
  <c r="F198" i="5" l="1"/>
  <c r="G198" i="5" s="1"/>
  <c r="I198" i="5" s="1"/>
  <c r="C199" i="5" s="1"/>
  <c r="B390" i="5"/>
  <c r="A391" i="5"/>
  <c r="D390" i="5"/>
  <c r="H199" i="5" l="1"/>
  <c r="J199" i="5" s="1"/>
  <c r="E199" i="5"/>
  <c r="A392" i="5"/>
  <c r="D391" i="5"/>
  <c r="B391" i="5"/>
  <c r="F199" i="5" l="1"/>
  <c r="G199" i="5" s="1"/>
  <c r="I199" i="5"/>
  <c r="C200" i="5" s="1"/>
  <c r="B392" i="5"/>
  <c r="A393" i="5"/>
  <c r="D392" i="5"/>
  <c r="H200" i="5" l="1"/>
  <c r="J200" i="5" s="1"/>
  <c r="E200" i="5"/>
  <c r="A394" i="5"/>
  <c r="D393" i="5"/>
  <c r="B393" i="5"/>
  <c r="B394" i="5" l="1"/>
  <c r="A395" i="5"/>
  <c r="D394" i="5"/>
  <c r="I200" i="5"/>
  <c r="C201" i="5" s="1"/>
  <c r="F200" i="5"/>
  <c r="G200" i="5" s="1"/>
  <c r="A396" i="5" l="1"/>
  <c r="B395" i="5"/>
  <c r="D395" i="5"/>
  <c r="H201" i="5"/>
  <c r="J201" i="5" s="1"/>
  <c r="E201" i="5"/>
  <c r="A397" i="5" l="1"/>
  <c r="D396" i="5"/>
  <c r="B396" i="5"/>
  <c r="F201" i="5"/>
  <c r="G201" i="5" s="1"/>
  <c r="I201" i="5" s="1"/>
  <c r="C202" i="5" s="1"/>
  <c r="H202" i="5" l="1"/>
  <c r="J202" i="5" s="1"/>
  <c r="E202" i="5"/>
  <c r="A398" i="5"/>
  <c r="B397" i="5"/>
  <c r="D397" i="5"/>
  <c r="D398" i="5" l="1"/>
  <c r="A399" i="5"/>
  <c r="B398" i="5"/>
  <c r="F202" i="5"/>
  <c r="G202" i="5" s="1"/>
  <c r="I202" i="5" s="1"/>
  <c r="C203" i="5" s="1"/>
  <c r="H203" i="5" l="1"/>
  <c r="J203" i="5" s="1"/>
  <c r="E203" i="5"/>
  <c r="A400" i="5"/>
  <c r="B399" i="5"/>
  <c r="D399" i="5"/>
  <c r="A401" i="5" l="1"/>
  <c r="B400" i="5"/>
  <c r="D400" i="5"/>
  <c r="F203" i="5"/>
  <c r="G203" i="5" s="1"/>
  <c r="I203" i="5"/>
  <c r="C204" i="5" s="1"/>
  <c r="H204" i="5" l="1"/>
  <c r="J204" i="5" s="1"/>
  <c r="E204" i="5"/>
  <c r="A402" i="5"/>
  <c r="B401" i="5"/>
  <c r="D401" i="5"/>
  <c r="B402" i="5" l="1"/>
  <c r="A403" i="5"/>
  <c r="D402" i="5"/>
  <c r="F204" i="5"/>
  <c r="G204" i="5" s="1"/>
  <c r="I204" i="5" s="1"/>
  <c r="C205" i="5" s="1"/>
  <c r="H205" i="5" l="1"/>
  <c r="J205" i="5" s="1"/>
  <c r="E205" i="5"/>
  <c r="A404" i="5"/>
  <c r="D403" i="5"/>
  <c r="B403" i="5"/>
  <c r="B404" i="5" l="1"/>
  <c r="A405" i="5"/>
  <c r="D404" i="5"/>
  <c r="F205" i="5"/>
  <c r="G205" i="5" s="1"/>
  <c r="I205" i="5"/>
  <c r="C206" i="5" s="1"/>
  <c r="H206" i="5" l="1"/>
  <c r="J206" i="5" s="1"/>
  <c r="E206" i="5"/>
  <c r="A406" i="5"/>
  <c r="B405" i="5"/>
  <c r="D405" i="5"/>
  <c r="D406" i="5" l="1"/>
  <c r="A407" i="5"/>
  <c r="B406" i="5"/>
  <c r="F206" i="5"/>
  <c r="G206" i="5" s="1"/>
  <c r="I206" i="5" s="1"/>
  <c r="C207" i="5" s="1"/>
  <c r="H207" i="5" l="1"/>
  <c r="J207" i="5" s="1"/>
  <c r="E207" i="5"/>
  <c r="A408" i="5"/>
  <c r="B407" i="5"/>
  <c r="D407" i="5"/>
  <c r="A409" i="5" l="1"/>
  <c r="D408" i="5"/>
  <c r="B408" i="5"/>
  <c r="F207" i="5"/>
  <c r="G207" i="5" s="1"/>
  <c r="I207" i="5" s="1"/>
  <c r="C208" i="5" s="1"/>
  <c r="H208" i="5" l="1"/>
  <c r="J208" i="5" s="1"/>
  <c r="E208" i="5"/>
  <c r="A410" i="5"/>
  <c r="B409" i="5"/>
  <c r="D409" i="5"/>
  <c r="B410" i="5" l="1"/>
  <c r="A411" i="5"/>
  <c r="D410" i="5"/>
  <c r="F208" i="5"/>
  <c r="G208" i="5" s="1"/>
  <c r="I208" i="5" s="1"/>
  <c r="C209" i="5" s="1"/>
  <c r="H209" i="5" l="1"/>
  <c r="J209" i="5" s="1"/>
  <c r="E209" i="5"/>
  <c r="A412" i="5"/>
  <c r="B411" i="5"/>
  <c r="D411" i="5"/>
  <c r="F209" i="5" l="1"/>
  <c r="G209" i="5" s="1"/>
  <c r="I209" i="5" s="1"/>
  <c r="C210" i="5" s="1"/>
  <c r="A413" i="5"/>
  <c r="B412" i="5"/>
  <c r="D412" i="5"/>
  <c r="H210" i="5" l="1"/>
  <c r="J210" i="5" s="1"/>
  <c r="E210" i="5"/>
  <c r="A414" i="5"/>
  <c r="D413" i="5"/>
  <c r="B413" i="5"/>
  <c r="B414" i="5" l="1"/>
  <c r="A415" i="5"/>
  <c r="D414" i="5"/>
  <c r="F210" i="5"/>
  <c r="G210" i="5" s="1"/>
  <c r="I210" i="5" s="1"/>
  <c r="C211" i="5" s="1"/>
  <c r="H211" i="5" l="1"/>
  <c r="J211" i="5" s="1"/>
  <c r="E211" i="5"/>
  <c r="A416" i="5"/>
  <c r="B415" i="5"/>
  <c r="D415" i="5"/>
  <c r="F211" i="5" l="1"/>
  <c r="G211" i="5" s="1"/>
  <c r="I211" i="5"/>
  <c r="C212" i="5" s="1"/>
  <c r="B416" i="5"/>
  <c r="A417" i="5"/>
  <c r="D416" i="5"/>
  <c r="H212" i="5" l="1"/>
  <c r="J212" i="5" s="1"/>
  <c r="E212" i="5"/>
  <c r="A418" i="5"/>
  <c r="B417" i="5"/>
  <c r="D417" i="5"/>
  <c r="F212" i="5" l="1"/>
  <c r="G212" i="5" s="1"/>
  <c r="I212" i="5" s="1"/>
  <c r="C213" i="5" s="1"/>
  <c r="B418" i="5"/>
  <c r="A419" i="5"/>
  <c r="D418" i="5"/>
  <c r="H213" i="5" l="1"/>
  <c r="J213" i="5" s="1"/>
  <c r="E213" i="5"/>
  <c r="A420" i="5"/>
  <c r="D419" i="5"/>
  <c r="B419" i="5"/>
  <c r="A421" i="5" l="1"/>
  <c r="B420" i="5"/>
  <c r="D420" i="5"/>
  <c r="F213" i="5"/>
  <c r="G213" i="5" s="1"/>
  <c r="I213" i="5" s="1"/>
  <c r="C214" i="5" s="1"/>
  <c r="H214" i="5" l="1"/>
  <c r="J214" i="5" s="1"/>
  <c r="E214" i="5"/>
  <c r="A422" i="5"/>
  <c r="D421" i="5"/>
  <c r="B421" i="5"/>
  <c r="D422" i="5" l="1"/>
  <c r="A423" i="5"/>
  <c r="B422" i="5"/>
  <c r="F214" i="5"/>
  <c r="G214" i="5" s="1"/>
  <c r="I214" i="5" s="1"/>
  <c r="C215" i="5" s="1"/>
  <c r="E215" i="5" l="1"/>
  <c r="H215" i="5"/>
  <c r="J215" i="5" s="1"/>
  <c r="A424" i="5"/>
  <c r="B423" i="5"/>
  <c r="D423" i="5"/>
  <c r="A425" i="5" l="1"/>
  <c r="D424" i="5"/>
  <c r="B424" i="5"/>
  <c r="F215" i="5"/>
  <c r="G215" i="5" s="1"/>
  <c r="I215" i="5"/>
  <c r="C216" i="5" s="1"/>
  <c r="E216" i="5" l="1"/>
  <c r="H216" i="5"/>
  <c r="J216" i="5" s="1"/>
  <c r="A426" i="5"/>
  <c r="B425" i="5"/>
  <c r="D425" i="5"/>
  <c r="B426" i="5" l="1"/>
  <c r="A427" i="5"/>
  <c r="D426" i="5"/>
  <c r="F216" i="5"/>
  <c r="G216" i="5" s="1"/>
  <c r="I216" i="5" s="1"/>
  <c r="C217" i="5" s="1"/>
  <c r="E217" i="5" l="1"/>
  <c r="H217" i="5"/>
  <c r="J217" i="5" s="1"/>
  <c r="A428" i="5"/>
  <c r="D427" i="5"/>
  <c r="B427" i="5"/>
  <c r="A429" i="5" l="1"/>
  <c r="D428" i="5"/>
  <c r="B428" i="5"/>
  <c r="F217" i="5"/>
  <c r="G217" i="5" s="1"/>
  <c r="I217" i="5"/>
  <c r="C218" i="5" s="1"/>
  <c r="E218" i="5" l="1"/>
  <c r="H218" i="5"/>
  <c r="J218" i="5" s="1"/>
  <c r="A430" i="5"/>
  <c r="D429" i="5"/>
  <c r="B429" i="5"/>
  <c r="A431" i="5" l="1"/>
  <c r="B430" i="5"/>
  <c r="D430" i="5"/>
  <c r="F218" i="5"/>
  <c r="G218" i="5" s="1"/>
  <c r="I218" i="5" s="1"/>
  <c r="C219" i="5" s="1"/>
  <c r="E219" i="5" l="1"/>
  <c r="H219" i="5"/>
  <c r="J219" i="5" s="1"/>
  <c r="A432" i="5"/>
  <c r="B431" i="5"/>
  <c r="D431" i="5"/>
  <c r="A433" i="5" l="1"/>
  <c r="D432" i="5"/>
  <c r="B432" i="5"/>
  <c r="F219" i="5"/>
  <c r="G219" i="5" s="1"/>
  <c r="I219" i="5" s="1"/>
  <c r="C220" i="5" s="1"/>
  <c r="H220" i="5" l="1"/>
  <c r="J220" i="5" s="1"/>
  <c r="E220" i="5"/>
  <c r="A434" i="5"/>
  <c r="B433" i="5"/>
  <c r="D433" i="5"/>
  <c r="B434" i="5" l="1"/>
  <c r="A435" i="5"/>
  <c r="D434" i="5"/>
  <c r="F220" i="5"/>
  <c r="G220" i="5" s="1"/>
  <c r="I220" i="5"/>
  <c r="C221" i="5" s="1"/>
  <c r="A436" i="5" l="1"/>
  <c r="D435" i="5"/>
  <c r="B435" i="5"/>
  <c r="H221" i="5"/>
  <c r="J221" i="5" s="1"/>
  <c r="E221" i="5"/>
  <c r="F221" i="5" l="1"/>
  <c r="G221" i="5" s="1"/>
  <c r="I221" i="5" s="1"/>
  <c r="C222" i="5" s="1"/>
  <c r="A437" i="5"/>
  <c r="D436" i="5"/>
  <c r="B436" i="5"/>
  <c r="H222" i="5" l="1"/>
  <c r="J222" i="5" s="1"/>
  <c r="E222" i="5"/>
  <c r="A438" i="5"/>
  <c r="B437" i="5"/>
  <c r="D437" i="5"/>
  <c r="B438" i="5" l="1"/>
  <c r="A439" i="5"/>
  <c r="D438" i="5"/>
  <c r="F222" i="5"/>
  <c r="G222" i="5" s="1"/>
  <c r="I222" i="5" s="1"/>
  <c r="C223" i="5" s="1"/>
  <c r="H223" i="5" l="1"/>
  <c r="J223" i="5" s="1"/>
  <c r="E223" i="5"/>
  <c r="A440" i="5"/>
  <c r="B439" i="5"/>
  <c r="D439" i="5"/>
  <c r="B440" i="5" l="1"/>
  <c r="A441" i="5"/>
  <c r="D440" i="5"/>
  <c r="F223" i="5"/>
  <c r="G223" i="5" s="1"/>
  <c r="I223" i="5"/>
  <c r="C224" i="5" s="1"/>
  <c r="H224" i="5" l="1"/>
  <c r="J224" i="5" s="1"/>
  <c r="E224" i="5"/>
  <c r="A442" i="5"/>
  <c r="B441" i="5"/>
  <c r="D441" i="5"/>
  <c r="B442" i="5" l="1"/>
  <c r="A443" i="5"/>
  <c r="D442" i="5"/>
  <c r="I224" i="5"/>
  <c r="C225" i="5" s="1"/>
  <c r="F224" i="5"/>
  <c r="G224" i="5" s="1"/>
  <c r="H225" i="5" l="1"/>
  <c r="J225" i="5" s="1"/>
  <c r="E225" i="5"/>
  <c r="A444" i="5"/>
  <c r="D443" i="5"/>
  <c r="B443" i="5"/>
  <c r="A445" i="5" l="1"/>
  <c r="B444" i="5"/>
  <c r="D444" i="5"/>
  <c r="F225" i="5"/>
  <c r="G225" i="5" s="1"/>
  <c r="I225" i="5" s="1"/>
  <c r="C226" i="5" s="1"/>
  <c r="H226" i="5" l="1"/>
  <c r="J226" i="5" s="1"/>
  <c r="E226" i="5"/>
  <c r="A446" i="5"/>
  <c r="B445" i="5"/>
  <c r="D445" i="5"/>
  <c r="B446" i="5" l="1"/>
  <c r="A447" i="5"/>
  <c r="D446" i="5"/>
  <c r="F226" i="5"/>
  <c r="G226" i="5" s="1"/>
  <c r="I226" i="5" s="1"/>
  <c r="C227" i="5" s="1"/>
  <c r="H227" i="5" l="1"/>
  <c r="J227" i="5" s="1"/>
  <c r="E227" i="5"/>
  <c r="A448" i="5"/>
  <c r="B447" i="5"/>
  <c r="D447" i="5"/>
  <c r="B448" i="5" l="1"/>
  <c r="A449" i="5"/>
  <c r="D448" i="5"/>
  <c r="F227" i="5"/>
  <c r="G227" i="5" s="1"/>
  <c r="I227" i="5" s="1"/>
  <c r="C228" i="5" s="1"/>
  <c r="H228" i="5" l="1"/>
  <c r="J228" i="5" s="1"/>
  <c r="E228" i="5"/>
  <c r="A450" i="5"/>
  <c r="D449" i="5"/>
  <c r="B449" i="5"/>
  <c r="B450" i="5" l="1"/>
  <c r="A451" i="5"/>
  <c r="D450" i="5"/>
  <c r="I228" i="5"/>
  <c r="C229" i="5" s="1"/>
  <c r="F228" i="5"/>
  <c r="G228" i="5" s="1"/>
  <c r="A452" i="5" l="1"/>
  <c r="B451" i="5"/>
  <c r="D451" i="5"/>
  <c r="H229" i="5"/>
  <c r="J229" i="5" s="1"/>
  <c r="E229" i="5"/>
  <c r="F229" i="5" l="1"/>
  <c r="G229" i="5" s="1"/>
  <c r="I229" i="5" s="1"/>
  <c r="C230" i="5" s="1"/>
  <c r="A453" i="5"/>
  <c r="B452" i="5"/>
  <c r="D452" i="5"/>
  <c r="H230" i="5" l="1"/>
  <c r="J230" i="5" s="1"/>
  <c r="E230" i="5"/>
  <c r="A454" i="5"/>
  <c r="D453" i="5"/>
  <c r="B453" i="5"/>
  <c r="B454" i="5" l="1"/>
  <c r="D454" i="5"/>
  <c r="A455" i="5"/>
  <c r="F230" i="5"/>
  <c r="G230" i="5" s="1"/>
  <c r="I230" i="5"/>
  <c r="C231" i="5" s="1"/>
  <c r="H231" i="5" l="1"/>
  <c r="J231" i="5" s="1"/>
  <c r="E231" i="5"/>
  <c r="A456" i="5"/>
  <c r="D455" i="5"/>
  <c r="B455" i="5"/>
  <c r="B456" i="5" l="1"/>
  <c r="A457" i="5"/>
  <c r="D456" i="5"/>
  <c r="F231" i="5"/>
  <c r="G231" i="5" s="1"/>
  <c r="I231" i="5" s="1"/>
  <c r="C232" i="5" s="1"/>
  <c r="H232" i="5" l="1"/>
  <c r="J232" i="5" s="1"/>
  <c r="E232" i="5"/>
  <c r="A458" i="5"/>
  <c r="B457" i="5"/>
  <c r="D457" i="5"/>
  <c r="B458" i="5" l="1"/>
  <c r="A459" i="5"/>
  <c r="D458" i="5"/>
  <c r="I232" i="5"/>
  <c r="C233" i="5" s="1"/>
  <c r="F232" i="5"/>
  <c r="G232" i="5" s="1"/>
  <c r="H233" i="5" l="1"/>
  <c r="J233" i="5" s="1"/>
  <c r="E233" i="5"/>
  <c r="A460" i="5"/>
  <c r="B459" i="5"/>
  <c r="D459" i="5"/>
  <c r="F233" i="5" l="1"/>
  <c r="G233" i="5" s="1"/>
  <c r="I233" i="5"/>
  <c r="C234" i="5" s="1"/>
  <c r="A461" i="5"/>
  <c r="D460" i="5"/>
  <c r="B460" i="5"/>
  <c r="A462" i="5" l="1"/>
  <c r="D461" i="5"/>
  <c r="B461" i="5"/>
  <c r="H234" i="5"/>
  <c r="J234" i="5" s="1"/>
  <c r="E234" i="5"/>
  <c r="F234" i="5" l="1"/>
  <c r="G234" i="5" s="1"/>
  <c r="I234" i="5" s="1"/>
  <c r="C235" i="5" s="1"/>
  <c r="B462" i="5"/>
  <c r="A463" i="5"/>
  <c r="D462" i="5"/>
  <c r="E235" i="5" l="1"/>
  <c r="H235" i="5"/>
  <c r="J235" i="5" s="1"/>
  <c r="A464" i="5"/>
  <c r="B463" i="5"/>
  <c r="D463" i="5"/>
  <c r="A465" i="5" l="1"/>
  <c r="D464" i="5"/>
  <c r="B464" i="5"/>
  <c r="F235" i="5"/>
  <c r="G235" i="5" s="1"/>
  <c r="I235" i="5" s="1"/>
  <c r="C236" i="5" s="1"/>
  <c r="E236" i="5" l="1"/>
  <c r="H236" i="5"/>
  <c r="J236" i="5" s="1"/>
  <c r="D465" i="5"/>
  <c r="A466" i="5"/>
  <c r="B465" i="5"/>
  <c r="A467" i="5" l="1"/>
  <c r="B466" i="5"/>
  <c r="D466" i="5"/>
  <c r="F236" i="5"/>
  <c r="G236" i="5" s="1"/>
  <c r="I236" i="5"/>
  <c r="C237" i="5" s="1"/>
  <c r="E237" i="5" l="1"/>
  <c r="H237" i="5"/>
  <c r="J237" i="5" s="1"/>
  <c r="A468" i="5"/>
  <c r="D467" i="5"/>
  <c r="B467" i="5"/>
  <c r="F237" i="5" l="1"/>
  <c r="G237" i="5" s="1"/>
  <c r="I237" i="5"/>
  <c r="C238" i="5" s="1"/>
  <c r="B468" i="5"/>
  <c r="A469" i="5"/>
  <c r="D468" i="5"/>
  <c r="A470" i="5" l="1"/>
  <c r="D469" i="5"/>
  <c r="B469" i="5"/>
  <c r="E238" i="5"/>
  <c r="H238" i="5"/>
  <c r="J238" i="5" s="1"/>
  <c r="B470" i="5" l="1"/>
  <c r="A471" i="5"/>
  <c r="D470" i="5"/>
  <c r="F238" i="5"/>
  <c r="G238" i="5" s="1"/>
  <c r="I238" i="5" s="1"/>
  <c r="C239" i="5" s="1"/>
  <c r="H239" i="5" l="1"/>
  <c r="J239" i="5" s="1"/>
  <c r="E239" i="5"/>
  <c r="A472" i="5"/>
  <c r="B471" i="5"/>
  <c r="D471" i="5"/>
  <c r="A473" i="5" l="1"/>
  <c r="B472" i="5"/>
  <c r="D472" i="5"/>
  <c r="F239" i="5"/>
  <c r="G239" i="5" s="1"/>
  <c r="I239" i="5"/>
  <c r="C240" i="5" s="1"/>
  <c r="E240" i="5" l="1"/>
  <c r="H240" i="5"/>
  <c r="J240" i="5" s="1"/>
  <c r="D473" i="5"/>
  <c r="A474" i="5"/>
  <c r="B473" i="5"/>
  <c r="F240" i="5" l="1"/>
  <c r="G240" i="5" s="1"/>
  <c r="I240" i="5" s="1"/>
  <c r="C241" i="5" s="1"/>
  <c r="B474" i="5"/>
  <c r="A475" i="5"/>
  <c r="D474" i="5"/>
  <c r="H241" i="5" l="1"/>
  <c r="J241" i="5" s="1"/>
  <c r="E241" i="5"/>
  <c r="D475" i="5"/>
  <c r="A476" i="5"/>
  <c r="B475" i="5"/>
  <c r="F241" i="5" l="1"/>
  <c r="G241" i="5" s="1"/>
  <c r="I241" i="5" s="1"/>
  <c r="C242" i="5" s="1"/>
  <c r="B476" i="5"/>
  <c r="A477" i="5"/>
  <c r="D476" i="5"/>
  <c r="E242" i="5" l="1"/>
  <c r="H242" i="5"/>
  <c r="J242" i="5" s="1"/>
  <c r="D477" i="5"/>
  <c r="A478" i="5"/>
  <c r="B477" i="5"/>
  <c r="F242" i="5" l="1"/>
  <c r="G242" i="5" s="1"/>
  <c r="I242" i="5" s="1"/>
  <c r="C243" i="5" s="1"/>
  <c r="A479" i="5"/>
  <c r="B478" i="5"/>
  <c r="D478" i="5"/>
  <c r="H243" i="5" l="1"/>
  <c r="J243" i="5" s="1"/>
  <c r="E243" i="5"/>
  <c r="A480" i="5"/>
  <c r="B479" i="5"/>
  <c r="D479" i="5"/>
  <c r="A481" i="5" l="1"/>
  <c r="B480" i="5"/>
  <c r="D480" i="5"/>
  <c r="F243" i="5"/>
  <c r="G243" i="5" s="1"/>
  <c r="I243" i="5" s="1"/>
  <c r="C244" i="5" s="1"/>
  <c r="E244" i="5" l="1"/>
  <c r="H244" i="5"/>
  <c r="J244" i="5" s="1"/>
  <c r="D481" i="5"/>
  <c r="A482" i="5"/>
  <c r="B481" i="5"/>
  <c r="A483" i="5" l="1"/>
  <c r="B482" i="5"/>
  <c r="D482" i="5"/>
  <c r="F244" i="5"/>
  <c r="G244" i="5" s="1"/>
  <c r="I244" i="5" s="1"/>
  <c r="C245" i="5" s="1"/>
  <c r="H245" i="5" l="1"/>
  <c r="J245" i="5" s="1"/>
  <c r="E245" i="5"/>
  <c r="D483" i="5"/>
  <c r="A484" i="5"/>
  <c r="B483" i="5"/>
  <c r="B484" i="5" l="1"/>
  <c r="A485" i="5"/>
  <c r="D484" i="5"/>
  <c r="F245" i="5"/>
  <c r="G245" i="5" s="1"/>
  <c r="I245" i="5" s="1"/>
  <c r="C246" i="5" s="1"/>
  <c r="E246" i="5" l="1"/>
  <c r="H246" i="5"/>
  <c r="J246" i="5" s="1"/>
  <c r="A486" i="5"/>
  <c r="D485" i="5"/>
  <c r="B485" i="5"/>
  <c r="F246" i="5" l="1"/>
  <c r="G246" i="5" s="1"/>
  <c r="I246" i="5" s="1"/>
  <c r="C247" i="5" s="1"/>
  <c r="B486" i="5"/>
  <c r="A487" i="5"/>
  <c r="D486" i="5"/>
  <c r="H247" i="5" l="1"/>
  <c r="J247" i="5" s="1"/>
  <c r="E247" i="5"/>
  <c r="A488" i="5"/>
  <c r="D487" i="5"/>
  <c r="B487" i="5"/>
  <c r="B488" i="5" l="1"/>
  <c r="A489" i="5"/>
  <c r="D488" i="5"/>
  <c r="F247" i="5"/>
  <c r="G247" i="5" s="1"/>
  <c r="I247" i="5" s="1"/>
  <c r="C248" i="5" s="1"/>
  <c r="H248" i="5" l="1"/>
  <c r="J248" i="5" s="1"/>
  <c r="E248" i="5"/>
  <c r="D489" i="5"/>
  <c r="A490" i="5"/>
  <c r="B489" i="5"/>
  <c r="B490" i="5" l="1"/>
  <c r="A491" i="5"/>
  <c r="D490" i="5"/>
  <c r="F248" i="5"/>
  <c r="G248" i="5" s="1"/>
  <c r="I248" i="5"/>
  <c r="C249" i="5" s="1"/>
  <c r="H249" i="5" l="1"/>
  <c r="J249" i="5" s="1"/>
  <c r="E249" i="5"/>
  <c r="D491" i="5"/>
  <c r="A492" i="5"/>
  <c r="B491" i="5"/>
  <c r="B492" i="5" l="1"/>
  <c r="A493" i="5"/>
  <c r="D492" i="5"/>
  <c r="F249" i="5"/>
  <c r="G249" i="5" s="1"/>
  <c r="I249" i="5" s="1"/>
  <c r="C250" i="5" s="1"/>
  <c r="E250" i="5" l="1"/>
  <c r="H250" i="5"/>
  <c r="J250" i="5" s="1"/>
  <c r="A494" i="5"/>
  <c r="D493" i="5"/>
  <c r="B493" i="5"/>
  <c r="B494" i="5" l="1"/>
  <c r="A495" i="5"/>
  <c r="D494" i="5"/>
  <c r="F250" i="5"/>
  <c r="G250" i="5" s="1"/>
  <c r="I250" i="5" s="1"/>
  <c r="C251" i="5" s="1"/>
  <c r="E251" i="5" l="1"/>
  <c r="H251" i="5"/>
  <c r="J251" i="5" s="1"/>
  <c r="A496" i="5"/>
  <c r="B495" i="5"/>
  <c r="D495" i="5"/>
  <c r="B496" i="5" l="1"/>
  <c r="A497" i="5"/>
  <c r="D496" i="5"/>
  <c r="F251" i="5"/>
  <c r="G251" i="5" s="1"/>
  <c r="I251" i="5"/>
  <c r="C252" i="5" s="1"/>
  <c r="D497" i="5" l="1"/>
  <c r="B497" i="5"/>
  <c r="E252" i="5"/>
  <c r="H252" i="5"/>
  <c r="J252" i="5" s="1"/>
  <c r="F252" i="5" l="1"/>
  <c r="G252" i="5" s="1"/>
  <c r="I252" i="5" s="1"/>
  <c r="C253" i="5" s="1"/>
  <c r="H253" i="5" l="1"/>
  <c r="J253" i="5" s="1"/>
  <c r="E253" i="5"/>
  <c r="F253" i="5" l="1"/>
  <c r="G253" i="5" s="1"/>
  <c r="I253" i="5" s="1"/>
  <c r="C254" i="5" s="1"/>
  <c r="E254" i="5" l="1"/>
  <c r="H254" i="5"/>
  <c r="J254" i="5" s="1"/>
  <c r="F254" i="5" l="1"/>
  <c r="G254" i="5" s="1"/>
  <c r="I254" i="5" s="1"/>
  <c r="C255" i="5" s="1"/>
  <c r="E255" i="5" l="1"/>
  <c r="H255" i="5"/>
  <c r="J255" i="5" s="1"/>
  <c r="F255" i="5" l="1"/>
  <c r="G255" i="5" s="1"/>
  <c r="I255" i="5" s="1"/>
  <c r="C256" i="5" s="1"/>
  <c r="H256" i="5" l="1"/>
  <c r="J256" i="5" s="1"/>
  <c r="E256" i="5"/>
  <c r="F256" i="5" l="1"/>
  <c r="G256" i="5" s="1"/>
  <c r="I256" i="5"/>
  <c r="C257" i="5" s="1"/>
  <c r="H257" i="5" l="1"/>
  <c r="J257" i="5" s="1"/>
  <c r="E257" i="5"/>
  <c r="F257" i="5" l="1"/>
  <c r="G257" i="5" s="1"/>
  <c r="I257" i="5" s="1"/>
  <c r="C258" i="5" s="1"/>
  <c r="E258" i="5" l="1"/>
  <c r="H258" i="5"/>
  <c r="J258" i="5" s="1"/>
  <c r="F258" i="5" l="1"/>
  <c r="G258" i="5" s="1"/>
  <c r="I258" i="5" s="1"/>
  <c r="C259" i="5" s="1"/>
  <c r="E259" i="5" l="1"/>
  <c r="H259" i="5"/>
  <c r="J259" i="5" s="1"/>
  <c r="F259" i="5" l="1"/>
  <c r="G259" i="5" s="1"/>
  <c r="I259" i="5"/>
  <c r="C260" i="5" s="1"/>
  <c r="E260" i="5" l="1"/>
  <c r="H260" i="5"/>
  <c r="J260" i="5" s="1"/>
  <c r="F260" i="5" l="1"/>
  <c r="G260" i="5" s="1"/>
  <c r="I260" i="5" s="1"/>
  <c r="C261" i="5" s="1"/>
  <c r="H261" i="5" l="1"/>
  <c r="J261" i="5" s="1"/>
  <c r="E261" i="5"/>
  <c r="F261" i="5" l="1"/>
  <c r="G261" i="5" s="1"/>
  <c r="I261" i="5"/>
  <c r="C262" i="5" s="1"/>
  <c r="E262" i="5" l="1"/>
  <c r="H262" i="5"/>
  <c r="J262" i="5" s="1"/>
  <c r="F262" i="5" l="1"/>
  <c r="G262" i="5" s="1"/>
  <c r="I262" i="5" s="1"/>
  <c r="C263" i="5" s="1"/>
  <c r="E263" i="5" l="1"/>
  <c r="H263" i="5"/>
  <c r="J263" i="5" s="1"/>
  <c r="F263" i="5" l="1"/>
  <c r="G263" i="5" s="1"/>
  <c r="I263" i="5"/>
  <c r="C264" i="5" s="1"/>
  <c r="H264" i="5" l="1"/>
  <c r="J264" i="5" s="1"/>
  <c r="E264" i="5"/>
  <c r="F264" i="5" l="1"/>
  <c r="G264" i="5" s="1"/>
  <c r="I264" i="5" s="1"/>
  <c r="C265" i="5" s="1"/>
  <c r="E265" i="5" l="1"/>
  <c r="H265" i="5"/>
  <c r="J265" i="5" s="1"/>
  <c r="F265" i="5" l="1"/>
  <c r="G265" i="5" s="1"/>
  <c r="I265" i="5"/>
  <c r="C266" i="5" s="1"/>
  <c r="H266" i="5" l="1"/>
  <c r="J266" i="5" s="1"/>
  <c r="E266" i="5"/>
  <c r="F266" i="5" l="1"/>
  <c r="G266" i="5" s="1"/>
  <c r="I266" i="5" s="1"/>
  <c r="C267" i="5" s="1"/>
  <c r="H267" i="5" l="1"/>
  <c r="J267" i="5" s="1"/>
  <c r="E267" i="5"/>
  <c r="F267" i="5" l="1"/>
  <c r="G267" i="5" s="1"/>
  <c r="I267" i="5" s="1"/>
  <c r="C268" i="5" s="1"/>
  <c r="H268" i="5" l="1"/>
  <c r="J268" i="5" s="1"/>
  <c r="E268" i="5"/>
  <c r="F268" i="5" l="1"/>
  <c r="G268" i="5" s="1"/>
  <c r="I268" i="5"/>
  <c r="C269" i="5" s="1"/>
  <c r="E269" i="5" l="1"/>
  <c r="H269" i="5"/>
  <c r="J269" i="5" s="1"/>
  <c r="F269" i="5" l="1"/>
  <c r="G269" i="5" s="1"/>
  <c r="I269" i="5" s="1"/>
  <c r="C270" i="5" s="1"/>
  <c r="E270" i="5" l="1"/>
  <c r="H270" i="5"/>
  <c r="J270" i="5" s="1"/>
  <c r="F270" i="5" l="1"/>
  <c r="G270" i="5" s="1"/>
  <c r="I270" i="5"/>
  <c r="C271" i="5" s="1"/>
  <c r="H271" i="5" l="1"/>
  <c r="J271" i="5" s="1"/>
  <c r="E271" i="5"/>
  <c r="F271" i="5" l="1"/>
  <c r="G271" i="5" s="1"/>
  <c r="I271" i="5" s="1"/>
  <c r="C272" i="5" s="1"/>
  <c r="H272" i="5" l="1"/>
  <c r="J272" i="5" s="1"/>
  <c r="E272" i="5"/>
  <c r="F272" i="5" l="1"/>
  <c r="G272" i="5" s="1"/>
  <c r="I272" i="5" s="1"/>
  <c r="C273" i="5" s="1"/>
  <c r="E273" i="5" l="1"/>
  <c r="H273" i="5"/>
  <c r="J273" i="5" s="1"/>
  <c r="F273" i="5" l="1"/>
  <c r="G273" i="5" s="1"/>
  <c r="I273" i="5"/>
  <c r="C274" i="5" s="1"/>
  <c r="E274" i="5" l="1"/>
  <c r="H274" i="5"/>
  <c r="J274" i="5" s="1"/>
  <c r="F274" i="5" l="1"/>
  <c r="G274" i="5" s="1"/>
  <c r="I274" i="5" s="1"/>
  <c r="C275" i="5" s="1"/>
  <c r="H275" i="5" l="1"/>
  <c r="J275" i="5" s="1"/>
  <c r="E275" i="5"/>
  <c r="F275" i="5" l="1"/>
  <c r="G275" i="5" s="1"/>
  <c r="I275" i="5"/>
  <c r="C276" i="5" s="1"/>
  <c r="E276" i="5" l="1"/>
  <c r="H276" i="5"/>
  <c r="J276" i="5" s="1"/>
  <c r="F276" i="5" l="1"/>
  <c r="G276" i="5" s="1"/>
  <c r="I276" i="5" s="1"/>
  <c r="C277" i="5" s="1"/>
  <c r="E277" i="5" l="1"/>
  <c r="H277" i="5"/>
  <c r="J277" i="5" s="1"/>
  <c r="F277" i="5" l="1"/>
  <c r="G277" i="5" s="1"/>
  <c r="I277" i="5"/>
  <c r="C278" i="5" s="1"/>
  <c r="E278" i="5" l="1"/>
  <c r="H278" i="5"/>
  <c r="J278" i="5" s="1"/>
  <c r="F278" i="5" l="1"/>
  <c r="G278" i="5" s="1"/>
  <c r="I278" i="5" s="1"/>
  <c r="C279" i="5" s="1"/>
  <c r="H279" i="5" l="1"/>
  <c r="J279" i="5" s="1"/>
  <c r="E279" i="5"/>
  <c r="F279" i="5" l="1"/>
  <c r="G279" i="5" s="1"/>
  <c r="I279" i="5" s="1"/>
  <c r="C280" i="5" s="1"/>
  <c r="E280" i="5" l="1"/>
  <c r="H280" i="5"/>
  <c r="J280" i="5" s="1"/>
  <c r="F280" i="5" l="1"/>
  <c r="G280" i="5" s="1"/>
  <c r="I280" i="5" s="1"/>
  <c r="C281" i="5" s="1"/>
  <c r="H281" i="5" l="1"/>
  <c r="J281" i="5" s="1"/>
  <c r="E281" i="5"/>
  <c r="F281" i="5" l="1"/>
  <c r="G281" i="5" s="1"/>
  <c r="I281" i="5" s="1"/>
  <c r="C282" i="5" s="1"/>
  <c r="E282" i="5" l="1"/>
  <c r="H282" i="5"/>
  <c r="J282" i="5" s="1"/>
  <c r="F282" i="5" l="1"/>
  <c r="G282" i="5" s="1"/>
  <c r="I282" i="5" s="1"/>
  <c r="C283" i="5" s="1"/>
  <c r="H283" i="5" l="1"/>
  <c r="J283" i="5" s="1"/>
  <c r="E283" i="5"/>
  <c r="F283" i="5" l="1"/>
  <c r="G283" i="5" s="1"/>
  <c r="I283" i="5"/>
  <c r="C284" i="5" s="1"/>
  <c r="H284" i="5" l="1"/>
  <c r="J284" i="5" s="1"/>
  <c r="E284" i="5"/>
  <c r="F284" i="5" l="1"/>
  <c r="G284" i="5" s="1"/>
  <c r="I284" i="5" s="1"/>
  <c r="C285" i="5" s="1"/>
  <c r="H285" i="5" l="1"/>
  <c r="J285" i="5" s="1"/>
  <c r="E285" i="5"/>
  <c r="F285" i="5" l="1"/>
  <c r="G285" i="5" s="1"/>
  <c r="I285" i="5"/>
  <c r="C286" i="5" s="1"/>
  <c r="E286" i="5" l="1"/>
  <c r="H286" i="5"/>
  <c r="J286" i="5" s="1"/>
  <c r="F286" i="5" l="1"/>
  <c r="G286" i="5" s="1"/>
  <c r="I286" i="5" s="1"/>
  <c r="C287" i="5" s="1"/>
  <c r="E287" i="5" l="1"/>
  <c r="H287" i="5"/>
  <c r="J287" i="5" s="1"/>
  <c r="F287" i="5" l="1"/>
  <c r="G287" i="5" s="1"/>
  <c r="I287" i="5"/>
  <c r="C288" i="5" s="1"/>
  <c r="H288" i="5" l="1"/>
  <c r="J288" i="5" s="1"/>
  <c r="E288" i="5"/>
  <c r="F288" i="5" l="1"/>
  <c r="G288" i="5" s="1"/>
  <c r="I288" i="5" s="1"/>
  <c r="C289" i="5" s="1"/>
  <c r="E289" i="5" l="1"/>
  <c r="H289" i="5"/>
  <c r="J289" i="5" s="1"/>
  <c r="F289" i="5" l="1"/>
  <c r="G289" i="5" s="1"/>
  <c r="I289" i="5" s="1"/>
  <c r="C290" i="5" s="1"/>
  <c r="E290" i="5" l="1"/>
  <c r="H290" i="5"/>
  <c r="J290" i="5" s="1"/>
  <c r="F290" i="5" l="1"/>
  <c r="G290" i="5" s="1"/>
  <c r="I290" i="5"/>
  <c r="C291" i="5" s="1"/>
  <c r="E291" i="5" l="1"/>
  <c r="H291" i="5"/>
  <c r="J291" i="5" s="1"/>
  <c r="F291" i="5" l="1"/>
  <c r="G291" i="5" s="1"/>
  <c r="I291" i="5" s="1"/>
  <c r="C292" i="5" s="1"/>
  <c r="E292" i="5" l="1"/>
  <c r="H292" i="5"/>
  <c r="J292" i="5" s="1"/>
  <c r="F292" i="5" l="1"/>
  <c r="G292" i="5" s="1"/>
  <c r="I292" i="5" s="1"/>
  <c r="C293" i="5" s="1"/>
  <c r="E293" i="5" l="1"/>
  <c r="H293" i="5"/>
  <c r="J293" i="5" s="1"/>
  <c r="F293" i="5" l="1"/>
  <c r="G293" i="5" s="1"/>
  <c r="I293" i="5"/>
  <c r="C294" i="5" s="1"/>
  <c r="E294" i="5" l="1"/>
  <c r="H294" i="5"/>
  <c r="J294" i="5" s="1"/>
  <c r="F294" i="5" l="1"/>
  <c r="G294" i="5" s="1"/>
  <c r="I294" i="5" s="1"/>
  <c r="C295" i="5" s="1"/>
  <c r="E295" i="5" l="1"/>
  <c r="H295" i="5"/>
  <c r="J295" i="5" s="1"/>
  <c r="F295" i="5" l="1"/>
  <c r="G295" i="5" s="1"/>
  <c r="I295" i="5" s="1"/>
  <c r="C296" i="5" s="1"/>
  <c r="H296" i="5" l="1"/>
  <c r="J296" i="5" s="1"/>
  <c r="E296" i="5"/>
  <c r="F296" i="5" l="1"/>
  <c r="G296" i="5" s="1"/>
  <c r="I296" i="5"/>
  <c r="C297" i="5" s="1"/>
  <c r="E297" i="5" l="1"/>
  <c r="H297" i="5"/>
  <c r="J297" i="5" s="1"/>
  <c r="F297" i="5" l="1"/>
  <c r="G297" i="5" s="1"/>
  <c r="I297" i="5" s="1"/>
  <c r="C298" i="5" s="1"/>
  <c r="E298" i="5" l="1"/>
  <c r="H298" i="5"/>
  <c r="J298" i="5" s="1"/>
  <c r="F298" i="5" l="1"/>
  <c r="G298" i="5" s="1"/>
  <c r="I298" i="5" s="1"/>
  <c r="C299" i="5" s="1"/>
  <c r="H299" i="5" l="1"/>
  <c r="J299" i="5" s="1"/>
  <c r="E299" i="5"/>
  <c r="F299" i="5" l="1"/>
  <c r="G299" i="5" s="1"/>
  <c r="I299" i="5" s="1"/>
  <c r="C300" i="5" s="1"/>
  <c r="E300" i="5" l="1"/>
  <c r="H300" i="5"/>
  <c r="J300" i="5" s="1"/>
  <c r="F300" i="5" l="1"/>
  <c r="G300" i="5" s="1"/>
  <c r="I300" i="5" s="1"/>
  <c r="C301" i="5" s="1"/>
  <c r="E301" i="5" l="1"/>
  <c r="H301" i="5"/>
  <c r="J301" i="5" s="1"/>
  <c r="F301" i="5" l="1"/>
  <c r="G301" i="5" s="1"/>
  <c r="I301" i="5" s="1"/>
  <c r="C302" i="5" s="1"/>
  <c r="H302" i="5" l="1"/>
  <c r="J302" i="5" s="1"/>
  <c r="E302" i="5"/>
  <c r="F302" i="5" l="1"/>
  <c r="G302" i="5" s="1"/>
  <c r="I302" i="5" s="1"/>
  <c r="C303" i="5" s="1"/>
  <c r="E303" i="5" l="1"/>
  <c r="H303" i="5"/>
  <c r="J303" i="5" s="1"/>
  <c r="F303" i="5" l="1"/>
  <c r="G303" i="5" s="1"/>
  <c r="I303" i="5" s="1"/>
  <c r="C304" i="5" s="1"/>
  <c r="H304" i="5" l="1"/>
  <c r="J304" i="5" s="1"/>
  <c r="E304" i="5"/>
  <c r="F304" i="5" l="1"/>
  <c r="G304" i="5" s="1"/>
  <c r="I304" i="5" s="1"/>
  <c r="C305" i="5" s="1"/>
  <c r="H305" i="5" l="1"/>
  <c r="J305" i="5" s="1"/>
  <c r="E305" i="5"/>
  <c r="F305" i="5" l="1"/>
  <c r="G305" i="5" s="1"/>
  <c r="I305" i="5" s="1"/>
  <c r="C306" i="5" s="1"/>
  <c r="E306" i="5" l="1"/>
  <c r="H306" i="5"/>
  <c r="J306" i="5" s="1"/>
  <c r="F306" i="5" l="1"/>
  <c r="G306" i="5" s="1"/>
  <c r="I306" i="5" s="1"/>
  <c r="C307" i="5" s="1"/>
  <c r="E307" i="5" l="1"/>
  <c r="H307" i="5"/>
  <c r="J307" i="5" s="1"/>
  <c r="F307" i="5" l="1"/>
  <c r="G307" i="5" s="1"/>
  <c r="I307" i="5" s="1"/>
  <c r="C308" i="5" s="1"/>
  <c r="E308" i="5" l="1"/>
  <c r="H308" i="5"/>
  <c r="J308" i="5" s="1"/>
  <c r="F308" i="5" l="1"/>
  <c r="G308" i="5" s="1"/>
  <c r="I308" i="5" s="1"/>
  <c r="C309" i="5" s="1"/>
  <c r="H309" i="5" l="1"/>
  <c r="J309" i="5" s="1"/>
  <c r="E309" i="5"/>
  <c r="F309" i="5" l="1"/>
  <c r="G309" i="5" s="1"/>
  <c r="I309" i="5" s="1"/>
  <c r="C310" i="5" s="1"/>
  <c r="H310" i="5" l="1"/>
  <c r="J310" i="5" s="1"/>
  <c r="E310" i="5"/>
  <c r="F310" i="5" l="1"/>
  <c r="G310" i="5" s="1"/>
  <c r="I310" i="5"/>
  <c r="C311" i="5" s="1"/>
  <c r="H311" i="5" l="1"/>
  <c r="J311" i="5" s="1"/>
  <c r="E311" i="5"/>
  <c r="F311" i="5" l="1"/>
  <c r="G311" i="5" s="1"/>
  <c r="I311" i="5" s="1"/>
  <c r="C312" i="5" s="1"/>
  <c r="H312" i="5" l="1"/>
  <c r="J312" i="5" s="1"/>
  <c r="E312" i="5"/>
  <c r="F312" i="5" l="1"/>
  <c r="G312" i="5" s="1"/>
  <c r="I312" i="5" s="1"/>
  <c r="C313" i="5" s="1"/>
  <c r="E313" i="5" l="1"/>
  <c r="H313" i="5"/>
  <c r="J313" i="5" s="1"/>
  <c r="F313" i="5" l="1"/>
  <c r="G313" i="5" s="1"/>
  <c r="I313" i="5" s="1"/>
  <c r="C314" i="5" s="1"/>
  <c r="E314" i="5" l="1"/>
  <c r="H314" i="5"/>
  <c r="J314" i="5" s="1"/>
  <c r="F314" i="5" l="1"/>
  <c r="G314" i="5" s="1"/>
  <c r="I314" i="5"/>
  <c r="C315" i="5" s="1"/>
  <c r="H315" i="5" l="1"/>
  <c r="J315" i="5" s="1"/>
  <c r="E315" i="5"/>
  <c r="F315" i="5" l="1"/>
  <c r="G315" i="5" s="1"/>
  <c r="I315" i="5" s="1"/>
  <c r="C316" i="5" s="1"/>
  <c r="E316" i="5" l="1"/>
  <c r="H316" i="5"/>
  <c r="J316" i="5" s="1"/>
  <c r="F316" i="5" l="1"/>
  <c r="G316" i="5" s="1"/>
  <c r="I316" i="5" s="1"/>
  <c r="C317" i="5" s="1"/>
  <c r="H317" i="5" l="1"/>
  <c r="J317" i="5" s="1"/>
  <c r="E317" i="5"/>
  <c r="F317" i="5" l="1"/>
  <c r="G317" i="5" s="1"/>
  <c r="I317" i="5"/>
  <c r="C318" i="5" s="1"/>
  <c r="H318" i="5" l="1"/>
  <c r="J318" i="5" s="1"/>
  <c r="E318" i="5"/>
  <c r="F318" i="5" l="1"/>
  <c r="G318" i="5" s="1"/>
  <c r="I318" i="5"/>
  <c r="C319" i="5" s="1"/>
  <c r="H319" i="5" l="1"/>
  <c r="J319" i="5" s="1"/>
  <c r="E319" i="5"/>
  <c r="I319" i="5" l="1"/>
  <c r="C320" i="5" s="1"/>
  <c r="F319" i="5"/>
  <c r="G319" i="5" s="1"/>
  <c r="E320" i="5" l="1"/>
  <c r="H320" i="5"/>
  <c r="J320" i="5" s="1"/>
  <c r="I320" i="5" l="1"/>
  <c r="C321" i="5" s="1"/>
  <c r="F320" i="5"/>
  <c r="G320" i="5" s="1"/>
  <c r="H321" i="5" l="1"/>
  <c r="J321" i="5" s="1"/>
  <c r="E321" i="5"/>
  <c r="F321" i="5" l="1"/>
  <c r="G321" i="5" s="1"/>
  <c r="I321" i="5"/>
  <c r="C322" i="5" s="1"/>
  <c r="E322" i="5" l="1"/>
  <c r="H322" i="5"/>
  <c r="J322" i="5" s="1"/>
  <c r="F322" i="5" l="1"/>
  <c r="G322" i="5" s="1"/>
  <c r="I322" i="5"/>
  <c r="C323" i="5" s="1"/>
  <c r="H323" i="5" l="1"/>
  <c r="J323" i="5" s="1"/>
  <c r="E323" i="5"/>
  <c r="F323" i="5" l="1"/>
  <c r="G323" i="5" s="1"/>
  <c r="I323" i="5"/>
  <c r="C324" i="5" s="1"/>
  <c r="H324" i="5" l="1"/>
  <c r="J324" i="5" s="1"/>
  <c r="E324" i="5"/>
  <c r="I324" i="5" l="1"/>
  <c r="C325" i="5" s="1"/>
  <c r="F324" i="5"/>
  <c r="G324" i="5" s="1"/>
  <c r="E325" i="5" l="1"/>
  <c r="H325" i="5"/>
  <c r="J325" i="5" s="1"/>
  <c r="F325" i="5" l="1"/>
  <c r="G325" i="5" s="1"/>
  <c r="I325" i="5"/>
  <c r="C326" i="5" s="1"/>
  <c r="H326" i="5" l="1"/>
  <c r="J326" i="5" s="1"/>
  <c r="E326" i="5"/>
  <c r="F326" i="5" l="1"/>
  <c r="G326" i="5" s="1"/>
  <c r="I326" i="5"/>
  <c r="C327" i="5" s="1"/>
  <c r="E327" i="5" l="1"/>
  <c r="H327" i="5"/>
  <c r="J327" i="5" s="1"/>
  <c r="F327" i="5" l="1"/>
  <c r="G327" i="5" s="1"/>
  <c r="I327" i="5"/>
  <c r="C328" i="5" s="1"/>
  <c r="E328" i="5" l="1"/>
  <c r="H328" i="5"/>
  <c r="J328" i="5" s="1"/>
  <c r="F328" i="5" l="1"/>
  <c r="G328" i="5" s="1"/>
  <c r="I328" i="5"/>
  <c r="C329" i="5" s="1"/>
  <c r="H329" i="5" l="1"/>
  <c r="J329" i="5" s="1"/>
  <c r="E329" i="5"/>
  <c r="F329" i="5" l="1"/>
  <c r="G329" i="5" s="1"/>
  <c r="I329" i="5"/>
  <c r="C330" i="5" s="1"/>
  <c r="E330" i="5" l="1"/>
  <c r="H330" i="5"/>
  <c r="J330" i="5" s="1"/>
  <c r="F330" i="5" l="1"/>
  <c r="G330" i="5" s="1"/>
  <c r="I330" i="5"/>
  <c r="C331" i="5" s="1"/>
  <c r="H331" i="5" l="1"/>
  <c r="J331" i="5" s="1"/>
  <c r="E331" i="5"/>
  <c r="F331" i="5" l="1"/>
  <c r="G331" i="5" s="1"/>
  <c r="I331" i="5"/>
  <c r="C332" i="5" s="1"/>
  <c r="H332" i="5" l="1"/>
  <c r="J332" i="5" s="1"/>
  <c r="E332" i="5"/>
  <c r="I332" i="5" l="1"/>
  <c r="C333" i="5" s="1"/>
  <c r="F332" i="5"/>
  <c r="G332" i="5" s="1"/>
  <c r="E333" i="5" l="1"/>
  <c r="H333" i="5"/>
  <c r="J333" i="5" s="1"/>
  <c r="F333" i="5" l="1"/>
  <c r="G333" i="5" s="1"/>
  <c r="I333" i="5"/>
  <c r="C334" i="5" s="1"/>
  <c r="H334" i="5" l="1"/>
  <c r="J334" i="5" s="1"/>
  <c r="E334" i="5"/>
  <c r="I334" i="5" l="1"/>
  <c r="C335" i="5" s="1"/>
  <c r="F334" i="5"/>
  <c r="G334" i="5" s="1"/>
  <c r="E335" i="5" l="1"/>
  <c r="H335" i="5"/>
  <c r="J335" i="5" s="1"/>
  <c r="I335" i="5" l="1"/>
  <c r="C336" i="5" s="1"/>
  <c r="F335" i="5"/>
  <c r="G335" i="5" s="1"/>
  <c r="E336" i="5" l="1"/>
  <c r="H336" i="5"/>
  <c r="J336" i="5" s="1"/>
  <c r="F336" i="5" l="1"/>
  <c r="G336" i="5" s="1"/>
  <c r="I336" i="5"/>
  <c r="C337" i="5" s="1"/>
  <c r="H337" i="5" l="1"/>
  <c r="J337" i="5" s="1"/>
  <c r="E337" i="5"/>
  <c r="F337" i="5" l="1"/>
  <c r="G337" i="5" s="1"/>
  <c r="I337" i="5"/>
  <c r="C338" i="5" s="1"/>
  <c r="E338" i="5" l="1"/>
  <c r="H338" i="5"/>
  <c r="J338" i="5" s="1"/>
  <c r="F338" i="5" l="1"/>
  <c r="G338" i="5" s="1"/>
  <c r="I338" i="5"/>
  <c r="C339" i="5" s="1"/>
  <c r="E339" i="5" l="1"/>
  <c r="H339" i="5"/>
  <c r="J339" i="5" s="1"/>
  <c r="F339" i="5" l="1"/>
  <c r="G339" i="5" s="1"/>
  <c r="I339" i="5"/>
  <c r="C340" i="5" s="1"/>
  <c r="E340" i="5" l="1"/>
  <c r="H340" i="5"/>
  <c r="J340" i="5" s="1"/>
  <c r="F340" i="5" l="1"/>
  <c r="G340" i="5" s="1"/>
  <c r="I340" i="5"/>
  <c r="C341" i="5" s="1"/>
  <c r="H341" i="5" l="1"/>
  <c r="J341" i="5" s="1"/>
  <c r="E341" i="5"/>
  <c r="F341" i="5" l="1"/>
  <c r="G341" i="5" s="1"/>
  <c r="I341" i="5"/>
  <c r="C342" i="5" s="1"/>
  <c r="H342" i="5" l="1"/>
  <c r="J342" i="5" s="1"/>
  <c r="E342" i="5"/>
  <c r="F342" i="5" l="1"/>
  <c r="G342" i="5" s="1"/>
  <c r="I342" i="5"/>
  <c r="C343" i="5" s="1"/>
  <c r="H343" i="5" l="1"/>
  <c r="J343" i="5" s="1"/>
  <c r="E343" i="5"/>
  <c r="F343" i="5" l="1"/>
  <c r="G343" i="5" s="1"/>
  <c r="I343" i="5"/>
  <c r="C344" i="5" s="1"/>
  <c r="E344" i="5" l="1"/>
  <c r="H344" i="5"/>
  <c r="J344" i="5" s="1"/>
  <c r="I344" i="5" l="1"/>
  <c r="C345" i="5" s="1"/>
  <c r="F344" i="5"/>
  <c r="G344" i="5" s="1"/>
  <c r="E345" i="5" l="1"/>
  <c r="H345" i="5"/>
  <c r="J345" i="5" s="1"/>
  <c r="F345" i="5" l="1"/>
  <c r="G345" i="5" s="1"/>
  <c r="I345" i="5"/>
  <c r="C346" i="5" s="1"/>
  <c r="E346" i="5" l="1"/>
  <c r="H346" i="5"/>
  <c r="J346" i="5" s="1"/>
  <c r="F346" i="5" l="1"/>
  <c r="G346" i="5" s="1"/>
  <c r="I346" i="5"/>
  <c r="C347" i="5" s="1"/>
  <c r="E347" i="5" l="1"/>
  <c r="H347" i="5"/>
  <c r="J347" i="5" s="1"/>
  <c r="F347" i="5" l="1"/>
  <c r="G347" i="5" s="1"/>
  <c r="I347" i="5"/>
  <c r="C348" i="5" s="1"/>
  <c r="E348" i="5" l="1"/>
  <c r="H348" i="5"/>
  <c r="J348" i="5" s="1"/>
  <c r="I348" i="5" l="1"/>
  <c r="C349" i="5" s="1"/>
  <c r="F348" i="5"/>
  <c r="G348" i="5" s="1"/>
  <c r="H349" i="5" l="1"/>
  <c r="J349" i="5" s="1"/>
  <c r="E349" i="5"/>
  <c r="F349" i="5" l="1"/>
  <c r="G349" i="5" s="1"/>
  <c r="I349" i="5"/>
  <c r="C350" i="5" s="1"/>
  <c r="H350" i="5" l="1"/>
  <c r="J350" i="5" s="1"/>
  <c r="E350" i="5"/>
  <c r="F350" i="5" l="1"/>
  <c r="G350" i="5" s="1"/>
  <c r="I350" i="5"/>
  <c r="C351" i="5" s="1"/>
  <c r="E351" i="5" l="1"/>
  <c r="H351" i="5"/>
  <c r="J351" i="5" s="1"/>
  <c r="F351" i="5" l="1"/>
  <c r="G351" i="5" s="1"/>
  <c r="I351" i="5"/>
  <c r="C352" i="5" s="1"/>
  <c r="H352" i="5" l="1"/>
  <c r="J352" i="5" s="1"/>
  <c r="E352" i="5"/>
  <c r="I352" i="5" l="1"/>
  <c r="C353" i="5" s="1"/>
  <c r="F352" i="5"/>
  <c r="G352" i="5" s="1"/>
  <c r="H353" i="5" l="1"/>
  <c r="J353" i="5" s="1"/>
  <c r="E353" i="5"/>
  <c r="F353" i="5" l="1"/>
  <c r="G353" i="5" s="1"/>
  <c r="I353" i="5"/>
  <c r="C354" i="5" s="1"/>
  <c r="H354" i="5" l="1"/>
  <c r="J354" i="5" s="1"/>
  <c r="E354" i="5"/>
  <c r="I354" i="5" l="1"/>
  <c r="C355" i="5" s="1"/>
  <c r="F354" i="5"/>
  <c r="G354" i="5" s="1"/>
  <c r="H355" i="5" l="1"/>
  <c r="J355" i="5" s="1"/>
  <c r="E355" i="5"/>
  <c r="F355" i="5" l="1"/>
  <c r="G355" i="5" s="1"/>
  <c r="I355" i="5"/>
  <c r="C356" i="5" s="1"/>
  <c r="E356" i="5" l="1"/>
  <c r="H356" i="5"/>
  <c r="J356" i="5" s="1"/>
  <c r="F356" i="5" l="1"/>
  <c r="G356" i="5" s="1"/>
  <c r="I356" i="5"/>
  <c r="C357" i="5" s="1"/>
  <c r="H357" i="5" l="1"/>
  <c r="J357" i="5" s="1"/>
  <c r="E357" i="5"/>
  <c r="I357" i="5" l="1"/>
  <c r="C358" i="5" s="1"/>
  <c r="F357" i="5"/>
  <c r="G357" i="5" s="1"/>
  <c r="E358" i="5" l="1"/>
  <c r="H358" i="5"/>
  <c r="J358" i="5" s="1"/>
  <c r="F358" i="5" l="1"/>
  <c r="G358" i="5" s="1"/>
  <c r="I358" i="5"/>
  <c r="C359" i="5" s="1"/>
  <c r="E359" i="5" l="1"/>
  <c r="H359" i="5"/>
  <c r="J359" i="5" s="1"/>
  <c r="F359" i="5" l="1"/>
  <c r="G359" i="5" s="1"/>
  <c r="I359" i="5"/>
  <c r="C360" i="5" s="1"/>
  <c r="H360" i="5" l="1"/>
  <c r="J360" i="5" s="1"/>
  <c r="E360" i="5"/>
  <c r="F360" i="5" l="1"/>
  <c r="G360" i="5" s="1"/>
  <c r="I360" i="5"/>
  <c r="C361" i="5" s="1"/>
  <c r="E361" i="5" l="1"/>
  <c r="H361" i="5"/>
  <c r="J361" i="5" s="1"/>
  <c r="F361" i="5" l="1"/>
  <c r="G361" i="5" s="1"/>
  <c r="I361" i="5"/>
  <c r="C362" i="5" s="1"/>
  <c r="H362" i="5" l="1"/>
  <c r="J362" i="5" s="1"/>
  <c r="E362" i="5"/>
  <c r="I362" i="5" l="1"/>
  <c r="C363" i="5" s="1"/>
  <c r="F362" i="5"/>
  <c r="G362" i="5" s="1"/>
  <c r="E363" i="5" l="1"/>
  <c r="H363" i="5"/>
  <c r="J363" i="5" s="1"/>
  <c r="F363" i="5" l="1"/>
  <c r="G363" i="5" s="1"/>
  <c r="I363" i="5"/>
  <c r="C364" i="5" s="1"/>
  <c r="H364" i="5" l="1"/>
  <c r="J364" i="5" s="1"/>
  <c r="E364" i="5"/>
  <c r="F364" i="5" l="1"/>
  <c r="G364" i="5" s="1"/>
  <c r="I364" i="5"/>
  <c r="C365" i="5" s="1"/>
  <c r="H365" i="5" l="1"/>
  <c r="J365" i="5" s="1"/>
  <c r="E365" i="5"/>
  <c r="F365" i="5" l="1"/>
  <c r="G365" i="5" s="1"/>
  <c r="I365" i="5"/>
  <c r="C366" i="5" s="1"/>
  <c r="E366" i="5" l="1"/>
  <c r="H366" i="5"/>
  <c r="J366" i="5" s="1"/>
  <c r="F366" i="5" l="1"/>
  <c r="G366" i="5" s="1"/>
  <c r="I366" i="5"/>
  <c r="C367" i="5" s="1"/>
  <c r="H367" i="5" l="1"/>
  <c r="J367" i="5" s="1"/>
  <c r="E367" i="5"/>
  <c r="I367" i="5" l="1"/>
  <c r="C368" i="5" s="1"/>
  <c r="F367" i="5"/>
  <c r="G367" i="5" s="1"/>
  <c r="H368" i="5" l="1"/>
  <c r="J368" i="5" s="1"/>
  <c r="E368" i="5"/>
  <c r="I368" i="5" l="1"/>
  <c r="C369" i="5" s="1"/>
  <c r="F368" i="5"/>
  <c r="G368" i="5" s="1"/>
  <c r="H369" i="5" l="1"/>
  <c r="J369" i="5" s="1"/>
  <c r="E369" i="5"/>
  <c r="I369" i="5" l="1"/>
  <c r="C370" i="5" s="1"/>
  <c r="F369" i="5"/>
  <c r="G369" i="5" s="1"/>
  <c r="H370" i="5" l="1"/>
  <c r="J370" i="5" s="1"/>
  <c r="E370" i="5"/>
  <c r="I370" i="5" l="1"/>
  <c r="C371" i="5" s="1"/>
  <c r="F370" i="5"/>
  <c r="G370" i="5" s="1"/>
  <c r="H371" i="5" l="1"/>
  <c r="J371" i="5" s="1"/>
  <c r="E371" i="5"/>
  <c r="F371" i="5" l="1"/>
  <c r="G371" i="5" s="1"/>
  <c r="I371" i="5"/>
  <c r="C372" i="5" s="1"/>
  <c r="H372" i="5" l="1"/>
  <c r="J372" i="5" s="1"/>
  <c r="E372" i="5"/>
  <c r="F372" i="5" l="1"/>
  <c r="G372" i="5" s="1"/>
  <c r="I372" i="5"/>
  <c r="C373" i="5" s="1"/>
  <c r="H373" i="5" l="1"/>
  <c r="J373" i="5" s="1"/>
  <c r="E373" i="5"/>
  <c r="I373" i="5" l="1"/>
  <c r="C374" i="5" s="1"/>
  <c r="F373" i="5"/>
  <c r="G373" i="5" s="1"/>
  <c r="E374" i="5" l="1"/>
  <c r="H374" i="5"/>
  <c r="J374" i="5" s="1"/>
  <c r="F374" i="5" l="1"/>
  <c r="G374" i="5" s="1"/>
  <c r="I374" i="5"/>
  <c r="C375" i="5" s="1"/>
  <c r="H375" i="5" l="1"/>
  <c r="J375" i="5" s="1"/>
  <c r="E375" i="5"/>
  <c r="I375" i="5" l="1"/>
  <c r="C376" i="5" s="1"/>
  <c r="F375" i="5"/>
  <c r="G375" i="5" s="1"/>
  <c r="H376" i="5" l="1"/>
  <c r="J376" i="5" s="1"/>
  <c r="E376" i="5"/>
  <c r="F376" i="5" l="1"/>
  <c r="G376" i="5" s="1"/>
  <c r="I376" i="5"/>
  <c r="C377" i="5" s="1"/>
  <c r="H377" i="5" l="1"/>
  <c r="J377" i="5" s="1"/>
  <c r="E377" i="5"/>
  <c r="F377" i="5" l="1"/>
  <c r="G377" i="5" s="1"/>
  <c r="I377" i="5"/>
  <c r="C378" i="5" s="1"/>
  <c r="H378" i="5" l="1"/>
  <c r="J378" i="5" s="1"/>
  <c r="E378" i="5"/>
  <c r="I378" i="5" l="1"/>
  <c r="C379" i="5" s="1"/>
  <c r="F378" i="5"/>
  <c r="G378" i="5" s="1"/>
  <c r="H379" i="5" l="1"/>
  <c r="J379" i="5" s="1"/>
  <c r="E379" i="5"/>
  <c r="I379" i="5" l="1"/>
  <c r="C380" i="5" s="1"/>
  <c r="F379" i="5"/>
  <c r="G379" i="5" s="1"/>
  <c r="H380" i="5" l="1"/>
  <c r="J380" i="5" s="1"/>
  <c r="E380" i="5"/>
  <c r="F380" i="5" l="1"/>
  <c r="G380" i="5" s="1"/>
  <c r="I380" i="5"/>
  <c r="C381" i="5" s="1"/>
  <c r="H381" i="5" l="1"/>
  <c r="J381" i="5" s="1"/>
  <c r="E381" i="5"/>
  <c r="I381" i="5" l="1"/>
  <c r="C382" i="5" s="1"/>
  <c r="F381" i="5"/>
  <c r="G381" i="5" s="1"/>
  <c r="E382" i="5" l="1"/>
  <c r="H382" i="5"/>
  <c r="J382" i="5" s="1"/>
  <c r="F382" i="5" l="1"/>
  <c r="G382" i="5" s="1"/>
  <c r="I382" i="5"/>
  <c r="C383" i="5" s="1"/>
  <c r="H383" i="5" l="1"/>
  <c r="J383" i="5" s="1"/>
  <c r="E383" i="5"/>
  <c r="I383" i="5" l="1"/>
  <c r="C384" i="5" s="1"/>
  <c r="F383" i="5"/>
  <c r="G383" i="5" s="1"/>
  <c r="H384" i="5" l="1"/>
  <c r="J384" i="5" s="1"/>
  <c r="E384" i="5"/>
  <c r="F384" i="5" l="1"/>
  <c r="G384" i="5" s="1"/>
  <c r="I384" i="5"/>
  <c r="C385" i="5" s="1"/>
  <c r="H385" i="5" l="1"/>
  <c r="J385" i="5" s="1"/>
  <c r="E385" i="5"/>
  <c r="I385" i="5" l="1"/>
  <c r="C386" i="5" s="1"/>
  <c r="F385" i="5"/>
  <c r="G385" i="5" s="1"/>
  <c r="H386" i="5" l="1"/>
  <c r="J386" i="5" s="1"/>
  <c r="E386" i="5"/>
  <c r="I386" i="5" l="1"/>
  <c r="C387" i="5" s="1"/>
  <c r="F386" i="5"/>
  <c r="G386" i="5" s="1"/>
  <c r="H387" i="5" l="1"/>
  <c r="J387" i="5" s="1"/>
  <c r="E387" i="5"/>
  <c r="I387" i="5" l="1"/>
  <c r="C388" i="5" s="1"/>
  <c r="F387" i="5"/>
  <c r="G387" i="5" s="1"/>
  <c r="H388" i="5" l="1"/>
  <c r="J388" i="5" s="1"/>
  <c r="E388" i="5"/>
  <c r="F388" i="5" l="1"/>
  <c r="G388" i="5" s="1"/>
  <c r="I388" i="5"/>
  <c r="C389" i="5" s="1"/>
  <c r="H389" i="5" l="1"/>
  <c r="J389" i="5" s="1"/>
  <c r="E389" i="5"/>
  <c r="F389" i="5" l="1"/>
  <c r="G389" i="5" s="1"/>
  <c r="I389" i="5"/>
  <c r="C390" i="5" s="1"/>
  <c r="E390" i="5" l="1"/>
  <c r="H390" i="5"/>
  <c r="J390" i="5" s="1"/>
  <c r="F390" i="5" l="1"/>
  <c r="G390" i="5" s="1"/>
  <c r="I390" i="5"/>
  <c r="C391" i="5" s="1"/>
  <c r="H391" i="5" l="1"/>
  <c r="J391" i="5" s="1"/>
  <c r="E391" i="5"/>
  <c r="I391" i="5" l="1"/>
  <c r="C392" i="5" s="1"/>
  <c r="F391" i="5"/>
  <c r="G391" i="5" s="1"/>
  <c r="H392" i="5" l="1"/>
  <c r="J392" i="5" s="1"/>
  <c r="E392" i="5"/>
  <c r="F392" i="5" l="1"/>
  <c r="G392" i="5" s="1"/>
  <c r="I392" i="5"/>
  <c r="C393" i="5" s="1"/>
  <c r="E393" i="5" l="1"/>
  <c r="H393" i="5"/>
  <c r="J393" i="5" s="1"/>
  <c r="F393" i="5" l="1"/>
  <c r="G393" i="5" s="1"/>
  <c r="I393" i="5"/>
  <c r="C394" i="5" s="1"/>
  <c r="H394" i="5" l="1"/>
  <c r="J394" i="5" s="1"/>
  <c r="E394" i="5"/>
  <c r="F394" i="5" l="1"/>
  <c r="G394" i="5" s="1"/>
  <c r="I394" i="5"/>
  <c r="C395" i="5" s="1"/>
  <c r="E395" i="5" l="1"/>
  <c r="H395" i="5"/>
  <c r="J395" i="5" s="1"/>
  <c r="F395" i="5" l="1"/>
  <c r="G395" i="5" s="1"/>
  <c r="I395" i="5"/>
  <c r="C396" i="5" s="1"/>
  <c r="E396" i="5" l="1"/>
  <c r="H396" i="5"/>
  <c r="J396" i="5" s="1"/>
  <c r="I396" i="5" l="1"/>
  <c r="C397" i="5" s="1"/>
  <c r="F396" i="5"/>
  <c r="G396" i="5" s="1"/>
  <c r="E397" i="5" l="1"/>
  <c r="H397" i="5"/>
  <c r="J397" i="5" s="1"/>
  <c r="I397" i="5" l="1"/>
  <c r="C398" i="5" s="1"/>
  <c r="F397" i="5"/>
  <c r="G397" i="5" s="1"/>
  <c r="H398" i="5" l="1"/>
  <c r="J398" i="5" s="1"/>
  <c r="E398" i="5"/>
  <c r="F398" i="5" l="1"/>
  <c r="G398" i="5" s="1"/>
  <c r="I398" i="5"/>
  <c r="C399" i="5" s="1"/>
  <c r="H399" i="5" l="1"/>
  <c r="J399" i="5" s="1"/>
  <c r="E399" i="5"/>
  <c r="I399" i="5" l="1"/>
  <c r="C400" i="5" s="1"/>
  <c r="F399" i="5"/>
  <c r="G399" i="5" s="1"/>
  <c r="H400" i="5" l="1"/>
  <c r="J400" i="5" s="1"/>
  <c r="E400" i="5"/>
  <c r="F400" i="5" l="1"/>
  <c r="G400" i="5" s="1"/>
  <c r="I400" i="5"/>
  <c r="C401" i="5" s="1"/>
  <c r="E401" i="5" l="1"/>
  <c r="H401" i="5"/>
  <c r="J401" i="5" s="1"/>
  <c r="F401" i="5" l="1"/>
  <c r="G401" i="5" s="1"/>
  <c r="I401" i="5"/>
  <c r="C402" i="5" s="1"/>
  <c r="H402" i="5" l="1"/>
  <c r="J402" i="5" s="1"/>
  <c r="E402" i="5"/>
  <c r="F402" i="5" l="1"/>
  <c r="G402" i="5" s="1"/>
  <c r="I402" i="5"/>
  <c r="C403" i="5" s="1"/>
  <c r="E403" i="5" l="1"/>
  <c r="H403" i="5"/>
  <c r="J403" i="5" s="1"/>
  <c r="F403" i="5" l="1"/>
  <c r="G403" i="5" s="1"/>
  <c r="I403" i="5"/>
  <c r="C404" i="5" s="1"/>
  <c r="H404" i="5" l="1"/>
  <c r="J404" i="5" s="1"/>
  <c r="E404" i="5"/>
  <c r="F404" i="5" l="1"/>
  <c r="G404" i="5" s="1"/>
  <c r="I404" i="5"/>
  <c r="C405" i="5" s="1"/>
  <c r="E405" i="5" l="1"/>
  <c r="H405" i="5"/>
  <c r="J405" i="5" s="1"/>
  <c r="I405" i="5" l="1"/>
  <c r="C406" i="5" s="1"/>
  <c r="F405" i="5"/>
  <c r="G405" i="5" s="1"/>
  <c r="E406" i="5" l="1"/>
  <c r="H406" i="5"/>
  <c r="J406" i="5" s="1"/>
  <c r="F406" i="5" l="1"/>
  <c r="G406" i="5" s="1"/>
  <c r="I406" i="5"/>
  <c r="C407" i="5" s="1"/>
  <c r="H407" i="5" l="1"/>
  <c r="J407" i="5" s="1"/>
  <c r="E407" i="5"/>
  <c r="F407" i="5" l="1"/>
  <c r="G407" i="5" s="1"/>
  <c r="I407" i="5"/>
  <c r="C408" i="5" s="1"/>
  <c r="H408" i="5" l="1"/>
  <c r="J408" i="5" s="1"/>
  <c r="E408" i="5"/>
  <c r="F408" i="5" l="1"/>
  <c r="G408" i="5" s="1"/>
  <c r="I408" i="5"/>
  <c r="C409" i="5" s="1"/>
  <c r="E409" i="5" l="1"/>
  <c r="H409" i="5"/>
  <c r="J409" i="5" s="1"/>
  <c r="I409" i="5" l="1"/>
  <c r="C410" i="5" s="1"/>
  <c r="F409" i="5"/>
  <c r="G409" i="5" s="1"/>
  <c r="H410" i="5" l="1"/>
  <c r="J410" i="5" s="1"/>
  <c r="E410" i="5"/>
  <c r="F410" i="5" l="1"/>
  <c r="G410" i="5" s="1"/>
  <c r="I410" i="5"/>
  <c r="C411" i="5" s="1"/>
  <c r="H411" i="5" l="1"/>
  <c r="J411" i="5" s="1"/>
  <c r="E411" i="5"/>
  <c r="F411" i="5" l="1"/>
  <c r="G411" i="5" s="1"/>
  <c r="I411" i="5"/>
  <c r="C412" i="5" s="1"/>
  <c r="H412" i="5" l="1"/>
  <c r="J412" i="5" s="1"/>
  <c r="E412" i="5"/>
  <c r="F412" i="5" l="1"/>
  <c r="G412" i="5" s="1"/>
  <c r="I412" i="5"/>
  <c r="C413" i="5" s="1"/>
  <c r="E413" i="5" l="1"/>
  <c r="H413" i="5"/>
  <c r="J413" i="5" s="1"/>
  <c r="I413" i="5" l="1"/>
  <c r="C414" i="5" s="1"/>
  <c r="F413" i="5"/>
  <c r="G413" i="5" s="1"/>
  <c r="H414" i="5" l="1"/>
  <c r="J414" i="5" s="1"/>
  <c r="E414" i="5"/>
  <c r="F414" i="5" l="1"/>
  <c r="G414" i="5" s="1"/>
  <c r="I414" i="5"/>
  <c r="C415" i="5" s="1"/>
  <c r="H415" i="5" l="1"/>
  <c r="J415" i="5" s="1"/>
  <c r="E415" i="5"/>
  <c r="I415" i="5" l="1"/>
  <c r="C416" i="5" s="1"/>
  <c r="F415" i="5"/>
  <c r="G415" i="5" s="1"/>
  <c r="H416" i="5" l="1"/>
  <c r="J416" i="5" s="1"/>
  <c r="E416" i="5"/>
  <c r="F416" i="5" l="1"/>
  <c r="G416" i="5" s="1"/>
  <c r="I416" i="5"/>
  <c r="C417" i="5" s="1"/>
  <c r="E417" i="5" l="1"/>
  <c r="H417" i="5"/>
  <c r="J417" i="5" s="1"/>
  <c r="F417" i="5" l="1"/>
  <c r="G417" i="5" s="1"/>
  <c r="I417" i="5"/>
  <c r="C418" i="5" s="1"/>
  <c r="E418" i="5" l="1"/>
  <c r="H418" i="5"/>
  <c r="J418" i="5" s="1"/>
  <c r="I418" i="5" l="1"/>
  <c r="C419" i="5" s="1"/>
  <c r="F418" i="5"/>
  <c r="G418" i="5" s="1"/>
  <c r="H419" i="5" l="1"/>
  <c r="J419" i="5" s="1"/>
  <c r="E419" i="5"/>
  <c r="F419" i="5" l="1"/>
  <c r="G419" i="5" s="1"/>
  <c r="I419" i="5"/>
  <c r="C420" i="5" s="1"/>
  <c r="H420" i="5" l="1"/>
  <c r="J420" i="5" s="1"/>
  <c r="E420" i="5"/>
  <c r="F420" i="5" l="1"/>
  <c r="G420" i="5" s="1"/>
  <c r="I420" i="5"/>
  <c r="C421" i="5" s="1"/>
  <c r="E421" i="5" l="1"/>
  <c r="H421" i="5"/>
  <c r="J421" i="5" s="1"/>
  <c r="I421" i="5" l="1"/>
  <c r="C422" i="5" s="1"/>
  <c r="F421" i="5"/>
  <c r="G421" i="5" s="1"/>
  <c r="H422" i="5" l="1"/>
  <c r="J422" i="5" s="1"/>
  <c r="E422" i="5"/>
  <c r="F422" i="5" l="1"/>
  <c r="G422" i="5" s="1"/>
  <c r="I422" i="5"/>
  <c r="C423" i="5" s="1"/>
  <c r="H423" i="5" l="1"/>
  <c r="J423" i="5" s="1"/>
  <c r="E423" i="5"/>
  <c r="F423" i="5" l="1"/>
  <c r="G423" i="5" s="1"/>
  <c r="I423" i="5"/>
  <c r="C424" i="5" s="1"/>
  <c r="E424" i="5" l="1"/>
  <c r="H424" i="5"/>
  <c r="J424" i="5" s="1"/>
  <c r="F424" i="5" l="1"/>
  <c r="G424" i="5" s="1"/>
  <c r="I424" i="5"/>
  <c r="C425" i="5" s="1"/>
  <c r="E425" i="5" l="1"/>
  <c r="H425" i="5"/>
  <c r="J425" i="5" s="1"/>
  <c r="I425" i="5" l="1"/>
  <c r="C426" i="5" s="1"/>
  <c r="F425" i="5"/>
  <c r="G425" i="5" s="1"/>
  <c r="H426" i="5" l="1"/>
  <c r="J426" i="5" s="1"/>
  <c r="E426" i="5"/>
  <c r="F426" i="5" l="1"/>
  <c r="G426" i="5" s="1"/>
  <c r="I426" i="5"/>
  <c r="C427" i="5" s="1"/>
  <c r="H427" i="5" l="1"/>
  <c r="J427" i="5" s="1"/>
  <c r="E427" i="5"/>
  <c r="F427" i="5" l="1"/>
  <c r="G427" i="5" s="1"/>
  <c r="I427" i="5"/>
  <c r="C428" i="5" s="1"/>
  <c r="H428" i="5" l="1"/>
  <c r="J428" i="5" s="1"/>
  <c r="E428" i="5"/>
  <c r="F428" i="5" l="1"/>
  <c r="G428" i="5" s="1"/>
  <c r="I428" i="5"/>
  <c r="C429" i="5" s="1"/>
  <c r="E429" i="5" l="1"/>
  <c r="H429" i="5"/>
  <c r="J429" i="5" s="1"/>
  <c r="I429" i="5" l="1"/>
  <c r="C430" i="5" s="1"/>
  <c r="F429" i="5"/>
  <c r="G429" i="5" s="1"/>
  <c r="H430" i="5" l="1"/>
  <c r="J430" i="5" s="1"/>
  <c r="E430" i="5"/>
  <c r="F430" i="5" l="1"/>
  <c r="G430" i="5" s="1"/>
  <c r="I430" i="5"/>
  <c r="C431" i="5" s="1"/>
  <c r="E431" i="5" l="1"/>
  <c r="H431" i="5"/>
  <c r="J431" i="5" s="1"/>
  <c r="I431" i="5" l="1"/>
  <c r="C432" i="5" s="1"/>
  <c r="F431" i="5"/>
  <c r="G431" i="5" s="1"/>
  <c r="E432" i="5" l="1"/>
  <c r="H432" i="5"/>
  <c r="J432" i="5" s="1"/>
  <c r="F432" i="5" l="1"/>
  <c r="G432" i="5" s="1"/>
  <c r="I432" i="5"/>
  <c r="C433" i="5" s="1"/>
  <c r="H433" i="5" l="1"/>
  <c r="J433" i="5" s="1"/>
  <c r="E433" i="5"/>
  <c r="F433" i="5" l="1"/>
  <c r="G433" i="5" s="1"/>
  <c r="I433" i="5"/>
  <c r="C434" i="5" s="1"/>
  <c r="H434" i="5" l="1"/>
  <c r="J434" i="5" s="1"/>
  <c r="E434" i="5"/>
  <c r="I434" i="5" l="1"/>
  <c r="C435" i="5" s="1"/>
  <c r="F434" i="5"/>
  <c r="G434" i="5" s="1"/>
  <c r="H435" i="5" l="1"/>
  <c r="J435" i="5" s="1"/>
  <c r="E435" i="5"/>
  <c r="I435" i="5" l="1"/>
  <c r="C436" i="5" s="1"/>
  <c r="F435" i="5"/>
  <c r="G435" i="5" s="1"/>
  <c r="H436" i="5" l="1"/>
  <c r="J436" i="5" s="1"/>
  <c r="E436" i="5"/>
  <c r="F436" i="5" l="1"/>
  <c r="G436" i="5" s="1"/>
  <c r="I436" i="5"/>
  <c r="C437" i="5" s="1"/>
  <c r="H437" i="5" l="1"/>
  <c r="J437" i="5" s="1"/>
  <c r="E437" i="5"/>
  <c r="I437" i="5" l="1"/>
  <c r="C438" i="5" s="1"/>
  <c r="F437" i="5"/>
  <c r="G437" i="5" s="1"/>
  <c r="H438" i="5" l="1"/>
  <c r="J438" i="5" s="1"/>
  <c r="E438" i="5"/>
  <c r="F438" i="5" l="1"/>
  <c r="G438" i="5" s="1"/>
  <c r="I438" i="5"/>
  <c r="C439" i="5" s="1"/>
  <c r="H439" i="5" l="1"/>
  <c r="J439" i="5" s="1"/>
  <c r="E439" i="5"/>
  <c r="F439" i="5" l="1"/>
  <c r="G439" i="5" s="1"/>
  <c r="I439" i="5"/>
  <c r="C440" i="5" s="1"/>
  <c r="H440" i="5" l="1"/>
  <c r="J440" i="5" s="1"/>
  <c r="E440" i="5"/>
  <c r="F440" i="5" l="1"/>
  <c r="G440" i="5" s="1"/>
  <c r="I440" i="5"/>
  <c r="C441" i="5" s="1"/>
  <c r="H441" i="5" l="1"/>
  <c r="J441" i="5" s="1"/>
  <c r="E441" i="5"/>
  <c r="F441" i="5" l="1"/>
  <c r="G441" i="5" s="1"/>
  <c r="I441" i="5"/>
  <c r="C442" i="5" s="1"/>
  <c r="H442" i="5" l="1"/>
  <c r="J442" i="5" s="1"/>
  <c r="E442" i="5"/>
  <c r="F442" i="5" l="1"/>
  <c r="G442" i="5" s="1"/>
  <c r="I442" i="5"/>
  <c r="C443" i="5" s="1"/>
  <c r="H443" i="5" l="1"/>
  <c r="J443" i="5" s="1"/>
  <c r="E443" i="5"/>
  <c r="F443" i="5" l="1"/>
  <c r="G443" i="5" s="1"/>
  <c r="I443" i="5"/>
  <c r="C444" i="5" s="1"/>
  <c r="H444" i="5" l="1"/>
  <c r="J444" i="5" s="1"/>
  <c r="E444" i="5"/>
  <c r="F444" i="5" l="1"/>
  <c r="G444" i="5" s="1"/>
  <c r="I444" i="5"/>
  <c r="C445" i="5" s="1"/>
  <c r="H445" i="5" l="1"/>
  <c r="J445" i="5" s="1"/>
  <c r="E445" i="5"/>
  <c r="I445" i="5" l="1"/>
  <c r="C446" i="5" s="1"/>
  <c r="F445" i="5"/>
  <c r="G445" i="5" s="1"/>
  <c r="H446" i="5" l="1"/>
  <c r="J446" i="5" s="1"/>
  <c r="E446" i="5"/>
  <c r="F446" i="5" l="1"/>
  <c r="G446" i="5" s="1"/>
  <c r="I446" i="5"/>
  <c r="C447" i="5" s="1"/>
  <c r="E447" i="5" l="1"/>
  <c r="H447" i="5"/>
  <c r="J447" i="5" s="1"/>
  <c r="I447" i="5" l="1"/>
  <c r="C448" i="5" s="1"/>
  <c r="F447" i="5"/>
  <c r="G447" i="5" s="1"/>
  <c r="H448" i="5" l="1"/>
  <c r="J448" i="5" s="1"/>
  <c r="E448" i="5"/>
  <c r="F448" i="5" l="1"/>
  <c r="G448" i="5" s="1"/>
  <c r="I448" i="5"/>
  <c r="C449" i="5" s="1"/>
  <c r="H449" i="5" l="1"/>
  <c r="J449" i="5" s="1"/>
  <c r="E449" i="5"/>
  <c r="F449" i="5" l="1"/>
  <c r="G449" i="5" s="1"/>
  <c r="I449" i="5"/>
  <c r="C450" i="5" s="1"/>
  <c r="H450" i="5" l="1"/>
  <c r="J450" i="5" s="1"/>
  <c r="E450" i="5"/>
  <c r="F450" i="5" l="1"/>
  <c r="G450" i="5" s="1"/>
  <c r="I450" i="5"/>
  <c r="C451" i="5" s="1"/>
  <c r="H451" i="5" l="1"/>
  <c r="J451" i="5" s="1"/>
  <c r="E451" i="5"/>
  <c r="F451" i="5" l="1"/>
  <c r="G451" i="5" s="1"/>
  <c r="I451" i="5"/>
  <c r="C452" i="5" s="1"/>
  <c r="H452" i="5" l="1"/>
  <c r="J452" i="5" s="1"/>
  <c r="E452" i="5"/>
  <c r="F452" i="5" l="1"/>
  <c r="G452" i="5" s="1"/>
  <c r="I452" i="5"/>
  <c r="C453" i="5" s="1"/>
  <c r="H453" i="5" l="1"/>
  <c r="J453" i="5" s="1"/>
  <c r="E453" i="5"/>
  <c r="I453" i="5" l="1"/>
  <c r="C454" i="5" s="1"/>
  <c r="F453" i="5"/>
  <c r="G453" i="5" s="1"/>
  <c r="E454" i="5" l="1"/>
  <c r="H454" i="5"/>
  <c r="J454" i="5" s="1"/>
  <c r="F454" i="5" l="1"/>
  <c r="G454" i="5" s="1"/>
  <c r="I454" i="5"/>
  <c r="C455" i="5" s="1"/>
  <c r="E455" i="5" l="1"/>
  <c r="H455" i="5"/>
  <c r="J455" i="5" s="1"/>
  <c r="I455" i="5" l="1"/>
  <c r="C456" i="5" s="1"/>
  <c r="F455" i="5"/>
  <c r="G455" i="5" s="1"/>
  <c r="H456" i="5" l="1"/>
  <c r="J456" i="5" s="1"/>
  <c r="E456" i="5"/>
  <c r="F456" i="5" l="1"/>
  <c r="G456" i="5" s="1"/>
  <c r="I456" i="5"/>
  <c r="C457" i="5" s="1"/>
  <c r="E457" i="5" l="1"/>
  <c r="H457" i="5"/>
  <c r="J457" i="5" s="1"/>
  <c r="F457" i="5" l="1"/>
  <c r="G457" i="5" s="1"/>
  <c r="I457" i="5"/>
  <c r="C458" i="5" s="1"/>
  <c r="H458" i="5" l="1"/>
  <c r="J458" i="5" s="1"/>
  <c r="E458" i="5"/>
  <c r="F458" i="5" l="1"/>
  <c r="G458" i="5" s="1"/>
  <c r="I458" i="5"/>
  <c r="C459" i="5" s="1"/>
  <c r="H459" i="5" l="1"/>
  <c r="J459" i="5" s="1"/>
  <c r="E459" i="5"/>
  <c r="F459" i="5" l="1"/>
  <c r="G459" i="5" s="1"/>
  <c r="I459" i="5"/>
  <c r="C460" i="5" s="1"/>
  <c r="H460" i="5" l="1"/>
  <c r="J460" i="5" s="1"/>
  <c r="E460" i="5"/>
  <c r="F460" i="5" l="1"/>
  <c r="G460" i="5" s="1"/>
  <c r="I460" i="5"/>
  <c r="C461" i="5" s="1"/>
  <c r="H461" i="5" l="1"/>
  <c r="J461" i="5" s="1"/>
  <c r="E461" i="5"/>
  <c r="I461" i="5" l="1"/>
  <c r="C462" i="5" s="1"/>
  <c r="F461" i="5"/>
  <c r="G461" i="5" s="1"/>
  <c r="H462" i="5" l="1"/>
  <c r="J462" i="5" s="1"/>
  <c r="E462" i="5"/>
  <c r="F462" i="5" l="1"/>
  <c r="G462" i="5" s="1"/>
  <c r="I462" i="5"/>
  <c r="C463" i="5" s="1"/>
  <c r="H463" i="5" l="1"/>
  <c r="J463" i="5" s="1"/>
  <c r="E463" i="5"/>
  <c r="F463" i="5" l="1"/>
  <c r="G463" i="5" s="1"/>
  <c r="I463" i="5"/>
  <c r="C464" i="5" s="1"/>
  <c r="H464" i="5" l="1"/>
  <c r="J464" i="5" s="1"/>
  <c r="E464" i="5"/>
  <c r="F464" i="5" l="1"/>
  <c r="G464" i="5" s="1"/>
  <c r="I464" i="5"/>
  <c r="C465" i="5" s="1"/>
  <c r="E465" i="5" l="1"/>
  <c r="H465" i="5"/>
  <c r="J465" i="5" s="1"/>
  <c r="I465" i="5" l="1"/>
  <c r="C466" i="5" s="1"/>
  <c r="F465" i="5"/>
  <c r="G465" i="5" s="1"/>
  <c r="E466" i="5" l="1"/>
  <c r="H466" i="5"/>
  <c r="J466" i="5" s="1"/>
  <c r="F466" i="5" l="1"/>
  <c r="G466" i="5" s="1"/>
  <c r="I466" i="5"/>
  <c r="C467" i="5" s="1"/>
  <c r="E467" i="5" l="1"/>
  <c r="H467" i="5"/>
  <c r="J467" i="5" s="1"/>
  <c r="F467" i="5" l="1"/>
  <c r="G467" i="5" s="1"/>
  <c r="I467" i="5"/>
  <c r="C468" i="5" s="1"/>
  <c r="H468" i="5" l="1"/>
  <c r="J468" i="5" s="1"/>
  <c r="E468" i="5"/>
  <c r="F468" i="5" l="1"/>
  <c r="G468" i="5" s="1"/>
  <c r="I468" i="5"/>
  <c r="C469" i="5" s="1"/>
  <c r="E469" i="5" l="1"/>
  <c r="H469" i="5"/>
  <c r="J469" i="5" s="1"/>
  <c r="I469" i="5" l="1"/>
  <c r="C470" i="5" s="1"/>
  <c r="F469" i="5"/>
  <c r="G469" i="5" s="1"/>
  <c r="E470" i="5" l="1"/>
  <c r="H470" i="5"/>
  <c r="J470" i="5" s="1"/>
  <c r="F470" i="5" l="1"/>
  <c r="G470" i="5" s="1"/>
  <c r="I470" i="5"/>
  <c r="C471" i="5" s="1"/>
  <c r="H471" i="5" l="1"/>
  <c r="J471" i="5" s="1"/>
  <c r="E471" i="5"/>
  <c r="I471" i="5" l="1"/>
  <c r="C472" i="5" s="1"/>
  <c r="F471" i="5"/>
  <c r="G471" i="5" s="1"/>
  <c r="E472" i="5" l="1"/>
  <c r="H472" i="5"/>
  <c r="J472" i="5" s="1"/>
  <c r="F472" i="5" l="1"/>
  <c r="G472" i="5" s="1"/>
  <c r="I472" i="5"/>
  <c r="C473" i="5" s="1"/>
  <c r="E473" i="5" l="1"/>
  <c r="H473" i="5"/>
  <c r="J473" i="5" s="1"/>
  <c r="I473" i="5" l="1"/>
  <c r="C474" i="5" s="1"/>
  <c r="F473" i="5"/>
  <c r="G473" i="5" s="1"/>
  <c r="H474" i="5" l="1"/>
  <c r="J474" i="5" s="1"/>
  <c r="E474" i="5"/>
  <c r="F474" i="5" l="1"/>
  <c r="G474" i="5" s="1"/>
  <c r="I474" i="5"/>
  <c r="C475" i="5" s="1"/>
  <c r="E475" i="5" l="1"/>
  <c r="H475" i="5"/>
  <c r="J475" i="5" s="1"/>
  <c r="F475" i="5" l="1"/>
  <c r="G475" i="5" s="1"/>
  <c r="I475" i="5"/>
  <c r="C476" i="5" s="1"/>
  <c r="E476" i="5" l="1"/>
  <c r="H476" i="5"/>
  <c r="J476" i="5" s="1"/>
  <c r="F476" i="5" l="1"/>
  <c r="G476" i="5" s="1"/>
  <c r="I476" i="5"/>
  <c r="C477" i="5" s="1"/>
  <c r="E477" i="5" l="1"/>
  <c r="H477" i="5"/>
  <c r="J477" i="5" s="1"/>
  <c r="F477" i="5" l="1"/>
  <c r="G477" i="5" s="1"/>
  <c r="I477" i="5"/>
  <c r="C478" i="5" s="1"/>
  <c r="E478" i="5" l="1"/>
  <c r="H478" i="5"/>
  <c r="J478" i="5" s="1"/>
  <c r="I478" i="5" l="1"/>
  <c r="C479" i="5" s="1"/>
  <c r="F478" i="5"/>
  <c r="G478" i="5" s="1"/>
  <c r="E479" i="5" l="1"/>
  <c r="H479" i="5"/>
  <c r="J479" i="5" s="1"/>
  <c r="I479" i="5" l="1"/>
  <c r="C480" i="5" s="1"/>
  <c r="F479" i="5"/>
  <c r="G479" i="5" s="1"/>
  <c r="H480" i="5" l="1"/>
  <c r="J480" i="5" s="1"/>
  <c r="E480" i="5"/>
  <c r="F480" i="5" l="1"/>
  <c r="G480" i="5" s="1"/>
  <c r="I480" i="5"/>
  <c r="C481" i="5" s="1"/>
  <c r="E481" i="5" l="1"/>
  <c r="H481" i="5"/>
  <c r="J481" i="5" s="1"/>
  <c r="F481" i="5" l="1"/>
  <c r="G481" i="5" s="1"/>
  <c r="I481" i="5"/>
  <c r="C482" i="5" s="1"/>
  <c r="E482" i="5" l="1"/>
  <c r="H482" i="5"/>
  <c r="J482" i="5" s="1"/>
  <c r="F482" i="5" l="1"/>
  <c r="G482" i="5" s="1"/>
  <c r="I482" i="5"/>
  <c r="C483" i="5" s="1"/>
  <c r="E483" i="5" l="1"/>
  <c r="H483" i="5"/>
  <c r="J483" i="5" s="1"/>
  <c r="F483" i="5" l="1"/>
  <c r="G483" i="5" s="1"/>
  <c r="I483" i="5"/>
  <c r="C484" i="5" s="1"/>
  <c r="H484" i="5" l="1"/>
  <c r="J484" i="5" s="1"/>
  <c r="E484" i="5"/>
  <c r="F484" i="5" l="1"/>
  <c r="G484" i="5" s="1"/>
  <c r="I484" i="5"/>
  <c r="C485" i="5" s="1"/>
  <c r="E485" i="5" l="1"/>
  <c r="H485" i="5"/>
  <c r="J485" i="5" s="1"/>
  <c r="I485" i="5" l="1"/>
  <c r="C486" i="5" s="1"/>
  <c r="F485" i="5"/>
  <c r="G485" i="5" s="1"/>
  <c r="E486" i="5" l="1"/>
  <c r="H486" i="5"/>
  <c r="J486" i="5" s="1"/>
  <c r="F486" i="5" l="1"/>
  <c r="G486" i="5" s="1"/>
  <c r="I486" i="5"/>
  <c r="C487" i="5" s="1"/>
  <c r="E487" i="5" l="1"/>
  <c r="H487" i="5"/>
  <c r="J487" i="5" s="1"/>
  <c r="I487" i="5" l="1"/>
  <c r="C488" i="5" s="1"/>
  <c r="F487" i="5"/>
  <c r="G487" i="5" s="1"/>
  <c r="H488" i="5" l="1"/>
  <c r="J488" i="5" s="1"/>
  <c r="E488" i="5"/>
  <c r="F488" i="5" l="1"/>
  <c r="G488" i="5" s="1"/>
  <c r="I488" i="5"/>
  <c r="C489" i="5" s="1"/>
  <c r="E489" i="5" l="1"/>
  <c r="H489" i="5"/>
  <c r="J489" i="5" s="1"/>
  <c r="F489" i="5" l="1"/>
  <c r="G489" i="5" s="1"/>
  <c r="I489" i="5"/>
  <c r="C490" i="5" s="1"/>
  <c r="E490" i="5" l="1"/>
  <c r="H490" i="5"/>
  <c r="J490" i="5" s="1"/>
  <c r="F490" i="5" l="1"/>
  <c r="G490" i="5" s="1"/>
  <c r="I490" i="5"/>
  <c r="C491" i="5" s="1"/>
  <c r="E491" i="5" l="1"/>
  <c r="H491" i="5"/>
  <c r="J491" i="5" s="1"/>
  <c r="I491" i="5" l="1"/>
  <c r="C492" i="5" s="1"/>
  <c r="F491" i="5"/>
  <c r="G491" i="5" s="1"/>
  <c r="H492" i="5" l="1"/>
  <c r="J492" i="5" s="1"/>
  <c r="E492" i="5"/>
  <c r="F492" i="5" l="1"/>
  <c r="G492" i="5" s="1"/>
  <c r="I492" i="5"/>
  <c r="C493" i="5" s="1"/>
  <c r="E493" i="5" l="1"/>
  <c r="H493" i="5"/>
  <c r="J493" i="5" s="1"/>
  <c r="F493" i="5" l="1"/>
  <c r="G493" i="5" s="1"/>
  <c r="I493" i="5"/>
  <c r="C494" i="5" s="1"/>
  <c r="H494" i="5" l="1"/>
  <c r="J494" i="5" s="1"/>
  <c r="E494" i="5"/>
  <c r="F494" i="5" l="1"/>
  <c r="G494" i="5" s="1"/>
  <c r="I494" i="5"/>
  <c r="C495" i="5" s="1"/>
  <c r="H495" i="5" l="1"/>
  <c r="J495" i="5" s="1"/>
  <c r="E495" i="5"/>
  <c r="I495" i="5" l="1"/>
  <c r="C496" i="5" s="1"/>
  <c r="F495" i="5"/>
  <c r="G495" i="5" s="1"/>
  <c r="E496" i="5" l="1"/>
  <c r="H496" i="5"/>
  <c r="J496" i="5" s="1"/>
  <c r="F496" i="5" l="1"/>
  <c r="G496" i="5" s="1"/>
  <c r="I496" i="5"/>
  <c r="C497" i="5" s="1"/>
  <c r="E497" i="5" l="1"/>
  <c r="J9" i="5"/>
  <c r="H497" i="5"/>
  <c r="J497" i="5" s="1"/>
  <c r="J8" i="5" l="1"/>
  <c r="I497" i="5"/>
  <c r="J7" i="5" s="1"/>
  <c r="F497" i="5"/>
  <c r="G49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tc={50E46520-52ED-4194-A9BE-CAF3713C138D}</author>
    <author>tc={5C931AB7-1A99-4AA8-9538-E43AE5DF5C9C}</author>
    <author>tc={D2D7A2E3-A3D2-4A30-96F2-E6271338C2DC}</author>
    <author>tc={2E6936C7-F245-4FC8-AEB8-DA1C8D986716}</author>
    <author>tc={36354631-211C-4182-9C88-656ED04C4A73}</author>
    <author>tc={A015444C-6C9B-4F09-9D5D-920209E8AE94}</author>
    <author>Terry</author>
  </authors>
  <commentList>
    <comment ref="B5" authorId="0" shapeId="0" xr:uid="{50E46520-52ED-4194-A9BE-CAF3713C138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 between 10 to 15% of income</t>
      </text>
    </comment>
    <comment ref="J5" authorId="1" shapeId="0" xr:uid="{5C931AB7-1A99-4AA8-9538-E43AE5DF5C9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10 to 15% of income</t>
      </text>
    </comment>
    <comment ref="J17" authorId="2" shapeId="0" xr:uid="{D2D7A2E3-A3D2-4A30-96F2-E6271338C2D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20 to 35% of income</t>
      </text>
    </comment>
    <comment ref="B18" authorId="3" shapeId="0" xr:uid="{2E6936C7-F245-4FC8-AEB8-DA1C8D98671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5 to 10%</t>
      </text>
    </comment>
    <comment ref="B28" authorId="4" shapeId="0" xr:uid="{36354631-211C-4182-9C88-656ED04C4A7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10 to 25% of income</t>
      </text>
    </comment>
    <comment ref="J30" authorId="5" shapeId="0" xr:uid="{A015444C-6C9B-4F09-9D5D-920209E8AE9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Equivalent to 1 month's worth of foundational expenses</t>
      </text>
    </comment>
    <comment ref="M56" authorId="6" shapeId="0" xr:uid="{0FBF06BF-3DC7-4F1B-8842-3CC048DE08C0}">
      <text>
        <r>
          <rPr>
            <b/>
            <sz val="9"/>
            <color indexed="81"/>
            <rFont val="Tahoma"/>
            <family val="2"/>
          </rPr>
          <t>Terry:</t>
        </r>
        <r>
          <rPr>
            <sz val="9"/>
            <color indexed="81"/>
            <rFont val="Tahoma"/>
            <family val="2"/>
          </rPr>
          <t xml:space="preserve">
Insert the figure you want to commit to monthly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tc={0036AFE7-8286-46F1-B9BE-A999819B8CC1}</author>
    <author>tc={2CF0EDA4-6D78-41FC-90BA-665612554E0A}</author>
    <author>tc={5F438BD6-5462-48BF-8A62-8FA56AFAE7C8}</author>
  </authors>
  <commentList>
    <comment ref="B5" authorId="0" shapeId="0" xr:uid="{0036AFE7-8286-46F1-B9BE-A999819B8CC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5 to 10% of income</t>
      </text>
    </comment>
    <comment ref="J5" authorId="1" shapeId="0" xr:uid="{2CF0EDA4-6D78-41FC-90BA-66561255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5 to 10% of income</t>
      </text>
    </comment>
    <comment ref="B18" authorId="2" shapeId="0" xr:uid="{5F438BD6-5462-48BF-8A62-8FA56AFAE7C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range between 5 to 10% of income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tc={578A9075-FD45-492E-9CDA-5F8E63D1DBF8}</author>
    <author>tc={8191AD71-F2C9-4EA6-984D-3157F68CDA04}</author>
  </authors>
  <commentList>
    <comment ref="J5" authorId="0" shapeId="0" xr:uid="{578A9075-FD45-492E-9CDA-5F8E63D1DBF8}">
      <text>
        <t>[Threaded comment]
Your version of Excel allows you to read this threaded comment; however, any edits to it will get removed if the file is opened in a newer version of Excel. Learn more: https://go.microsoft.com/fwlink/?linkid=870924
Comment:
    usually averages 5% of income</t>
      </text>
    </comment>
    <comment ref="J12" authorId="1" shapeId="0" xr:uid="{8191AD71-F2C9-4EA6-984D-3157F68CDA0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amount you usually spend on a monthly basis. 
A bench mark could be your entire monthly salary or the amount you have left over after removing savings for the future</t>
      </text>
    </comment>
  </commentList>
</comments>
</file>

<file path=xl/sharedStrings.xml><?xml version="1.0" encoding="utf-8"?>
<sst xmlns="http://schemas.openxmlformats.org/spreadsheetml/2006/main" count="754" uniqueCount="322">
  <si>
    <t>FINANCIAL SECURITY</t>
  </si>
  <si>
    <t>FOOD &amp; HOUSEHOLD</t>
  </si>
  <si>
    <t>Projected Cost</t>
  </si>
  <si>
    <t>Actual Cost</t>
  </si>
  <si>
    <t>Difference</t>
  </si>
  <si>
    <t xml:space="preserve">Form </t>
  </si>
  <si>
    <t>Bank</t>
  </si>
  <si>
    <t>Cash</t>
  </si>
  <si>
    <t>TRANSPORTATION</t>
  </si>
  <si>
    <t>Form</t>
  </si>
  <si>
    <t>groceries</t>
  </si>
  <si>
    <t>cash</t>
  </si>
  <si>
    <t>fuel</t>
  </si>
  <si>
    <t>Caregiver</t>
  </si>
  <si>
    <t xml:space="preserve">maintenance /service </t>
  </si>
  <si>
    <t>child expenses</t>
  </si>
  <si>
    <t>car payments</t>
  </si>
  <si>
    <t>toiletries</t>
  </si>
  <si>
    <t>parking and toll fees</t>
  </si>
  <si>
    <t>landscaping</t>
  </si>
  <si>
    <t>bus fares</t>
  </si>
  <si>
    <t>taxi fares</t>
  </si>
  <si>
    <t xml:space="preserve">cleaning services </t>
  </si>
  <si>
    <t>Total</t>
  </si>
  <si>
    <t>MORTGAGE/RENT</t>
  </si>
  <si>
    <t>UTILITIES</t>
  </si>
  <si>
    <t xml:space="preserve">property maintenance/rent </t>
  </si>
  <si>
    <t xml:space="preserve"> water and sewer</t>
  </si>
  <si>
    <t xml:space="preserve">loans </t>
  </si>
  <si>
    <t>electricity</t>
  </si>
  <si>
    <t>rates</t>
  </si>
  <si>
    <t xml:space="preserve">cellphone </t>
  </si>
  <si>
    <t>internet</t>
  </si>
  <si>
    <t>gas</t>
  </si>
  <si>
    <t xml:space="preserve">generator maintenance </t>
  </si>
  <si>
    <t>INSURANCE &amp; HEALTHCARE</t>
  </si>
  <si>
    <t xml:space="preserve">medical aid/insurance </t>
  </si>
  <si>
    <t>FINANCIAL SECURITY CALCULATION</t>
  </si>
  <si>
    <t xml:space="preserve">vehicle insurance </t>
  </si>
  <si>
    <t xml:space="preserve">KHONAPHO FUND </t>
  </si>
  <si>
    <t>Vehicle licensing</t>
  </si>
  <si>
    <t>doctors and dentist consultations</t>
  </si>
  <si>
    <t>MINIMUM SURVIVAL PERIOD (MONTHS)</t>
  </si>
  <si>
    <t xml:space="preserve">life insurance </t>
  </si>
  <si>
    <t xml:space="preserve">household property insurance </t>
  </si>
  <si>
    <t>EMERGENCY FUND</t>
  </si>
  <si>
    <t xml:space="preserve">home insurance </t>
  </si>
  <si>
    <t xml:space="preserve">funeral cover </t>
  </si>
  <si>
    <t>ANNUAL FINANCIAL SECURITY</t>
  </si>
  <si>
    <t>prescriptions and monthly medicines</t>
  </si>
  <si>
    <t>black tax - dependents cover</t>
  </si>
  <si>
    <t>RETIREMENT LIFETIME (YEARS)</t>
  </si>
  <si>
    <t>FINANCIAL SECURITY (LIFETIME)</t>
  </si>
  <si>
    <t>BREAKDOWN OF FINANCIAL SECURITY FORM</t>
  </si>
  <si>
    <t>Monthly: Breakdown of Financial security by amount and percentage</t>
  </si>
  <si>
    <t>PERFORMANCE TRACKER</t>
  </si>
  <si>
    <t>funds set aside towards building financial security</t>
  </si>
  <si>
    <t>Month</t>
  </si>
  <si>
    <t>2020</t>
  </si>
  <si>
    <t>Column2</t>
  </si>
  <si>
    <t>Column1</t>
  </si>
  <si>
    <t>2021</t>
  </si>
  <si>
    <t>2022</t>
  </si>
  <si>
    <t>2023</t>
  </si>
  <si>
    <t>January</t>
  </si>
  <si>
    <t>February</t>
  </si>
  <si>
    <t>March</t>
  </si>
  <si>
    <t>April</t>
  </si>
  <si>
    <t>May</t>
  </si>
  <si>
    <t>TOTAL</t>
  </si>
  <si>
    <t>June</t>
  </si>
  <si>
    <t>July</t>
  </si>
  <si>
    <t>TIME REQUIRED (How long will it take me/us to reach the target)</t>
  </si>
  <si>
    <t>August</t>
  </si>
  <si>
    <t>Monthly Income (Average)</t>
  </si>
  <si>
    <t>Value</t>
  </si>
  <si>
    <t>September</t>
  </si>
  <si>
    <t>Percentage you will SAVE</t>
  </si>
  <si>
    <t>October</t>
  </si>
  <si>
    <t xml:space="preserve">Monthly committment </t>
  </si>
  <si>
    <t>November</t>
  </si>
  <si>
    <t>Emergency Fund</t>
  </si>
  <si>
    <t>December</t>
  </si>
  <si>
    <t xml:space="preserve">Time to reach target </t>
  </si>
  <si>
    <t>months</t>
  </si>
  <si>
    <t>years</t>
  </si>
  <si>
    <t xml:space="preserve">   </t>
  </si>
  <si>
    <t>=FV(N63/N65,N64*N65,-N66,-N62)</t>
  </si>
  <si>
    <t>2024</t>
  </si>
  <si>
    <t>2025</t>
  </si>
  <si>
    <t>2026</t>
  </si>
  <si>
    <t>2027</t>
  </si>
  <si>
    <t>COMPOUND GROWTH CALCULATOR: REGULAR DEPOSITS</t>
  </si>
  <si>
    <t>Initial Amount available to invest in security</t>
  </si>
  <si>
    <t xml:space="preserve">interest rate/rate of return </t>
  </si>
  <si>
    <t xml:space="preserve">tenor/ number of years </t>
  </si>
  <si>
    <t>number of payments/contributions in a year</t>
  </si>
  <si>
    <t>monthly contributions</t>
  </si>
  <si>
    <t>FV(rate,nper,pmt,[pv],[type])</t>
  </si>
  <si>
    <t xml:space="preserve">Multiplier </t>
  </si>
  <si>
    <t>ONE TIME INVESTMENT: COMPOUND GROWTH CALCULATOR</t>
  </si>
  <si>
    <t>Investment amount</t>
  </si>
  <si>
    <t>Time to Reach Emergency Fund  (Accounting for Progress)</t>
  </si>
  <si>
    <t>Progress Made</t>
  </si>
  <si>
    <t>Balance to target</t>
  </si>
  <si>
    <t xml:space="preserve">monthly commitment </t>
  </si>
  <si>
    <t>time to reach target</t>
  </si>
  <si>
    <t xml:space="preserve">Time to Reach Annual Financial Security target </t>
  </si>
  <si>
    <t>FINANCIAL VITALITY</t>
  </si>
  <si>
    <t>PERSONAL CARE</t>
  </si>
  <si>
    <t>ENTERTAINMENT COSTS</t>
  </si>
  <si>
    <t xml:space="preserve">clothing </t>
  </si>
  <si>
    <t>movies</t>
  </si>
  <si>
    <t xml:space="preserve">dry cleaning </t>
  </si>
  <si>
    <t xml:space="preserve">Restaurant meals </t>
  </si>
  <si>
    <t xml:space="preserve">cosmetics </t>
  </si>
  <si>
    <t xml:space="preserve">sports club membership </t>
  </si>
  <si>
    <t xml:space="preserve">Gym membership </t>
  </si>
  <si>
    <t xml:space="preserve">Drinks and get togethers </t>
  </si>
  <si>
    <t>education</t>
  </si>
  <si>
    <t xml:space="preserve">games nights </t>
  </si>
  <si>
    <t xml:space="preserve">association memberships </t>
  </si>
  <si>
    <t>live concerts and shows</t>
  </si>
  <si>
    <t xml:space="preserve">hobbies </t>
  </si>
  <si>
    <t xml:space="preserve">sporting events </t>
  </si>
  <si>
    <t xml:space="preserve">home décor and furnishings </t>
  </si>
  <si>
    <t xml:space="preserve">streaming service subscriptions </t>
  </si>
  <si>
    <t xml:space="preserve">magazine subscriptions </t>
  </si>
  <si>
    <t xml:space="preserve">video games </t>
  </si>
  <si>
    <t>hair</t>
  </si>
  <si>
    <t>LITTLE LUXURIES</t>
  </si>
  <si>
    <t>Monthly Financial Security</t>
  </si>
  <si>
    <t xml:space="preserve">gifts </t>
  </si>
  <si>
    <t xml:space="preserve">short vacations </t>
  </si>
  <si>
    <t xml:space="preserve">new sheets the expensive ones </t>
  </si>
  <si>
    <t>FINANCIAL VITALITY CALCULATION</t>
  </si>
  <si>
    <t>MONTHLY FINANCIAL VITALITY</t>
  </si>
  <si>
    <t>funds set aside towards building FINANCIAL VITALITY</t>
  </si>
  <si>
    <t>ANNUAL FINANCIAL VITALITY</t>
  </si>
  <si>
    <t>FINANCIAL VITALITY (LIFETIME)</t>
  </si>
  <si>
    <t>BREAKDOWN OF FINANCIAL VITALITY FORM</t>
  </si>
  <si>
    <t>Monthly: Breakdown of FINANCIAL VITALITY by amount and percentage</t>
  </si>
  <si>
    <t>FINANCIAL INDEPENDENCE</t>
  </si>
  <si>
    <t xml:space="preserve">JOB BASED INCOME </t>
  </si>
  <si>
    <t>Column3</t>
  </si>
  <si>
    <t>Column22</t>
  </si>
  <si>
    <t>salary - T</t>
  </si>
  <si>
    <t>salary - F</t>
  </si>
  <si>
    <t xml:space="preserve">INVESTMENT &amp; OTHER STREAMS INCOME </t>
  </si>
  <si>
    <t>consultation fees</t>
  </si>
  <si>
    <t xml:space="preserve">vegetable sales </t>
  </si>
  <si>
    <t xml:space="preserve">lifestock sales </t>
  </si>
  <si>
    <t xml:space="preserve">rental income </t>
  </si>
  <si>
    <t xml:space="preserve">pension income </t>
  </si>
  <si>
    <t xml:space="preserve">dividents </t>
  </si>
  <si>
    <t>REGULAR SAVINGS</t>
  </si>
  <si>
    <t xml:space="preserve">save more tomorrow </t>
  </si>
  <si>
    <t>LIFESTYLE SUPPORT</t>
  </si>
  <si>
    <t>loans</t>
  </si>
  <si>
    <t xml:space="preserve">donations from parents or siblings </t>
  </si>
  <si>
    <t>FINANCIAL INDEPENDENCE  CALCULATION</t>
  </si>
  <si>
    <t>MONTHLY FINANCIAL INDEPENDENCE</t>
  </si>
  <si>
    <t>ANNUAL FINANCIAL INDEPENDENCE</t>
  </si>
  <si>
    <t>FINANCIAL FREEDOM (LIFETIME)</t>
  </si>
  <si>
    <t>FINANCIAL FREEDOM</t>
  </si>
  <si>
    <t>LUXURY ITEM 1</t>
  </si>
  <si>
    <t>LUXURY ITEM 2</t>
  </si>
  <si>
    <t>DONATIONS/ PAY IT FORWARD</t>
  </si>
  <si>
    <t>Monthly Financial Independence</t>
  </si>
  <si>
    <t>FINANCIAL FREEDOM CALCULATION</t>
  </si>
  <si>
    <t>MONTHLY FINANCIAL FREEDOM</t>
  </si>
  <si>
    <t>ANNUAL FINANCIALFREEDOM</t>
  </si>
  <si>
    <t>funds set aside towards building FINANCIAL VIABILITY</t>
  </si>
  <si>
    <t>BREAKDOWN OF FINANCIAL VIABILITY FORM</t>
  </si>
  <si>
    <t>Monthly: Breakdown of FINANCIAL VIABILITY by amount and percentage</t>
  </si>
  <si>
    <t>1. The compound interest calculators in this toolkit can answer questions about investments,</t>
  </si>
  <si>
    <t xml:space="preserve">          savings accounts, loans and single or regular investments.</t>
  </si>
  <si>
    <t xml:space="preserve">    You can also convert your interest and earnings rates to yearly, daily, weekly or monthly rates.</t>
  </si>
  <si>
    <r>
      <t xml:space="preserve">2. All dollar amounts are in dollars of the day, </t>
    </r>
    <r>
      <rPr>
        <b/>
        <sz val="10"/>
        <rFont val="Arial"/>
        <family val="2"/>
      </rPr>
      <t>not adjusted</t>
    </r>
    <r>
      <rPr>
        <sz val="10"/>
        <color theme="1"/>
        <rFont val="Calibri"/>
        <family val="2"/>
        <scheme val="minor"/>
      </rPr>
      <t xml:space="preserve"> for inflation.</t>
    </r>
  </si>
  <si>
    <r>
      <t xml:space="preserve">3. Interest payments are assumed to be credited at the end of each year, and </t>
    </r>
    <r>
      <rPr>
        <b/>
        <sz val="10"/>
        <rFont val="Arial"/>
        <family val="2"/>
      </rPr>
      <t>fully re-invested</t>
    </r>
    <r>
      <rPr>
        <sz val="10"/>
        <color theme="1"/>
        <rFont val="Calibri"/>
        <family val="2"/>
        <scheme val="minor"/>
      </rPr>
      <t>.</t>
    </r>
  </si>
  <si>
    <t xml:space="preserve">    Fees and taxes may also apply to your investments.</t>
  </si>
  <si>
    <t>1. How much will it be worth?</t>
  </si>
  <si>
    <t>Single investment</t>
  </si>
  <si>
    <t>Regular investment</t>
  </si>
  <si>
    <t xml:space="preserve">  (same amount at the start of each year)</t>
  </si>
  <si>
    <t>Investment</t>
  </si>
  <si>
    <t>Annual investment</t>
  </si>
  <si>
    <t>Annual interest</t>
  </si>
  <si>
    <t>deduct fees from annual interest</t>
  </si>
  <si>
    <t>Years invested</t>
  </si>
  <si>
    <t>2. How much do you need to start?</t>
  </si>
  <si>
    <t>Your target</t>
  </si>
  <si>
    <t>=</t>
  </si>
  <si>
    <t>Amount to start</t>
  </si>
  <si>
    <t>Amount needed each year</t>
  </si>
  <si>
    <t>3. How long will it take?</t>
  </si>
  <si>
    <t>Annual Investment</t>
  </si>
  <si>
    <t>Years to achieve target</t>
  </si>
  <si>
    <t>4. What interest or earnings rate do you need?</t>
  </si>
  <si>
    <t>Interest rate needed</t>
  </si>
  <si>
    <t>5. Show the annual, daily, weekly, or monthly rate</t>
  </si>
  <si>
    <t>Interest rate</t>
  </si>
  <si>
    <t>Annual interest rate</t>
  </si>
  <si>
    <r>
      <t xml:space="preserve">Period to convert </t>
    </r>
    <r>
      <rPr>
        <b/>
        <i/>
        <sz val="10"/>
        <rFont val="Arial"/>
        <family val="2"/>
      </rPr>
      <t>from</t>
    </r>
  </si>
  <si>
    <t>Monthly</t>
  </si>
  <si>
    <r>
      <t>Period to convert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to</t>
    </r>
  </si>
  <si>
    <t>Daily</t>
  </si>
  <si>
    <t>Annual rate</t>
  </si>
  <si>
    <t>Personal Monthly Budget : September</t>
  </si>
  <si>
    <t>PROJECTED MONTHLY INCOME</t>
  </si>
  <si>
    <t xml:space="preserve">salary </t>
  </si>
  <si>
    <t>PROJECTED BALANCE (Projected income minus expenses)</t>
  </si>
  <si>
    <t>stokvel</t>
  </si>
  <si>
    <t>board fees</t>
  </si>
  <si>
    <t>interest on investments</t>
  </si>
  <si>
    <t>other</t>
  </si>
  <si>
    <t>Total monthly income</t>
  </si>
  <si>
    <t>ACTUAL BALANCE (Actual income minus expenses)</t>
  </si>
  <si>
    <t>ACTUAL MONTHLY INCOME</t>
  </si>
  <si>
    <t>DIFFERENCE (Actual minus projected)</t>
  </si>
  <si>
    <t>HOUSING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</si>
  <si>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</si>
  <si>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</si>
  <si>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</si>
  <si>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</si>
  <si>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</si>
  <si>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</si>
  <si>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</si>
  <si>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</si>
  <si>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</si>
  <si>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</si>
  <si>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</si>
  <si>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dstv</t>
  </si>
  <si>
    <t>Live theater</t>
  </si>
  <si>
    <t>care giver / maid</t>
  </si>
  <si>
    <t>travel</t>
  </si>
  <si>
    <t>Maintenance or repairs</t>
  </si>
  <si>
    <t>Birthday celebration</t>
  </si>
  <si>
    <t xml:space="preserve">Supplies - paint </t>
  </si>
  <si>
    <t>Other</t>
  </si>
  <si>
    <t>plugs, locks, lighting</t>
  </si>
  <si>
    <t>LOANS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</si>
  <si>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</si>
  <si>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</si>
  <si>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</si>
  <si>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</si>
  <si>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</si>
  <si>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</si>
  <si>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</si>
  <si>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</si>
  <si>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</si>
  <si>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traffic fines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</si>
  <si>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</si>
  <si>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</si>
  <si>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</si>
  <si>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</si>
  <si>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</si>
  <si>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</si>
  <si>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</si>
  <si>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</si>
  <si>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</si>
  <si>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</si>
  <si>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</si>
  <si>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</si>
  <si>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</si>
  <si>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</si>
  <si>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</si>
  <si>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tithes</t>
  </si>
  <si>
    <t>acts of kindness</t>
  </si>
  <si>
    <t>EDUCATION</t>
  </si>
  <si>
    <t>friends of compassion</t>
  </si>
  <si>
    <t xml:space="preserve">school fees </t>
  </si>
  <si>
    <t>cell contributions</t>
  </si>
  <si>
    <t>costumes</t>
  </si>
  <si>
    <t xml:space="preserve">training &amp; conferences </t>
  </si>
  <si>
    <t>LEGAL</t>
  </si>
  <si>
    <t>Medical</t>
  </si>
  <si>
    <t>Hair/nails</t>
  </si>
  <si>
    <t>Clothing</t>
  </si>
  <si>
    <t>TOTAL PROJECTED COST</t>
  </si>
  <si>
    <t>Dry cleaning</t>
  </si>
  <si>
    <t>Gym</t>
  </si>
  <si>
    <t>TOTAL ACTUAL COST</t>
  </si>
  <si>
    <t>TOTAL DIFFERENCE</t>
  </si>
  <si>
    <t>ASSET ALLOCATION</t>
  </si>
  <si>
    <t>percentage allocation</t>
  </si>
  <si>
    <t>Ray Dalio asset allocation</t>
  </si>
  <si>
    <t>stocks</t>
  </si>
  <si>
    <t>Property</t>
  </si>
  <si>
    <t>long term bonds</t>
  </si>
  <si>
    <t>Bonds</t>
  </si>
  <si>
    <t>intermediate bonds</t>
  </si>
  <si>
    <t>Short term loans - money market</t>
  </si>
  <si>
    <t>commodities</t>
  </si>
  <si>
    <t>Short term loans - business</t>
  </si>
  <si>
    <t>gold</t>
  </si>
  <si>
    <t>ETF - Index funds</t>
  </si>
  <si>
    <t>new ventures</t>
  </si>
  <si>
    <t>Loan Amortization Schedule</t>
  </si>
  <si>
    <t>Enter values</t>
  </si>
  <si>
    <t>Loan summary</t>
  </si>
  <si>
    <t>Loan amount</t>
  </si>
  <si>
    <t>Scheduled payment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</si>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</sst>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\$#,##0.00"/>
    <numFmt numFmtId="167" formatCode="0_)"/>
    <numFmt numFmtId="168" formatCode="0.00?%_)"/>
    <numFmt numFmtId="169" formatCode="\$#,##0"/>
    <numFmt numFmtId="170" formatCode="0.0"/>
    <numFmt numFmtId="171" formatCode="0.000%"/>
    <numFmt numFmtId="172" formatCode="0.00000%"/>
    <numFmt numFmtId="173" formatCode="#,##0.0_);\(#,##0.0\)"/>
    <numFmt numFmtId="174" formatCode="_(* #,##0_);_(* \(#,##0\);_(* &quot;-&quot;??_);_(@_)"/>
    <numFmt numFmtId="175" formatCode="0.0%"/>
    <numFmt numFmtId="176" formatCode="&quot;$&quot;#,##0.00;[Red]&quot;$&quot;#,##0.00"/>
    <numFmt numFmtId="177" formatCode="0.000"/>
  </numFmts>
  <fonts count="54"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  <family val="2"/>
    </font>
    <font>
      <sz val="10"/>
      <color indexed="23"/>
      <name val="Calibri"/>
      <family val="1"/>
      <scheme val="minor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8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1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indexed="63"/>
      <name val="Palatino Linotype"/>
      <family val="1"/>
    </font>
    <font>
      <sz val="30"/>
      <color indexed="63"/>
      <name val="Palatino Linotype"/>
      <family val="1"/>
    </font>
    <font>
      <sz val="10"/>
      <color theme="1"/>
      <name val="Palatino Linotype"/>
      <family val="1"/>
    </font>
    <font>
      <sz val="26"/>
      <color indexed="63"/>
      <name val="Palatino Linotype"/>
      <family val="1"/>
    </font>
    <font>
      <b/>
      <sz val="10"/>
      <color indexed="63"/>
      <name val="Palatino Linotype"/>
      <family val="1"/>
    </font>
    <font>
      <sz val="10"/>
      <name val="Palatino Linotype"/>
      <family val="1"/>
    </font>
    <font>
      <b/>
      <sz val="10"/>
      <name val="Palatino Linotype"/>
      <family val="1"/>
    </font>
    <font>
      <b/>
      <sz val="12"/>
      <color theme="0"/>
      <name val="Palatino Linotype"/>
      <family val="1"/>
    </font>
    <font>
      <sz val="11"/>
      <color theme="1"/>
      <name val="Palatino Linotype"/>
      <family val="1"/>
    </font>
    <font>
      <b/>
      <sz val="10"/>
      <color theme="0"/>
      <name val="Palatino Linotype"/>
      <family val="1"/>
    </font>
    <font>
      <sz val="10"/>
      <color theme="0"/>
      <name val="Palatino Linotype"/>
      <family val="1"/>
    </font>
    <font>
      <sz val="10"/>
      <color rgb="FFFF0000"/>
      <name val="Palatino Linotype"/>
      <family val="1"/>
    </font>
    <font>
      <b/>
      <sz val="10"/>
      <color theme="0" tint="-4.9989318521683403E-2"/>
      <name val="Palatino Linotype"/>
      <family val="1"/>
    </font>
    <font>
      <sz val="10"/>
      <color theme="0" tint="-4.9989318521683403E-2"/>
      <name val="Palatino Linotype"/>
      <family val="1"/>
    </font>
    <font>
      <b/>
      <sz val="12"/>
      <color theme="0" tint="-4.9989318521683403E-2"/>
      <name val="Palatino Linotype"/>
      <family val="1"/>
    </font>
    <font>
      <sz val="12"/>
      <color theme="0" tint="-4.9989318521683403E-2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Palatino Linotype"/>
      <family val="1"/>
    </font>
    <font>
      <b/>
      <sz val="11"/>
      <color rgb="FFFF3300"/>
      <name val="Palatino Linotype"/>
      <family val="1"/>
    </font>
  </fonts>
  <fills count="2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33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 style="thin">
        <color rgb="FF95B3D7"/>
      </left>
      <right style="thin">
        <color rgb="FF95B3D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rgb="FFFF330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FF3300"/>
      </right>
      <top style="thin">
        <color theme="0"/>
      </top>
      <bottom style="thin">
        <color theme="0"/>
      </bottom>
      <diagonal/>
    </border>
    <border>
      <left style="thin">
        <color rgb="FFFF3300"/>
      </left>
      <right style="thin">
        <color rgb="FFFF3300"/>
      </right>
      <top/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rgb="FFFF0000"/>
      </right>
      <top style="thin">
        <color theme="0"/>
      </top>
      <bottom/>
      <diagonal/>
    </border>
    <border>
      <left/>
      <right style="thin">
        <color rgb="FFFF0000"/>
      </right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9" fillId="0" borderId="0"/>
    <xf numFmtId="44" fontId="10" fillId="0" borderId="0" applyFont="0" applyFill="0" applyBorder="0" applyAlignment="0" applyProtection="0"/>
    <xf numFmtId="0" fontId="12" fillId="8" borderId="0" applyNumberFormat="0" applyBorder="0" applyAlignment="0" applyProtection="0"/>
    <xf numFmtId="0" fontId="16" fillId="5" borderId="11" applyNumberFormat="0" applyAlignment="0" applyProtection="0"/>
    <xf numFmtId="0" fontId="18" fillId="6" borderId="11" applyNumberFormat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59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6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6" fontId="4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5" fontId="6" fillId="0" borderId="8" xfId="0" applyNumberFormat="1" applyFont="1" applyBorder="1"/>
    <xf numFmtId="165" fontId="6" fillId="0" borderId="9" xfId="0" applyNumberFormat="1" applyFont="1" applyBorder="1" applyAlignment="1">
      <alignment horizontal="right" vertical="center"/>
    </xf>
    <xf numFmtId="165" fontId="7" fillId="0" borderId="8" xfId="0" applyNumberFormat="1" applyFont="1" applyBorder="1"/>
    <xf numFmtId="165" fontId="6" fillId="0" borderId="9" xfId="0" applyNumberFormat="1" applyFont="1" applyBorder="1"/>
    <xf numFmtId="0" fontId="6" fillId="0" borderId="7" xfId="0" applyFont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shrinkToFit="1"/>
    </xf>
    <xf numFmtId="6" fontId="0" fillId="0" borderId="0" xfId="0" applyNumberFormat="1"/>
    <xf numFmtId="0" fontId="8" fillId="0" borderId="0" xfId="0" applyFont="1"/>
    <xf numFmtId="0" fontId="9" fillId="0" borderId="0" xfId="1"/>
    <xf numFmtId="0" fontId="9" fillId="0" borderId="0" xfId="1" applyAlignment="1">
      <alignment horizontal="center"/>
    </xf>
    <xf numFmtId="0" fontId="9" fillId="0" borderId="0" xfId="1" applyAlignment="1">
      <alignment horizontal="left"/>
    </xf>
    <xf numFmtId="44" fontId="11" fillId="7" borderId="0" xfId="2" applyFont="1" applyFill="1" applyBorder="1" applyAlignment="1">
      <alignment horizontal="right"/>
    </xf>
    <xf numFmtId="44" fontId="11" fillId="7" borderId="0" xfId="2" applyFont="1" applyFill="1" applyBorder="1" applyAlignment="1" applyProtection="1">
      <alignment horizontal="right"/>
      <protection locked="0"/>
    </xf>
    <xf numFmtId="14" fontId="11" fillId="7" borderId="0" xfId="1" applyNumberFormat="1" applyFont="1" applyFill="1" applyAlignment="1">
      <alignment horizontal="right"/>
    </xf>
    <xf numFmtId="0" fontId="11" fillId="7" borderId="0" xfId="1" applyFont="1" applyFill="1" applyAlignment="1">
      <alignment horizontal="left"/>
    </xf>
    <xf numFmtId="0" fontId="9" fillId="0" borderId="0" xfId="1" applyAlignment="1">
      <alignment wrapText="1"/>
    </xf>
    <xf numFmtId="0" fontId="13" fillId="8" borderId="12" xfId="3" applyFont="1" applyBorder="1" applyAlignment="1" applyProtection="1">
      <alignment horizontal="left" wrapText="1" indent="3"/>
    </xf>
    <xf numFmtId="0" fontId="13" fillId="8" borderId="12" xfId="3" applyFont="1" applyBorder="1" applyAlignment="1" applyProtection="1">
      <alignment horizontal="left" wrapText="1" indent="2"/>
    </xf>
    <xf numFmtId="0" fontId="13" fillId="8" borderId="12" xfId="3" applyFont="1" applyBorder="1" applyAlignment="1">
      <alignment horizontal="left"/>
    </xf>
    <xf numFmtId="0" fontId="14" fillId="8" borderId="13" xfId="3" applyFont="1" applyBorder="1" applyAlignment="1" applyProtection="1">
      <alignment horizontal="center" vertical="center" wrapText="1"/>
    </xf>
    <xf numFmtId="0" fontId="14" fillId="8" borderId="14" xfId="3" applyFont="1" applyBorder="1" applyAlignment="1" applyProtection="1">
      <alignment horizontal="center" vertical="center" wrapText="1"/>
    </xf>
    <xf numFmtId="0" fontId="14" fillId="8" borderId="15" xfId="3" applyFont="1" applyBorder="1" applyAlignment="1" applyProtection="1">
      <alignment horizontal="center" vertical="center" wrapText="1"/>
    </xf>
    <xf numFmtId="0" fontId="13" fillId="8" borderId="0" xfId="3" applyFont="1" applyBorder="1"/>
    <xf numFmtId="0" fontId="13" fillId="8" borderId="0" xfId="3" applyFont="1" applyBorder="1" applyAlignment="1">
      <alignment horizontal="left"/>
    </xf>
    <xf numFmtId="0" fontId="9" fillId="7" borderId="12" xfId="1" applyFill="1" applyBorder="1"/>
    <xf numFmtId="0" fontId="9" fillId="7" borderId="12" xfId="1" applyFill="1" applyBorder="1" applyAlignment="1">
      <alignment horizontal="left"/>
    </xf>
    <xf numFmtId="0" fontId="9" fillId="7" borderId="0" xfId="1" applyFill="1"/>
    <xf numFmtId="0" fontId="9" fillId="7" borderId="16" xfId="1" applyFill="1" applyBorder="1" applyAlignment="1">
      <alignment horizontal="left"/>
    </xf>
    <xf numFmtId="0" fontId="15" fillId="7" borderId="0" xfId="1" applyFont="1" applyFill="1" applyAlignment="1">
      <alignment horizontal="right"/>
    </xf>
    <xf numFmtId="0" fontId="9" fillId="7" borderId="0" xfId="1" applyFill="1" applyAlignment="1">
      <alignment horizontal="left"/>
    </xf>
    <xf numFmtId="44" fontId="17" fillId="5" borderId="11" xfId="4" applyNumberFormat="1" applyFont="1" applyAlignment="1" applyProtection="1">
      <alignment horizontal="right"/>
      <protection locked="0"/>
    </xf>
    <xf numFmtId="0" fontId="9" fillId="7" borderId="12" xfId="1" applyFill="1" applyBorder="1" applyAlignment="1">
      <alignment horizontal="right"/>
    </xf>
    <xf numFmtId="0" fontId="9" fillId="7" borderId="19" xfId="1" applyFill="1" applyBorder="1" applyAlignment="1">
      <alignment horizontal="left"/>
    </xf>
    <xf numFmtId="44" fontId="19" fillId="6" borderId="11" xfId="5" applyNumberFormat="1" applyFont="1" applyAlignment="1">
      <alignment horizontal="right"/>
    </xf>
    <xf numFmtId="14" fontId="17" fillId="5" borderId="11" xfId="4" applyNumberFormat="1" applyFont="1" applyAlignment="1" applyProtection="1">
      <alignment horizontal="right"/>
      <protection locked="0"/>
    </xf>
    <xf numFmtId="0" fontId="9" fillId="7" borderId="0" xfId="1" applyFill="1" applyAlignment="1">
      <alignment horizontal="right"/>
    </xf>
    <xf numFmtId="0" fontId="9" fillId="7" borderId="20" xfId="1" applyFill="1" applyBorder="1" applyAlignment="1">
      <alignment horizontal="left"/>
    </xf>
    <xf numFmtId="167" fontId="17" fillId="5" borderId="11" xfId="4" applyNumberFormat="1" applyFont="1" applyAlignment="1" applyProtection="1">
      <alignment horizontal="right"/>
      <protection locked="0"/>
    </xf>
    <xf numFmtId="167" fontId="19" fillId="6" borderId="11" xfId="5" applyNumberFormat="1" applyFont="1" applyAlignment="1">
      <alignment horizontal="right"/>
    </xf>
    <xf numFmtId="168" fontId="17" fillId="5" borderId="11" xfId="4" applyNumberFormat="1" applyFont="1" applyAlignment="1" applyProtection="1">
      <alignment horizontal="right"/>
      <protection locked="0"/>
    </xf>
    <xf numFmtId="0" fontId="20" fillId="7" borderId="0" xfId="1" applyFont="1" applyFill="1"/>
    <xf numFmtId="0" fontId="6" fillId="0" borderId="0" xfId="0" applyFont="1"/>
    <xf numFmtId="165" fontId="6" fillId="0" borderId="0" xfId="0" applyNumberFormat="1" applyFont="1"/>
    <xf numFmtId="166" fontId="6" fillId="0" borderId="8" xfId="0" applyNumberFormat="1" applyFont="1" applyBorder="1"/>
    <xf numFmtId="166" fontId="6" fillId="0" borderId="9" xfId="0" applyNumberFormat="1" applyFont="1" applyBorder="1" applyAlignment="1">
      <alignment horizontal="right" vertical="center"/>
    </xf>
    <xf numFmtId="169" fontId="0" fillId="0" borderId="8" xfId="0" applyNumberFormat="1" applyBorder="1"/>
    <xf numFmtId="6" fontId="6" fillId="0" borderId="8" xfId="0" applyNumberFormat="1" applyFont="1" applyBorder="1"/>
    <xf numFmtId="0" fontId="22" fillId="0" borderId="0" xfId="0" applyFont="1"/>
    <xf numFmtId="0" fontId="24" fillId="0" borderId="0" xfId="0" applyFont="1"/>
    <xf numFmtId="0" fontId="23" fillId="0" borderId="0" xfId="8" applyAlignment="1" applyProtection="1"/>
    <xf numFmtId="0" fontId="24" fillId="10" borderId="0" xfId="0" applyFont="1" applyFill="1"/>
    <xf numFmtId="0" fontId="0" fillId="10" borderId="0" xfId="0" applyFill="1"/>
    <xf numFmtId="0" fontId="25" fillId="10" borderId="0" xfId="0" applyFont="1" applyFill="1"/>
    <xf numFmtId="0" fontId="26" fillId="10" borderId="0" xfId="0" applyFont="1" applyFill="1" applyAlignment="1">
      <alignment vertical="top"/>
    </xf>
    <xf numFmtId="165" fontId="0" fillId="11" borderId="25" xfId="0" applyNumberFormat="1" applyFill="1" applyBorder="1" applyProtection="1">
      <protection locked="0"/>
    </xf>
    <xf numFmtId="10" fontId="0" fillId="11" borderId="25" xfId="0" applyNumberFormat="1" applyFill="1" applyBorder="1" applyProtection="1">
      <protection locked="0"/>
    </xf>
    <xf numFmtId="0" fontId="25" fillId="0" borderId="0" xfId="0" applyFont="1"/>
    <xf numFmtId="1" fontId="0" fillId="11" borderId="25" xfId="0" applyNumberFormat="1" applyFill="1" applyBorder="1" applyProtection="1">
      <protection locked="0"/>
    </xf>
    <xf numFmtId="165" fontId="0" fillId="0" borderId="0" xfId="0" applyNumberFormat="1"/>
    <xf numFmtId="165" fontId="0" fillId="12" borderId="25" xfId="0" applyNumberFormat="1" applyFill="1" applyBorder="1"/>
    <xf numFmtId="0" fontId="24" fillId="13" borderId="0" xfId="0" applyFont="1" applyFill="1"/>
    <xf numFmtId="0" fontId="0" fillId="13" borderId="0" xfId="0" applyFill="1"/>
    <xf numFmtId="0" fontId="25" fillId="13" borderId="0" xfId="0" applyFont="1" applyFill="1"/>
    <xf numFmtId="0" fontId="26" fillId="13" borderId="0" xfId="0" applyFont="1" applyFill="1" applyAlignment="1">
      <alignment vertical="top"/>
    </xf>
    <xf numFmtId="170" fontId="0" fillId="12" borderId="25" xfId="0" applyNumberFormat="1" applyFill="1" applyBorder="1"/>
    <xf numFmtId="170" fontId="0" fillId="13" borderId="0" xfId="0" applyNumberFormat="1" applyFill="1"/>
    <xf numFmtId="10" fontId="0" fillId="12" borderId="25" xfId="0" applyNumberFormat="1" applyFill="1" applyBorder="1"/>
    <xf numFmtId="0" fontId="24" fillId="14" borderId="0" xfId="0" applyFont="1" applyFill="1"/>
    <xf numFmtId="0" fontId="0" fillId="14" borderId="0" xfId="0" applyFill="1"/>
    <xf numFmtId="0" fontId="0" fillId="11" borderId="25" xfId="0" applyFill="1" applyBorder="1" applyAlignment="1" applyProtection="1">
      <alignment horizontal="right"/>
      <protection locked="0"/>
    </xf>
    <xf numFmtId="0" fontId="25" fillId="14" borderId="0" xfId="0" applyFont="1" applyFill="1"/>
    <xf numFmtId="0" fontId="24" fillId="15" borderId="0" xfId="0" applyFont="1" applyFill="1"/>
    <xf numFmtId="0" fontId="0" fillId="15" borderId="0" xfId="0" applyFill="1"/>
    <xf numFmtId="0" fontId="25" fillId="15" borderId="0" xfId="0" applyFont="1" applyFill="1"/>
    <xf numFmtId="0" fontId="26" fillId="15" borderId="0" xfId="0" applyFont="1" applyFill="1" applyAlignment="1">
      <alignment vertical="top"/>
    </xf>
    <xf numFmtId="165" fontId="0" fillId="16" borderId="25" xfId="0" applyNumberFormat="1" applyFill="1" applyBorder="1" applyProtection="1">
      <protection locked="0"/>
    </xf>
    <xf numFmtId="10" fontId="0" fillId="16" borderId="25" xfId="0" applyNumberFormat="1" applyFill="1" applyBorder="1" applyProtection="1">
      <protection locked="0"/>
    </xf>
    <xf numFmtId="1" fontId="0" fillId="16" borderId="25" xfId="0" applyNumberFormat="1" applyFill="1" applyBorder="1" applyProtection="1">
      <protection locked="0"/>
    </xf>
    <xf numFmtId="165" fontId="0" fillId="16" borderId="25" xfId="0" applyNumberFormat="1" applyFill="1" applyBorder="1"/>
    <xf numFmtId="165" fontId="0" fillId="17" borderId="25" xfId="0" applyNumberFormat="1" applyFill="1" applyBorder="1" applyProtection="1">
      <protection locked="0"/>
    </xf>
    <xf numFmtId="10" fontId="0" fillId="17" borderId="25" xfId="0" applyNumberFormat="1" applyFill="1" applyBorder="1" applyProtection="1">
      <protection locked="0"/>
    </xf>
    <xf numFmtId="1" fontId="0" fillId="17" borderId="25" xfId="0" applyNumberFormat="1" applyFill="1" applyBorder="1" applyProtection="1">
      <protection locked="0"/>
    </xf>
    <xf numFmtId="0" fontId="24" fillId="18" borderId="0" xfId="0" applyFont="1" applyFill="1"/>
    <xf numFmtId="0" fontId="0" fillId="18" borderId="0" xfId="0" applyFill="1"/>
    <xf numFmtId="0" fontId="25" fillId="18" borderId="0" xfId="0" applyFont="1" applyFill="1"/>
    <xf numFmtId="0" fontId="26" fillId="18" borderId="0" xfId="0" applyFont="1" applyFill="1" applyAlignment="1">
      <alignment vertical="top"/>
    </xf>
    <xf numFmtId="10" fontId="0" fillId="18" borderId="0" xfId="0" applyNumberFormat="1" applyFill="1"/>
    <xf numFmtId="10" fontId="0" fillId="16" borderId="25" xfId="0" applyNumberFormat="1" applyFill="1" applyBorder="1"/>
    <xf numFmtId="171" fontId="0" fillId="0" borderId="0" xfId="0" applyNumberFormat="1"/>
    <xf numFmtId="43" fontId="0" fillId="0" borderId="0" xfId="6" applyFont="1"/>
    <xf numFmtId="43" fontId="0" fillId="0" borderId="0" xfId="0" applyNumberFormat="1"/>
    <xf numFmtId="172" fontId="0" fillId="0" borderId="0" xfId="0" applyNumberFormat="1"/>
    <xf numFmtId="0" fontId="7" fillId="9" borderId="26" xfId="0" applyFont="1" applyFill="1" applyBorder="1"/>
    <xf numFmtId="9" fontId="8" fillId="0" borderId="0" xfId="0" applyNumberFormat="1" applyFont="1"/>
    <xf numFmtId="9" fontId="0" fillId="0" borderId="0" xfId="0" applyNumberFormat="1"/>
    <xf numFmtId="9" fontId="0" fillId="0" borderId="0" xfId="7" applyFont="1"/>
    <xf numFmtId="175" fontId="0" fillId="0" borderId="0" xfId="0" applyNumberFormat="1"/>
    <xf numFmtId="0" fontId="7" fillId="0" borderId="7" xfId="0" applyFont="1" applyBorder="1" applyAlignment="1">
      <alignment shrinkToFit="1"/>
    </xf>
    <xf numFmtId="0" fontId="32" fillId="0" borderId="0" xfId="0" applyFont="1"/>
    <xf numFmtId="0" fontId="34" fillId="0" borderId="0" xfId="0" applyFont="1" applyAlignment="1">
      <alignment horizontal="left" wrapText="1"/>
    </xf>
    <xf numFmtId="0" fontId="33" fillId="0" borderId="0" xfId="0" applyFont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2" borderId="0" xfId="0" applyFont="1" applyFill="1" applyAlignment="1">
      <alignment vertical="center" wrapText="1"/>
    </xf>
    <xf numFmtId="0" fontId="33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 wrapText="1"/>
    </xf>
    <xf numFmtId="6" fontId="37" fillId="2" borderId="0" xfId="0" applyNumberFormat="1" applyFont="1" applyFill="1" applyAlignment="1">
      <alignment horizontal="center" vertical="center"/>
    </xf>
    <xf numFmtId="0" fontId="38" fillId="0" borderId="7" xfId="0" applyFont="1" applyBorder="1"/>
    <xf numFmtId="0" fontId="38" fillId="0" borderId="8" xfId="0" applyFont="1" applyBorder="1"/>
    <xf numFmtId="0" fontId="38" fillId="0" borderId="9" xfId="0" applyFont="1" applyBorder="1"/>
    <xf numFmtId="0" fontId="39" fillId="0" borderId="0" xfId="0" applyFont="1" applyAlignment="1">
      <alignment horizontal="left" vertical="center" wrapText="1"/>
    </xf>
    <xf numFmtId="165" fontId="38" fillId="0" borderId="8" xfId="0" applyNumberFormat="1" applyFont="1" applyBorder="1"/>
    <xf numFmtId="165" fontId="39" fillId="0" borderId="8" xfId="0" applyNumberFormat="1" applyFont="1" applyBorder="1"/>
    <xf numFmtId="165" fontId="38" fillId="0" borderId="9" xfId="0" applyNumberFormat="1" applyFont="1" applyBorder="1"/>
    <xf numFmtId="0" fontId="35" fillId="0" borderId="24" xfId="0" applyFont="1" applyBorder="1"/>
    <xf numFmtId="6" fontId="35" fillId="0" borderId="0" xfId="0" applyNumberFormat="1" applyFont="1"/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left" vertical="center"/>
    </xf>
    <xf numFmtId="0" fontId="30" fillId="0" borderId="33" xfId="0" applyFont="1" applyBorder="1"/>
    <xf numFmtId="0" fontId="35" fillId="0" borderId="0" xfId="0" applyFont="1" applyProtection="1">
      <protection locked="0"/>
    </xf>
    <xf numFmtId="6" fontId="35" fillId="0" borderId="0" xfId="0" applyNumberFormat="1" applyFont="1" applyProtection="1">
      <protection locked="0"/>
    </xf>
    <xf numFmtId="165" fontId="38" fillId="0" borderId="8" xfId="0" applyNumberFormat="1" applyFont="1" applyBorder="1" applyProtection="1">
      <protection locked="0"/>
    </xf>
    <xf numFmtId="165" fontId="38" fillId="0" borderId="9" xfId="0" applyNumberFormat="1" applyFont="1" applyBorder="1" applyAlignment="1" applyProtection="1">
      <alignment horizontal="right" vertical="center"/>
      <protection locked="0"/>
    </xf>
    <xf numFmtId="165" fontId="38" fillId="0" borderId="0" xfId="0" applyNumberFormat="1" applyFont="1" applyAlignment="1" applyProtection="1">
      <alignment horizontal="right" vertical="center"/>
      <protection locked="0"/>
    </xf>
    <xf numFmtId="0" fontId="38" fillId="0" borderId="7" xfId="0" applyFont="1" applyBorder="1" applyAlignment="1" applyProtection="1">
      <alignment shrinkToFit="1"/>
      <protection locked="0"/>
    </xf>
    <xf numFmtId="0" fontId="38" fillId="0" borderId="7" xfId="0" applyFont="1" applyBorder="1" applyProtection="1">
      <protection locked="0"/>
    </xf>
    <xf numFmtId="0" fontId="33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38" fillId="0" borderId="8" xfId="0" applyFont="1" applyBorder="1" applyProtection="1">
      <protection locked="0"/>
    </xf>
    <xf numFmtId="0" fontId="38" fillId="0" borderId="9" xfId="0" applyFont="1" applyBorder="1" applyProtection="1">
      <protection locked="0"/>
    </xf>
    <xf numFmtId="165" fontId="38" fillId="0" borderId="0" xfId="0" applyNumberFormat="1" applyFont="1" applyAlignment="1">
      <alignment horizontal="right" vertical="center"/>
    </xf>
    <xf numFmtId="165" fontId="35" fillId="0" borderId="0" xfId="0" applyNumberFormat="1" applyFont="1"/>
    <xf numFmtId="0" fontId="29" fillId="0" borderId="0" xfId="0" applyFont="1" applyProtection="1">
      <protection locked="0"/>
    </xf>
    <xf numFmtId="0" fontId="42" fillId="19" borderId="0" xfId="0" applyFont="1" applyFill="1"/>
    <xf numFmtId="0" fontId="43" fillId="19" borderId="0" xfId="0" applyFont="1" applyFill="1"/>
    <xf numFmtId="0" fontId="44" fillId="0" borderId="0" xfId="0" applyFont="1"/>
    <xf numFmtId="0" fontId="46" fillId="20" borderId="0" xfId="0" applyFont="1" applyFill="1"/>
    <xf numFmtId="6" fontId="45" fillId="20" borderId="1" xfId="0" applyNumberFormat="1" applyFont="1" applyFill="1" applyBorder="1" applyAlignment="1">
      <alignment vertical="center"/>
    </xf>
    <xf numFmtId="9" fontId="45" fillId="20" borderId="1" xfId="7" applyFont="1" applyFill="1" applyBorder="1" applyAlignment="1" applyProtection="1">
      <alignment vertical="center"/>
    </xf>
    <xf numFmtId="6" fontId="47" fillId="20" borderId="1" xfId="0" applyNumberFormat="1" applyFont="1" applyFill="1" applyBorder="1" applyAlignment="1">
      <alignment vertical="center"/>
    </xf>
    <xf numFmtId="9" fontId="47" fillId="20" borderId="1" xfId="7" applyFont="1" applyFill="1" applyBorder="1" applyAlignment="1" applyProtection="1">
      <alignment vertical="center"/>
    </xf>
    <xf numFmtId="0" fontId="48" fillId="20" borderId="0" xfId="0" applyFont="1" applyFill="1"/>
    <xf numFmtId="0" fontId="45" fillId="19" borderId="0" xfId="0" applyFont="1" applyFill="1"/>
    <xf numFmtId="0" fontId="44" fillId="19" borderId="27" xfId="0" applyFont="1" applyFill="1" applyBorder="1"/>
    <xf numFmtId="0" fontId="44" fillId="19" borderId="28" xfId="0" applyFont="1" applyFill="1" applyBorder="1"/>
    <xf numFmtId="0" fontId="44" fillId="19" borderId="0" xfId="0" applyFont="1" applyFill="1"/>
    <xf numFmtId="0" fontId="44" fillId="19" borderId="30" xfId="0" applyFont="1" applyFill="1" applyBorder="1"/>
    <xf numFmtId="0" fontId="44" fillId="19" borderId="32" xfId="0" applyFont="1" applyFill="1" applyBorder="1"/>
    <xf numFmtId="0" fontId="44" fillId="19" borderId="33" xfId="0" applyFont="1" applyFill="1" applyBorder="1"/>
    <xf numFmtId="0" fontId="40" fillId="20" borderId="30" xfId="0" applyFont="1" applyFill="1" applyBorder="1" applyAlignment="1">
      <alignment vertical="center" shrinkToFit="1"/>
    </xf>
    <xf numFmtId="174" fontId="40" fillId="20" borderId="0" xfId="6" applyNumberFormat="1" applyFont="1" applyFill="1" applyBorder="1" applyAlignment="1" applyProtection="1">
      <alignment vertical="center" shrinkToFit="1"/>
    </xf>
    <xf numFmtId="0" fontId="40" fillId="19" borderId="28" xfId="0" applyFont="1" applyFill="1" applyBorder="1"/>
    <xf numFmtId="0" fontId="43" fillId="19" borderId="28" xfId="0" applyFont="1" applyFill="1" applyBorder="1"/>
    <xf numFmtId="0" fontId="43" fillId="19" borderId="29" xfId="0" applyFont="1" applyFill="1" applyBorder="1"/>
    <xf numFmtId="0" fontId="41" fillId="19" borderId="0" xfId="0" applyFont="1" applyFill="1"/>
    <xf numFmtId="0" fontId="35" fillId="19" borderId="31" xfId="0" applyFont="1" applyFill="1" applyBorder="1"/>
    <xf numFmtId="0" fontId="35" fillId="19" borderId="34" xfId="0" applyFont="1" applyFill="1" applyBorder="1"/>
    <xf numFmtId="0" fontId="42" fillId="20" borderId="1" xfId="0" applyFont="1" applyFill="1" applyBorder="1" applyAlignment="1">
      <alignment vertical="center" shrinkToFit="1"/>
    </xf>
    <xf numFmtId="6" fontId="42" fillId="20" borderId="1" xfId="0" applyNumberFormat="1" applyFont="1" applyFill="1" applyBorder="1" applyAlignment="1">
      <alignment vertical="center"/>
    </xf>
    <xf numFmtId="6" fontId="31" fillId="0" borderId="0" xfId="0" applyNumberFormat="1" applyFont="1"/>
    <xf numFmtId="174" fontId="30" fillId="0" borderId="0" xfId="0" applyNumberFormat="1" applyFont="1"/>
    <xf numFmtId="165" fontId="6" fillId="0" borderId="8" xfId="0" applyNumberFormat="1" applyFont="1" applyBorder="1" applyProtection="1">
      <protection locked="0"/>
    </xf>
    <xf numFmtId="0" fontId="45" fillId="20" borderId="5" xfId="0" applyFont="1" applyFill="1" applyBorder="1" applyAlignment="1">
      <alignment horizontal="left" vertical="center" shrinkToFit="1"/>
    </xf>
    <xf numFmtId="0" fontId="45" fillId="20" borderId="35" xfId="0" applyFont="1" applyFill="1" applyBorder="1" applyAlignment="1">
      <alignment horizontal="left" vertical="center" shrinkToFit="1"/>
    </xf>
    <xf numFmtId="0" fontId="47" fillId="20" borderId="5" xfId="0" applyFont="1" applyFill="1" applyBorder="1" applyAlignment="1">
      <alignment horizontal="left" vertical="center" shrinkToFit="1"/>
    </xf>
    <xf numFmtId="0" fontId="47" fillId="20" borderId="35" xfId="0" applyFont="1" applyFill="1" applyBorder="1" applyAlignment="1">
      <alignment horizontal="left" vertical="center" shrinkToFit="1"/>
    </xf>
    <xf numFmtId="0" fontId="35" fillId="0" borderId="7" xfId="0" applyFont="1" applyBorder="1" applyAlignment="1" applyProtection="1">
      <alignment shrinkToFit="1"/>
      <protection locked="0"/>
    </xf>
    <xf numFmtId="176" fontId="35" fillId="0" borderId="0" xfId="0" applyNumberFormat="1" applyFont="1"/>
    <xf numFmtId="43" fontId="42" fillId="20" borderId="41" xfId="6" applyFont="1" applyFill="1" applyBorder="1" applyAlignment="1">
      <alignment horizontal="center" vertical="center"/>
    </xf>
    <xf numFmtId="43" fontId="42" fillId="20" borderId="0" xfId="6" applyFont="1" applyFill="1" applyBorder="1" applyAlignment="1">
      <alignment horizontal="center" vertical="center"/>
    </xf>
    <xf numFmtId="164" fontId="35" fillId="0" borderId="0" xfId="0" applyNumberFormat="1" applyFont="1"/>
    <xf numFmtId="43" fontId="35" fillId="0" borderId="0" xfId="6" applyFont="1"/>
    <xf numFmtId="43" fontId="29" fillId="0" borderId="0" xfId="6" applyFont="1" applyProtection="1">
      <protection locked="0"/>
    </xf>
    <xf numFmtId="43" fontId="29" fillId="0" borderId="0" xfId="6" applyFont="1" applyAlignment="1" applyProtection="1">
      <protection locked="0"/>
    </xf>
    <xf numFmtId="43" fontId="35" fillId="0" borderId="10" xfId="6" applyFont="1" applyBorder="1"/>
    <xf numFmtId="0" fontId="42" fillId="20" borderId="2" xfId="0" applyFont="1" applyFill="1" applyBorder="1" applyAlignment="1">
      <alignment vertical="center" shrinkToFit="1"/>
    </xf>
    <xf numFmtId="6" fontId="42" fillId="20" borderId="2" xfId="0" applyNumberFormat="1" applyFont="1" applyFill="1" applyBorder="1" applyAlignment="1">
      <alignment vertical="center"/>
    </xf>
    <xf numFmtId="0" fontId="44" fillId="21" borderId="27" xfId="0" applyFont="1" applyFill="1" applyBorder="1"/>
    <xf numFmtId="0" fontId="44" fillId="21" borderId="28" xfId="0" applyFont="1" applyFill="1" applyBorder="1"/>
    <xf numFmtId="0" fontId="40" fillId="21" borderId="28" xfId="0" applyFont="1" applyFill="1" applyBorder="1"/>
    <xf numFmtId="0" fontId="43" fillId="21" borderId="28" xfId="0" applyFont="1" applyFill="1" applyBorder="1"/>
    <xf numFmtId="0" fontId="43" fillId="21" borderId="29" xfId="0" applyFont="1" applyFill="1" applyBorder="1"/>
    <xf numFmtId="0" fontId="44" fillId="21" borderId="0" xfId="0" applyFont="1" applyFill="1"/>
    <xf numFmtId="0" fontId="30" fillId="21" borderId="0" xfId="0" applyFont="1" applyFill="1"/>
    <xf numFmtId="0" fontId="35" fillId="21" borderId="31" xfId="0" applyFont="1" applyFill="1" applyBorder="1"/>
    <xf numFmtId="0" fontId="44" fillId="21" borderId="30" xfId="0" applyFont="1" applyFill="1" applyBorder="1"/>
    <xf numFmtId="0" fontId="44" fillId="21" borderId="32" xfId="0" applyFont="1" applyFill="1" applyBorder="1"/>
    <xf numFmtId="0" fontId="44" fillId="21" borderId="33" xfId="0" applyFont="1" applyFill="1" applyBorder="1"/>
    <xf numFmtId="0" fontId="35" fillId="21" borderId="34" xfId="0" applyFont="1" applyFill="1" applyBorder="1"/>
    <xf numFmtId="6" fontId="30" fillId="0" borderId="0" xfId="0" applyNumberFormat="1" applyFont="1"/>
    <xf numFmtId="0" fontId="35" fillId="21" borderId="0" xfId="0" applyFont="1" applyFill="1"/>
    <xf numFmtId="0" fontId="30" fillId="19" borderId="0" xfId="0" applyFont="1" applyFill="1"/>
    <xf numFmtId="0" fontId="30" fillId="19" borderId="33" xfId="0" applyFont="1" applyFill="1" applyBorder="1"/>
    <xf numFmtId="0" fontId="31" fillId="21" borderId="33" xfId="0" applyFont="1" applyFill="1" applyBorder="1"/>
    <xf numFmtId="2" fontId="30" fillId="0" borderId="0" xfId="0" applyNumberFormat="1" applyFont="1"/>
    <xf numFmtId="0" fontId="43" fillId="0" borderId="0" xfId="0" applyFont="1"/>
    <xf numFmtId="165" fontId="43" fillId="0" borderId="0" xfId="0" applyNumberFormat="1" applyFont="1" applyAlignment="1">
      <alignment horizontal="right" vertical="center"/>
    </xf>
    <xf numFmtId="0" fontId="43" fillId="0" borderId="0" xfId="0" applyFont="1" applyProtection="1">
      <protection locked="0"/>
    </xf>
    <xf numFmtId="0" fontId="43" fillId="0" borderId="0" xfId="0" applyFont="1" applyAlignment="1" applyProtection="1">
      <alignment shrinkToFit="1"/>
      <protection locked="0"/>
    </xf>
    <xf numFmtId="165" fontId="43" fillId="0" borderId="0" xfId="0" applyNumberFormat="1" applyFont="1" applyProtection="1">
      <protection locked="0"/>
    </xf>
    <xf numFmtId="165" fontId="43" fillId="0" borderId="0" xfId="0" applyNumberFormat="1" applyFont="1" applyAlignment="1" applyProtection="1">
      <alignment horizontal="right" vertical="center"/>
      <protection locked="0"/>
    </xf>
    <xf numFmtId="165" fontId="43" fillId="0" borderId="0" xfId="0" applyNumberFormat="1" applyFont="1"/>
    <xf numFmtId="0" fontId="43" fillId="0" borderId="0" xfId="0" applyFont="1" applyAlignment="1">
      <alignment shrinkToFit="1"/>
    </xf>
    <xf numFmtId="6" fontId="47" fillId="0" borderId="1" xfId="0" applyNumberFormat="1" applyFont="1" applyBorder="1" applyAlignment="1">
      <alignment vertical="center"/>
    </xf>
    <xf numFmtId="9" fontId="47" fillId="0" borderId="1" xfId="7" applyFont="1" applyFill="1" applyBorder="1" applyAlignment="1" applyProtection="1">
      <alignment vertical="center"/>
    </xf>
    <xf numFmtId="0" fontId="35" fillId="0" borderId="36" xfId="0" applyFont="1" applyBorder="1"/>
    <xf numFmtId="0" fontId="35" fillId="0" borderId="47" xfId="0" applyFont="1" applyBorder="1"/>
    <xf numFmtId="0" fontId="35" fillId="0" borderId="40" xfId="0" applyFont="1" applyBorder="1"/>
    <xf numFmtId="0" fontId="35" fillId="22" borderId="0" xfId="0" applyFont="1" applyFill="1"/>
    <xf numFmtId="0" fontId="35" fillId="20" borderId="0" xfId="0" applyFont="1" applyFill="1"/>
    <xf numFmtId="43" fontId="31" fillId="20" borderId="1" xfId="6" applyFont="1" applyFill="1" applyBorder="1"/>
    <xf numFmtId="177" fontId="30" fillId="0" borderId="0" xfId="0" applyNumberFormat="1" applyFont="1"/>
    <xf numFmtId="43" fontId="35" fillId="0" borderId="24" xfId="0" applyNumberFormat="1" applyFont="1" applyBorder="1"/>
    <xf numFmtId="0" fontId="53" fillId="16" borderId="52" xfId="0" applyFont="1" applyFill="1" applyBorder="1" applyProtection="1">
      <protection locked="0"/>
    </xf>
    <xf numFmtId="9" fontId="53" fillId="16" borderId="53" xfId="0" applyNumberFormat="1" applyFont="1" applyFill="1" applyBorder="1" applyProtection="1">
      <protection locked="0"/>
    </xf>
    <xf numFmtId="0" fontId="52" fillId="22" borderId="5" xfId="0" applyFont="1" applyFill="1" applyBorder="1" applyAlignment="1">
      <alignment horizontal="left"/>
    </xf>
    <xf numFmtId="0" fontId="52" fillId="22" borderId="35" xfId="0" applyFont="1" applyFill="1" applyBorder="1" applyAlignment="1">
      <alignment horizontal="left"/>
    </xf>
    <xf numFmtId="0" fontId="52" fillId="22" borderId="6" xfId="0" applyFont="1" applyFill="1" applyBorder="1" applyAlignment="1">
      <alignment horizontal="left"/>
    </xf>
    <xf numFmtId="43" fontId="53" fillId="16" borderId="53" xfId="6" applyFont="1" applyFill="1" applyBorder="1" applyProtection="1">
      <protection locked="0"/>
    </xf>
    <xf numFmtId="43" fontId="35" fillId="0" borderId="0" xfId="6" applyFont="1" applyProtection="1">
      <protection locked="0"/>
    </xf>
    <xf numFmtId="164" fontId="35" fillId="0" borderId="0" xfId="0" applyNumberFormat="1" applyFont="1" applyProtection="1">
      <protection locked="0"/>
    </xf>
    <xf numFmtId="43" fontId="53" fillId="16" borderId="52" xfId="0" applyNumberFormat="1" applyFont="1" applyFill="1" applyBorder="1" applyProtection="1">
      <protection locked="0"/>
    </xf>
    <xf numFmtId="43" fontId="31" fillId="20" borderId="1" xfId="6" applyFont="1" applyFill="1" applyBorder="1" applyProtection="1"/>
    <xf numFmtId="43" fontId="31" fillId="20" borderId="0" xfId="6" applyFont="1" applyFill="1" applyBorder="1"/>
    <xf numFmtId="43" fontId="35" fillId="0" borderId="0" xfId="0" applyNumberFormat="1" applyFont="1" applyProtection="1">
      <protection locked="0"/>
    </xf>
    <xf numFmtId="43" fontId="35" fillId="0" borderId="47" xfId="6" applyFont="1" applyBorder="1"/>
    <xf numFmtId="0" fontId="42" fillId="20" borderId="37" xfId="0" applyFont="1" applyFill="1" applyBorder="1" applyAlignment="1">
      <alignment horizontal="left" vertical="center" shrinkToFit="1"/>
    </xf>
    <xf numFmtId="0" fontId="42" fillId="20" borderId="38" xfId="0" applyFont="1" applyFill="1" applyBorder="1" applyAlignment="1">
      <alignment horizontal="left" vertical="center" shrinkToFit="1"/>
    </xf>
    <xf numFmtId="0" fontId="42" fillId="20" borderId="36" xfId="0" applyFont="1" applyFill="1" applyBorder="1" applyAlignment="1">
      <alignment horizontal="left" vertical="center" shrinkToFit="1"/>
    </xf>
    <xf numFmtId="0" fontId="42" fillId="20" borderId="39" xfId="0" applyFont="1" applyFill="1" applyBorder="1" applyAlignment="1">
      <alignment horizontal="left" vertical="center" shrinkToFit="1"/>
    </xf>
    <xf numFmtId="0" fontId="42" fillId="20" borderId="10" xfId="0" applyFont="1" applyFill="1" applyBorder="1" applyAlignment="1">
      <alignment horizontal="left" vertical="center" shrinkToFit="1"/>
    </xf>
    <xf numFmtId="0" fontId="42" fillId="20" borderId="40" xfId="0" applyFont="1" applyFill="1" applyBorder="1" applyAlignment="1">
      <alignment horizontal="left" vertical="center" shrinkToFit="1"/>
    </xf>
    <xf numFmtId="6" fontId="42" fillId="20" borderId="2" xfId="0" applyNumberFormat="1" applyFont="1" applyFill="1" applyBorder="1" applyAlignment="1">
      <alignment horizontal="right" vertical="center"/>
    </xf>
    <xf numFmtId="6" fontId="42" fillId="20" borderId="42" xfId="0" applyNumberFormat="1" applyFont="1" applyFill="1" applyBorder="1" applyAlignment="1">
      <alignment horizontal="right" vertical="center"/>
    </xf>
    <xf numFmtId="0" fontId="34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7" fillId="0" borderId="0" xfId="0" applyFont="1" applyAlignment="1">
      <alignment horizontal="left" vertical="center" wrapText="1"/>
    </xf>
    <xf numFmtId="6" fontId="37" fillId="0" borderId="0" xfId="0" applyNumberFormat="1" applyFont="1" applyAlignment="1">
      <alignment horizontal="left" vertical="center"/>
    </xf>
    <xf numFmtId="0" fontId="38" fillId="0" borderId="0" xfId="0" applyFont="1"/>
    <xf numFmtId="165" fontId="38" fillId="0" borderId="0" xfId="0" applyNumberFormat="1" applyFont="1"/>
    <xf numFmtId="169" fontId="38" fillId="0" borderId="8" xfId="0" applyNumberFormat="1" applyFont="1" applyBorder="1" applyProtection="1">
      <protection locked="0"/>
    </xf>
    <xf numFmtId="169" fontId="38" fillId="0" borderId="9" xfId="0" applyNumberFormat="1" applyFont="1" applyBorder="1" applyAlignment="1" applyProtection="1">
      <alignment horizontal="right" vertical="center"/>
      <protection locked="0"/>
    </xf>
    <xf numFmtId="6" fontId="47" fillId="0" borderId="4" xfId="0" applyNumberFormat="1" applyFont="1" applyBorder="1" applyAlignment="1">
      <alignment vertical="center"/>
    </xf>
    <xf numFmtId="9" fontId="47" fillId="0" borderId="4" xfId="7" applyFont="1" applyFill="1" applyBorder="1" applyAlignment="1" applyProtection="1">
      <alignment vertical="center"/>
    </xf>
    <xf numFmtId="0" fontId="42" fillId="0" borderId="0" xfId="0" applyFont="1" applyAlignment="1">
      <alignment vertical="center" shrinkToFit="1"/>
    </xf>
    <xf numFmtId="6" fontId="42" fillId="0" borderId="0" xfId="0" applyNumberFormat="1" applyFont="1" applyAlignment="1">
      <alignment vertical="center"/>
    </xf>
    <xf numFmtId="43" fontId="42" fillId="0" borderId="0" xfId="6" applyFont="1" applyFill="1" applyBorder="1" applyAlignment="1">
      <alignment horizontal="center" vertical="center"/>
    </xf>
    <xf numFmtId="0" fontId="38" fillId="0" borderId="7" xfId="0" applyFont="1" applyBorder="1" applyAlignment="1">
      <alignment shrinkToFit="1"/>
    </xf>
    <xf numFmtId="164" fontId="35" fillId="0" borderId="40" xfId="0" applyNumberFormat="1" applyFont="1" applyBorder="1"/>
    <xf numFmtId="165" fontId="38" fillId="0" borderId="7" xfId="0" applyNumberFormat="1" applyFont="1" applyBorder="1" applyAlignment="1" applyProtection="1">
      <alignment shrinkToFit="1"/>
      <protection locked="0"/>
    </xf>
    <xf numFmtId="174" fontId="53" fillId="16" borderId="53" xfId="6" applyNumberFormat="1" applyFont="1" applyFill="1" applyBorder="1" applyProtection="1">
      <protection locked="0"/>
    </xf>
    <xf numFmtId="0" fontId="36" fillId="23" borderId="0" xfId="0" applyFont="1" applyFill="1" applyAlignment="1">
      <alignment vertical="center"/>
    </xf>
    <xf numFmtId="166" fontId="38" fillId="0" borderId="8" xfId="0" applyNumberFormat="1" applyFont="1" applyBorder="1" applyProtection="1">
      <protection locked="0"/>
    </xf>
    <xf numFmtId="166" fontId="33" fillId="0" borderId="9" xfId="0" applyNumberFormat="1" applyFont="1" applyBorder="1" applyAlignment="1" applyProtection="1">
      <alignment horizontal="right" vertical="center"/>
      <protection locked="0"/>
    </xf>
    <xf numFmtId="169" fontId="35" fillId="0" borderId="8" xfId="0" applyNumberFormat="1" applyFont="1" applyBorder="1" applyProtection="1">
      <protection locked="0"/>
    </xf>
    <xf numFmtId="10" fontId="53" fillId="16" borderId="53" xfId="0" applyNumberFormat="1" applyFont="1" applyFill="1" applyBorder="1" applyProtection="1">
      <protection locked="0"/>
    </xf>
    <xf numFmtId="10" fontId="8" fillId="0" borderId="0" xfId="0" applyNumberFormat="1" applyFont="1"/>
    <xf numFmtId="8" fontId="31" fillId="20" borderId="1" xfId="6" applyNumberFormat="1" applyFont="1" applyFill="1" applyBorder="1"/>
    <xf numFmtId="8" fontId="35" fillId="0" borderId="56" xfId="0" applyNumberFormat="1" applyFont="1" applyBorder="1"/>
    <xf numFmtId="8" fontId="35" fillId="0" borderId="0" xfId="0" quotePrefix="1" applyNumberFormat="1" applyFont="1"/>
    <xf numFmtId="1" fontId="32" fillId="16" borderId="45" xfId="7" applyNumberFormat="1" applyFont="1" applyFill="1" applyBorder="1" applyAlignment="1" applyProtection="1">
      <alignment horizontal="right" vertical="center"/>
      <protection locked="0"/>
    </xf>
    <xf numFmtId="1" fontId="32" fillId="16" borderId="46" xfId="7" applyNumberFormat="1" applyFont="1" applyFill="1" applyBorder="1" applyAlignment="1" applyProtection="1">
      <alignment horizontal="right" vertical="center"/>
      <protection locked="0"/>
    </xf>
    <xf numFmtId="9" fontId="32" fillId="16" borderId="45" xfId="7" applyFont="1" applyFill="1" applyBorder="1" applyAlignment="1" applyProtection="1">
      <alignment horizontal="right" vertical="center"/>
      <protection locked="0"/>
    </xf>
    <xf numFmtId="9" fontId="32" fillId="16" borderId="46" xfId="7" applyFont="1" applyFill="1" applyBorder="1" applyAlignment="1" applyProtection="1">
      <alignment horizontal="right" vertical="center"/>
      <protection locked="0"/>
    </xf>
    <xf numFmtId="43" fontId="32" fillId="16" borderId="45" xfId="6" applyFont="1" applyFill="1" applyBorder="1" applyAlignment="1" applyProtection="1">
      <alignment horizontal="right" vertical="center"/>
      <protection locked="0"/>
    </xf>
    <xf numFmtId="43" fontId="32" fillId="16" borderId="46" xfId="6" applyFont="1" applyFill="1" applyBorder="1" applyAlignment="1" applyProtection="1">
      <alignment horizontal="right" vertical="center"/>
      <protection locked="0"/>
    </xf>
    <xf numFmtId="0" fontId="31" fillId="22" borderId="5" xfId="0" applyFont="1" applyFill="1" applyBorder="1" applyAlignment="1">
      <alignment horizontal="left"/>
    </xf>
    <xf numFmtId="0" fontId="31" fillId="22" borderId="35" xfId="0" applyFont="1" applyFill="1" applyBorder="1" applyAlignment="1">
      <alignment horizontal="left"/>
    </xf>
    <xf numFmtId="0" fontId="31" fillId="22" borderId="6" xfId="0" applyFont="1" applyFill="1" applyBorder="1" applyAlignment="1">
      <alignment horizontal="left"/>
    </xf>
    <xf numFmtId="0" fontId="42" fillId="20" borderId="5" xfId="0" applyFont="1" applyFill="1" applyBorder="1" applyAlignment="1">
      <alignment horizontal="center" vertical="center" shrinkToFit="1"/>
    </xf>
    <xf numFmtId="0" fontId="42" fillId="20" borderId="6" xfId="0" applyFont="1" applyFill="1" applyBorder="1" applyAlignment="1">
      <alignment horizontal="center" vertical="center" shrinkToFit="1"/>
    </xf>
    <xf numFmtId="173" fontId="42" fillId="20" borderId="41" xfId="6" applyNumberFormat="1" applyFont="1" applyFill="1" applyBorder="1" applyAlignment="1" applyProtection="1">
      <alignment horizontal="right" vertical="center"/>
    </xf>
    <xf numFmtId="173" fontId="42" fillId="20" borderId="0" xfId="6" applyNumberFormat="1" applyFont="1" applyFill="1" applyBorder="1" applyAlignment="1" applyProtection="1">
      <alignment horizontal="right" vertical="center"/>
    </xf>
    <xf numFmtId="0" fontId="47" fillId="0" borderId="5" xfId="0" applyFont="1" applyBorder="1" applyAlignment="1">
      <alignment horizontal="left" vertical="center" shrinkToFit="1"/>
    </xf>
    <xf numFmtId="0" fontId="47" fillId="0" borderId="35" xfId="0" applyFont="1" applyBorder="1" applyAlignment="1">
      <alignment horizontal="left" vertical="center" shrinkToFit="1"/>
    </xf>
    <xf numFmtId="0" fontId="47" fillId="0" borderId="6" xfId="0" applyFont="1" applyBorder="1" applyAlignment="1">
      <alignment horizontal="left" vertical="center" shrinkToFit="1"/>
    </xf>
    <xf numFmtId="37" fontId="42" fillId="20" borderId="41" xfId="6" applyNumberFormat="1" applyFont="1" applyFill="1" applyBorder="1" applyAlignment="1" applyProtection="1">
      <alignment horizontal="right" vertical="center"/>
    </xf>
    <xf numFmtId="37" fontId="42" fillId="20" borderId="0" xfId="6" applyNumberFormat="1" applyFont="1" applyFill="1" applyBorder="1" applyAlignment="1" applyProtection="1">
      <alignment horizontal="right" vertical="center"/>
    </xf>
    <xf numFmtId="0" fontId="42" fillId="20" borderId="37" xfId="0" applyFont="1" applyFill="1" applyBorder="1" applyAlignment="1">
      <alignment horizontal="left" vertical="center" shrinkToFit="1"/>
    </xf>
    <xf numFmtId="0" fontId="42" fillId="20" borderId="38" xfId="0" applyFont="1" applyFill="1" applyBorder="1" applyAlignment="1">
      <alignment horizontal="left" vertical="center" shrinkToFit="1"/>
    </xf>
    <xf numFmtId="0" fontId="42" fillId="20" borderId="39" xfId="0" applyFont="1" applyFill="1" applyBorder="1" applyAlignment="1">
      <alignment horizontal="left" vertical="center" shrinkToFit="1"/>
    </xf>
    <xf numFmtId="0" fontId="42" fillId="20" borderId="10" xfId="0" applyFont="1" applyFill="1" applyBorder="1" applyAlignment="1">
      <alignment horizontal="left" vertical="center" shrinkToFit="1"/>
    </xf>
    <xf numFmtId="1" fontId="32" fillId="16" borderId="43" xfId="6" applyNumberFormat="1" applyFont="1" applyFill="1" applyBorder="1" applyAlignment="1" applyProtection="1">
      <alignment horizontal="center" vertical="center"/>
      <protection locked="0"/>
    </xf>
    <xf numFmtId="1" fontId="32" fillId="16" borderId="44" xfId="6" applyNumberFormat="1" applyFont="1" applyFill="1" applyBorder="1" applyAlignment="1" applyProtection="1">
      <alignment horizontal="center" vertical="center"/>
      <protection locked="0"/>
    </xf>
    <xf numFmtId="0" fontId="42" fillId="20" borderId="36" xfId="0" applyFont="1" applyFill="1" applyBorder="1" applyAlignment="1">
      <alignment horizontal="left" vertical="center" shrinkToFit="1"/>
    </xf>
    <xf numFmtId="0" fontId="42" fillId="20" borderId="40" xfId="0" applyFont="1" applyFill="1" applyBorder="1" applyAlignment="1">
      <alignment horizontal="left" vertical="center" shrinkToFit="1"/>
    </xf>
    <xf numFmtId="6" fontId="42" fillId="20" borderId="3" xfId="0" applyNumberFormat="1" applyFont="1" applyFill="1" applyBorder="1" applyAlignment="1">
      <alignment horizontal="right" vertical="center"/>
    </xf>
    <xf numFmtId="6" fontId="42" fillId="20" borderId="4" xfId="0" applyNumberFormat="1" applyFont="1" applyFill="1" applyBorder="1" applyAlignment="1">
      <alignment horizontal="right" vertical="center"/>
    </xf>
    <xf numFmtId="0" fontId="42" fillId="19" borderId="0" xfId="0" applyFont="1" applyFill="1" applyAlignment="1">
      <alignment horizontal="center"/>
    </xf>
    <xf numFmtId="0" fontId="45" fillId="20" borderId="5" xfId="0" applyFont="1" applyFill="1" applyBorder="1" applyAlignment="1">
      <alignment horizontal="left" vertical="center" shrinkToFit="1"/>
    </xf>
    <xf numFmtId="0" fontId="45" fillId="20" borderId="35" xfId="0" applyFont="1" applyFill="1" applyBorder="1" applyAlignment="1">
      <alignment horizontal="left" vertical="center" shrinkToFit="1"/>
    </xf>
    <xf numFmtId="0" fontId="38" fillId="0" borderId="0" xfId="0" applyFont="1" applyAlignment="1">
      <alignment horizontal="left" vertical="center"/>
    </xf>
    <xf numFmtId="6" fontId="42" fillId="20" borderId="2" xfId="0" applyNumberFormat="1" applyFont="1" applyFill="1" applyBorder="1" applyAlignment="1">
      <alignment horizontal="right" vertical="center"/>
    </xf>
    <xf numFmtId="6" fontId="42" fillId="20" borderId="42" xfId="0" applyNumberFormat="1" applyFont="1" applyFill="1" applyBorder="1" applyAlignment="1">
      <alignment horizontal="right" vertical="center"/>
    </xf>
    <xf numFmtId="0" fontId="52" fillId="22" borderId="5" xfId="0" applyFont="1" applyFill="1" applyBorder="1" applyAlignment="1">
      <alignment horizontal="left"/>
    </xf>
    <xf numFmtId="0" fontId="52" fillId="22" borderId="35" xfId="0" applyFont="1" applyFill="1" applyBorder="1" applyAlignment="1">
      <alignment horizontal="left"/>
    </xf>
    <xf numFmtId="0" fontId="52" fillId="22" borderId="6" xfId="0" applyFont="1" applyFill="1" applyBorder="1" applyAlignment="1">
      <alignment horizontal="left"/>
    </xf>
    <xf numFmtId="0" fontId="42" fillId="20" borderId="35" xfId="0" applyFont="1" applyFill="1" applyBorder="1" applyAlignment="1">
      <alignment horizontal="left"/>
    </xf>
    <xf numFmtId="0" fontId="42" fillId="20" borderId="38" xfId="0" applyFont="1" applyFill="1" applyBorder="1" applyAlignment="1">
      <alignment horizontal="left"/>
    </xf>
    <xf numFmtId="0" fontId="52" fillId="22" borderId="48" xfId="0" applyFont="1" applyFill="1" applyBorder="1" applyAlignment="1">
      <alignment horizontal="left"/>
    </xf>
    <xf numFmtId="0" fontId="52" fillId="22" borderId="49" xfId="0" applyFont="1" applyFill="1" applyBorder="1" applyAlignment="1">
      <alignment horizontal="left"/>
    </xf>
    <xf numFmtId="0" fontId="52" fillId="22" borderId="51" xfId="0" applyFont="1" applyFill="1" applyBorder="1" applyAlignment="1">
      <alignment horizontal="left"/>
    </xf>
    <xf numFmtId="0" fontId="52" fillId="22" borderId="50" xfId="0" applyFont="1" applyFill="1" applyBorder="1" applyAlignment="1">
      <alignment horizontal="left"/>
    </xf>
    <xf numFmtId="0" fontId="52" fillId="22" borderId="37" xfId="0" applyFont="1" applyFill="1" applyBorder="1" applyAlignment="1">
      <alignment horizontal="left"/>
    </xf>
    <xf numFmtId="0" fontId="52" fillId="22" borderId="38" xfId="0" applyFont="1" applyFill="1" applyBorder="1" applyAlignment="1">
      <alignment horizontal="left"/>
    </xf>
    <xf numFmtId="0" fontId="42" fillId="20" borderId="54" xfId="0" applyFont="1" applyFill="1" applyBorder="1" applyAlignment="1">
      <alignment horizontal="left" vertical="center" shrinkToFit="1"/>
    </xf>
    <xf numFmtId="0" fontId="42" fillId="20" borderId="55" xfId="0" applyFont="1" applyFill="1" applyBorder="1" applyAlignment="1">
      <alignment horizontal="left" vertical="center" shrinkToFit="1"/>
    </xf>
    <xf numFmtId="0" fontId="42" fillId="0" borderId="0" xfId="0" applyFont="1" applyAlignment="1">
      <alignment horizontal="center"/>
    </xf>
    <xf numFmtId="1" fontId="32" fillId="0" borderId="0" xfId="7" applyNumberFormat="1" applyFont="1" applyFill="1" applyBorder="1" applyAlignment="1" applyProtection="1">
      <alignment horizontal="right" vertical="center"/>
      <protection locked="0"/>
    </xf>
    <xf numFmtId="0" fontId="42" fillId="0" borderId="0" xfId="0" applyFont="1" applyAlignment="1">
      <alignment horizontal="center" vertical="center" shrinkToFit="1"/>
    </xf>
    <xf numFmtId="9" fontId="32" fillId="0" borderId="0" xfId="7" applyFont="1" applyFill="1" applyBorder="1" applyAlignment="1" applyProtection="1">
      <alignment horizontal="right" vertical="center"/>
      <protection locked="0"/>
    </xf>
    <xf numFmtId="43" fontId="32" fillId="0" borderId="0" xfId="6" applyFont="1" applyFill="1" applyBorder="1" applyAlignment="1" applyProtection="1">
      <alignment horizontal="right" vertical="center"/>
      <protection locked="0"/>
    </xf>
    <xf numFmtId="37" fontId="42" fillId="0" borderId="0" xfId="6" applyNumberFormat="1" applyFont="1" applyFill="1" applyBorder="1" applyAlignment="1" applyProtection="1">
      <alignment horizontal="right" vertical="center"/>
    </xf>
    <xf numFmtId="173" fontId="42" fillId="0" borderId="0" xfId="6" applyNumberFormat="1" applyFont="1" applyFill="1" applyBorder="1" applyAlignment="1" applyProtection="1">
      <alignment horizontal="right" vertical="center"/>
    </xf>
    <xf numFmtId="0" fontId="47" fillId="0" borderId="39" xfId="0" applyFont="1" applyBorder="1" applyAlignment="1">
      <alignment horizontal="left" vertical="center" shrinkToFit="1"/>
    </xf>
    <xf numFmtId="0" fontId="47" fillId="0" borderId="10" xfId="0" applyFont="1" applyBorder="1" applyAlignment="1">
      <alignment horizontal="left" vertical="center" shrinkToFit="1"/>
    </xf>
    <xf numFmtId="0" fontId="47" fillId="0" borderId="40" xfId="0" applyFont="1" applyBorder="1" applyAlignment="1">
      <alignment horizontal="left" vertical="center"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 vertical="center" wrapText="1"/>
    </xf>
    <xf numFmtId="0" fontId="9" fillId="7" borderId="18" xfId="1" applyFill="1" applyBorder="1" applyAlignment="1" applyProtection="1">
      <alignment horizontal="left"/>
      <protection locked="0"/>
    </xf>
    <xf numFmtId="0" fontId="9" fillId="7" borderId="17" xfId="1" applyFill="1" applyBorder="1" applyAlignment="1" applyProtection="1">
      <alignment horizontal="left"/>
      <protection locked="0"/>
    </xf>
    <xf numFmtId="0" fontId="14" fillId="8" borderId="23" xfId="3" applyFont="1" applyBorder="1" applyAlignment="1">
      <alignment horizontal="right"/>
    </xf>
    <xf numFmtId="0" fontId="14" fillId="8" borderId="22" xfId="3" applyFont="1" applyBorder="1" applyAlignment="1">
      <alignment horizontal="right"/>
    </xf>
    <xf numFmtId="0" fontId="14" fillId="8" borderId="21" xfId="3" applyFont="1" applyBorder="1" applyAlignment="1">
      <alignment horizontal="right"/>
    </xf>
  </cellXfs>
  <cellStyles count="9">
    <cellStyle name="20% - Accent3 2" xfId="3" xr:uid="{89EBED57-4EA4-4A50-9276-78DCD435E5FE}"/>
    <cellStyle name="Calculation 2" xfId="5" xr:uid="{26BB3771-60F9-4B15-86D9-1FDD80F78DC7}"/>
    <cellStyle name="Comma" xfId="6" builtinId="3"/>
    <cellStyle name="Currency 2" xfId="2" xr:uid="{C45F3F83-E5A2-4B92-9D50-F17E2210242C}"/>
    <cellStyle name="Hyperlink" xfId="8" builtinId="8"/>
    <cellStyle name="Input 2" xfId="4" xr:uid="{BF9BA406-200D-49A4-91C2-A291E4FE1E46}"/>
    <cellStyle name="Normal" xfId="0" builtinId="0" customBuiltin="1"/>
    <cellStyle name="Normal 2" xfId="1" xr:uid="{3AEDEA7A-944E-48BF-80D8-391AE68D0D63}"/>
    <cellStyle name="Percent" xfId="7" builtinId="5"/>
  </cellStyles>
  <dxfs count="513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ont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name val="Calibri"/>
        <scheme val="minor"/>
      </font>
      <numFmt numFmtId="166" formatCode="\$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/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 outline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name val="Calibri"/>
        <scheme val="minor"/>
      </font>
      <numFmt numFmtId="166" formatCode="\$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alignment textRotation="0" wrapTex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35" formatCode="_(* #,##0.00_);_(* \(#,##0.00\);_(* &quot;-&quot;??_);_(@_)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alignment textRotation="0" wrapTex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alignment textRotation="0" wrapTex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35" formatCode="_(* #,##0.00_);_(* \(#,##0.00\);_(* &quot;-&quot;??_);_(@_)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alignment textRotation="0" wrapTex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0" formatCode="General"/>
      <alignment textRotation="0" wrapTex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35" formatCode="_(* #,##0.00_);_(* \(#,##0.00\);_(* &quot;-&quot;??_);_(@_)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alignment textRotation="0" wrapTex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165" formatCode="&quot;$&quot;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165" formatCode="&quot;$&quot;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indexed="63"/>
        <name val="Palatino Linotype"/>
        <family val="1"/>
        <scheme val="none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numFmt numFmtId="166" formatCode="\$#,##0.00"/>
      <alignment textRotation="0" wrapTex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name val="Palatino Linotyp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5" formatCode="&quot;$&quot;#,##0"/>
      <fill>
        <patternFill patternType="none">
          <fgColor rgb="FF000000"/>
          <bgColor rgb="FFFFFFFF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alignment textRotation="0" wrapTex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numFmt numFmtId="169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name val="Palatino Linotype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33"/>
      <color rgb="FFFF66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ence%20Mugova/Downloads/Compound-interest-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Exponents"/>
    </sheetNames>
    <sheetDataSet>
      <sheetData sheetId="0"/>
      <sheetData sheetId="1">
        <row r="4">
          <cell r="B4" t="str">
            <v>Daily</v>
          </cell>
          <cell r="C4">
            <v>365.25</v>
          </cell>
        </row>
        <row r="5">
          <cell r="B5" t="str">
            <v>Monthly</v>
          </cell>
          <cell r="C5">
            <v>12</v>
          </cell>
        </row>
        <row r="6">
          <cell r="B6" t="str">
            <v>Weekly</v>
          </cell>
          <cell r="C6">
            <v>52.178571428571431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errence Mugova" id="{9B254426-B7C3-4AF7-BC14-3E7787F4F573}" userId="514714382058f06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CC5E44B-D432-492F-82EE-8C519C08A1D9}" name="Table12714" displayName="Table12714" ref="B5:H16" totalsRowCount="1" headerRowDxfId="512" dataDxfId="511" totalsRowDxfId="510" tableBorderDxfId="509">
  <autoFilter ref="B5:H15" xr:uid="{00000000-0009-0000-0100-000001000000}"/>
  <tableColumns count="7">
    <tableColumn id="1" xr3:uid="{AA03B854-1CFB-4090-A9CC-EC2857DA6F34}" name="FOOD &amp; HOUSEHOLD" totalsRowLabel="Total" dataDxfId="507" totalsRowDxfId="508"/>
    <tableColumn id="2" xr3:uid="{8634835A-C3D6-48F5-84DB-074554CCEAC2}" name="Projected Cost" totalsRowFunction="sum" dataDxfId="505" totalsRowDxfId="506"/>
    <tableColumn id="3" xr3:uid="{13310C5E-A265-43F7-8DCD-0ECDAB0F0BD5}" name="Actual Cost" dataDxfId="503" totalsRowDxfId="504"/>
    <tableColumn id="4" xr3:uid="{06B739AE-3777-4379-8FF8-8097C24B616B}" name="Difference" dataDxfId="501" totalsRowDxfId="502"/>
    <tableColumn id="5" xr3:uid="{50FAEBF5-8958-4B02-9FF2-276F75562085}" name="Form " dataDxfId="499" totalsRowDxfId="500"/>
    <tableColumn id="6" xr3:uid="{2012B517-26B6-4650-9F9D-8251ACB3C735}" name="Bank" totalsRowFunction="sum" dataDxfId="497" totalsRowDxfId="498">
      <calculatedColumnFormula>IF(Table12714[[#This Row],[Form ]]= "Bank", Table12714[[#This Row],[Projected Cost]],0)</calculatedColumnFormula>
    </tableColumn>
    <tableColumn id="7" xr3:uid="{1AE974CC-1024-499E-9FAB-E63777273BC5}" name="Cash" totalsRowFunction="sum" dataDxfId="495" totalsRowDxfId="496">
      <calculatedColumnFormula>IF(Table12714[[#This Row],[Form ]]="Cash", Table12714[[#This Row],[Projected Cost]],0)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95526A0-2BF6-4ACD-809C-7ECC45EDAA4E}" name="Table5321918" displayName="Table5321918" ref="J17:O21" totalsRowCount="1" headerRowDxfId="380" dataDxfId="379" totalsRowDxfId="378" tableBorderDxfId="377">
  <autoFilter ref="J17:O20" xr:uid="{00000000-0009-0000-0100-000005000000}"/>
  <tableColumns count="6">
    <tableColumn id="1" xr3:uid="{AD45D465-EA99-468C-BC6C-CA46A956CC4E}" name="FINANCIAL SECURITY" totalsRowLabel="Total" dataDxfId="375" totalsRowDxfId="376"/>
    <tableColumn id="2" xr3:uid="{72419530-F11C-4F9C-853F-358A3AEB5EA7}" name="Projected Cost" totalsRowFunction="sum" dataDxfId="373" totalsRowDxfId="374">
      <calculatedColumnFormula>'Financial Security'!M51</calculatedColumnFormula>
    </tableColumn>
    <tableColumn id="3" xr3:uid="{3145EF2F-ABC6-44EC-BE91-7183DF570C2E}" name="Actual Cost" totalsRowFunction="sum" dataDxfId="371" totalsRowDxfId="372"/>
    <tableColumn id="4" xr3:uid="{FFAF88F2-7E94-4EFB-9629-FA69EEC0BA03}" name="Form" totalsRowFunction="sum" dataDxfId="369" totalsRowDxfId="370"/>
    <tableColumn id="5" xr3:uid="{13615AFB-3E88-4B80-9C48-2C3DAAD387BF}" name="Bank" totalsRowFunction="sum" dataDxfId="367" totalsRowDxfId="368">
      <calculatedColumnFormula>IF(Table5321918[[#This Row],[Form]]= "Bank", Table5321918[[#This Row],[Projected Cost]],0)</calculatedColumnFormula>
    </tableColumn>
    <tableColumn id="6" xr3:uid="{576D6349-D86E-47FB-B507-4F7902C5CA87}" name="Cash" totalsRowFunction="sum" dataDxfId="365" totalsRowDxfId="366">
      <calculatedColumnFormula>IF(Table5321918[[#This Row],[Form]]="Cash", Table5321918[[#This Row],[Projected Cost]],0)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D2809D9-637F-4504-B40F-2D4BE6478AE8}" name="Table3342122" displayName="Table3342122" ref="B18:H24" totalsRowCount="1" headerRowDxfId="364" dataDxfId="363" totalsRowDxfId="362" tableBorderDxfId="361">
  <autoFilter ref="B18:H23" xr:uid="{00000000-0009-0000-0100-000003000000}"/>
  <tableColumns count="7">
    <tableColumn id="1" xr3:uid="{26441871-EE4A-4AC1-BE97-045E4A632EF2}" name="LITTLE LUXURIES" totalsRowLabel="Total" dataDxfId="359" totalsRowDxfId="360"/>
    <tableColumn id="2" xr3:uid="{2D6C7009-68BC-4048-BC5D-687A588C2A55}" name="Projected Cost" totalsRowFunction="sum" dataDxfId="357" totalsRowDxfId="358"/>
    <tableColumn id="3" xr3:uid="{1E44793D-7FF4-44A4-9829-00A05B39B00D}" name="Actual Cost" totalsRowFunction="sum" dataDxfId="355" totalsRowDxfId="356"/>
    <tableColumn id="4" xr3:uid="{9B94C6FD-4A3A-4FD4-ABD6-5BAC964360F7}" name="Difference" totalsRowFunction="sum" dataDxfId="353" totalsRowDxfId="354">
      <calculatedColumnFormula>Table3342122[[#This Row],[Projected Cost]]-Table3342122[[#This Row],[Actual Cost]]</calculatedColumnFormula>
    </tableColumn>
    <tableColumn id="5" xr3:uid="{BEDA385A-56F4-4C26-8C6F-917CD76D1778}" name="Form " totalsRowFunction="sum" dataDxfId="351" totalsRowDxfId="352"/>
    <tableColumn id="6" xr3:uid="{8F6B2F02-90AD-4EA0-9BE8-256891C801B0}" name="Bank" totalsRowFunction="custom" dataDxfId="349" totalsRowDxfId="350">
      <calculatedColumnFormula>IF(Table3342122[[#This Row],[Form ]]= "Bank", Table3342122[[#This Row],[Projected Cost]],0)</calculatedColumnFormula>
      <totalsRowFormula>SUBTOTAL(109,Table3342122[Bank])/2</totalsRowFormula>
    </tableColumn>
    <tableColumn id="7" xr3:uid="{C6F2451F-1289-441A-83F4-CAE11A909B3B}" name="Cash" totalsRowFunction="custom" dataDxfId="347" totalsRowDxfId="348">
      <calculatedColumnFormula>IF(Table3342122[[#This Row],[Form ]]="Cash", Table3342122[[#This Row],[Projected Cost]],0)</calculatedColumnFormula>
      <totalsRowFormula>SUBTOTAL(109,Table3342122[Cash])/2</totalsRow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8A7DD48-E8A5-4D76-84E3-C1A8CB5DDE2C}" name="Table2382527" displayName="Table2382527" ref="J5:O15" totalsRowCount="1" headerRowDxfId="346" dataDxfId="345" totalsRowDxfId="344" tableBorderDxfId="343">
  <autoFilter ref="J5:O14" xr:uid="{00000000-0009-0000-0100-000002000000}"/>
  <tableColumns count="6">
    <tableColumn id="1" xr3:uid="{398023EB-67B9-46C4-BE4E-EE4D165E71E5}" name="ENTERTAINMENT COSTS" totalsRowLabel="Total" dataDxfId="341" totalsRowDxfId="342"/>
    <tableColumn id="2" xr3:uid="{310378DF-D001-489B-9A76-3026517EE3EC}" name="Projected Cost" totalsRowFunction="sum" dataDxfId="339" totalsRowDxfId="340"/>
    <tableColumn id="3" xr3:uid="{9F325580-65C7-421C-AF53-93E4D02F3D7A}" name="Actual Cost" totalsRowFunction="sum" dataDxfId="337" totalsRowDxfId="338"/>
    <tableColumn id="4" xr3:uid="{0A1EB7AD-B5C7-4112-ACE1-803F25BD27CF}" name="Form" totalsRowFunction="sum" dataDxfId="335" totalsRowDxfId="336">
      <calculatedColumnFormula>IF(Table1271417[[#This Row],[Form ]]= "Bank", Table1271417[[#This Row],[Projected Cost]],0)</calculatedColumnFormula>
    </tableColumn>
    <tableColumn id="5" xr3:uid="{203C88A9-C0CA-4CF4-8213-94CC61F8870C}" name="Bank" totalsRowFunction="custom" dataDxfId="333" totalsRowDxfId="334">
      <calculatedColumnFormula>IF(Table2382527[[#This Row],[Form]]= "Bank", Table2382527[[#This Row],[Projected Cost]],0)</calculatedColumnFormula>
      <totalsRowFormula>SUBTOTAL(109,Table2382527[Bank])/2</totalsRowFormula>
    </tableColumn>
    <tableColumn id="6" xr3:uid="{745CD1B1-58EC-41D0-9CC9-8EB1448C5937}" name="Cash" totalsRowFunction="custom" dataDxfId="331" totalsRowDxfId="332">
      <calculatedColumnFormula>IF(Table2382527[[#This Row],[Form]]="Cash", Table2382527[[#This Row],[Projected Cost]],0)</calculatedColumnFormula>
      <totalsRowFormula>SUBTOTAL(109,Table2382527[Cash])/2</totalsRow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466DD4-FAA4-4E96-B25A-7BF0F2A3E949}" name="Table1428" displayName="Table1428" ref="B28:H40" totalsRowShown="0" headerRowDxfId="330" dataDxfId="329">
  <autoFilter ref="B28:H40" xr:uid="{394EC08E-3E81-4C28-9A39-C6A905238C68}"/>
  <tableColumns count="7">
    <tableColumn id="1" xr3:uid="{D8270014-672A-4B2A-8908-462D2350B9E8}" name="Month" dataDxfId="328"/>
    <tableColumn id="2" xr3:uid="{81BE5662-74D3-4CAE-A1FD-4CCDA0281F27}" name="2020" dataDxfId="327"/>
    <tableColumn id="3" xr3:uid="{097F4EA2-C207-4E62-9FA1-1E088F67B77A}" name="Column2" dataDxfId="326"/>
    <tableColumn id="4" xr3:uid="{19583E89-D72B-4962-AFB1-9A612AD33812}" name="Column1" dataDxfId="325"/>
    <tableColumn id="5" xr3:uid="{6DACAAF1-7F87-4DEB-A53D-A4569690C967}" name="2021" dataDxfId="324"/>
    <tableColumn id="6" xr3:uid="{27001CBE-3895-4A69-A5D2-1738A58A8B2C}" name="2022" dataDxfId="323"/>
    <tableColumn id="7" xr3:uid="{D47F444B-CC40-43AD-A629-E3C009FBC501}" name="2023" dataDxfId="322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46D123E-7C56-4E81-A0ED-49F7CD5A86B0}" name="Table1529" displayName="Table1529" ref="B43:H59" totalsRowShown="0" headerRowDxfId="321" dataDxfId="320">
  <autoFilter ref="B43:H59" xr:uid="{4EBA16D4-9B4E-42E0-8836-1AE0D2A46AF5}"/>
  <tableColumns count="7">
    <tableColumn id="1" xr3:uid="{994BD86A-7872-4D8F-9616-96D995F4FA4F}" name="Month" dataDxfId="319"/>
    <tableColumn id="2" xr3:uid="{94C2037C-425A-4F82-921E-4897848C9E2D}" name="2024" dataDxfId="318">
      <calculatedColumnFormula>SUM(C30:C43)</calculatedColumnFormula>
    </tableColumn>
    <tableColumn id="3" xr3:uid="{D8B42CFA-F8E5-49F3-95F3-63975F57787A}" name="Column1" dataDxfId="317">
      <calculatedColumnFormula>SUM(D32:D43)</calculatedColumnFormula>
    </tableColumn>
    <tableColumn id="4" xr3:uid="{F91382FB-1D68-4BE5-A441-2DCA1C6ECD16}" name="Column2" dataDxfId="316">
      <calculatedColumnFormula>SUM(E32:E43)</calculatedColumnFormula>
    </tableColumn>
    <tableColumn id="5" xr3:uid="{E3EF86BF-B3F3-48CC-8240-ED0917EE76B2}" name="2025" dataDxfId="315">
      <calculatedColumnFormula>SUM(F32:F43)</calculatedColumnFormula>
    </tableColumn>
    <tableColumn id="6" xr3:uid="{5FABCED1-608C-4B31-A900-7821D598513B}" name="2026" dataDxfId="314">
      <calculatedColumnFormula>SUM(G32:G43)</calculatedColumnFormula>
    </tableColumn>
    <tableColumn id="7" xr3:uid="{5F91B585-0467-49A6-80DE-831F3B2A4F37}" name="2027" dataDxfId="313">
      <calculatedColumnFormula>SUM(H32:H43)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3D8DBC9-F3AE-4F92-89D4-18ABC69E377B}" name="Table12714173123" displayName="Table12714173123" ref="A4:G10" totalsRowCount="1" dataDxfId="312" totalsRowDxfId="311" tableBorderDxfId="310">
  <tableColumns count="7">
    <tableColumn id="1" xr3:uid="{71B0E050-0108-4924-9756-58CAFF526365}" name="JOB BASED INCOME " totalsRowLabel="Total" dataDxfId="308" totalsRowDxfId="309"/>
    <tableColumn id="2" xr3:uid="{008CC113-5F7A-4D85-890D-5CAD6930B40B}" name="Column1"/>
    <tableColumn id="3" xr3:uid="{CA26B951-CAC4-4E61-8D72-8FF01B672865}" name="Actual Cost" dataDxfId="306" totalsRowDxfId="307"/>
    <tableColumn id="4" xr3:uid="{8796D4F7-AEA6-41BF-A1B7-63F418910641}" name="Column3" dataDxfId="304" totalsRowDxfId="305"/>
    <tableColumn id="5" xr3:uid="{C12ACC48-53BA-47DA-9C22-ADD62F512E47}" name="Column2" dataDxfId="302" totalsRowDxfId="303"/>
    <tableColumn id="6" xr3:uid="{CC5011F8-E08F-4167-8CD3-3511970C384A}" name="Column22" dataDxfId="300" totalsRowDxfId="301"/>
    <tableColumn id="7" xr3:uid="{71C01362-7B59-49D9-961F-648E5620ADD9}" name="Value" totalsRowFunction="sum" dataDxfId="298" totalsRowDxfId="299">
      <calculatedColumnFormula>Table12714173123[[#This Row],[Actual Cost]]</calculatedColumnFormula>
    </tableColumn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DE5E6C3-90DE-452F-92CB-1810273588A5}" name="Table1271417312330" displayName="Table1271417312330" ref="A12:G19" totalsRowCount="1" dataDxfId="297" totalsRowDxfId="296" tableBorderDxfId="295">
  <tableColumns count="7">
    <tableColumn id="1" xr3:uid="{DCA46E60-FEDC-47A3-8A34-E5E3CA2EF8C1}" name="INVESTMENT &amp; OTHER STREAMS INCOME " totalsRowLabel="Total" dataDxfId="293" totalsRowDxfId="294"/>
    <tableColumn id="2" xr3:uid="{875125C8-3DCC-4B2F-9EC1-6DA1950DC1EB}" name="Column1"/>
    <tableColumn id="3" xr3:uid="{4A76E014-10D1-4DF0-98B2-FC7B0819311E}" name="Actual Cost" dataDxfId="292"/>
    <tableColumn id="4" xr3:uid="{8605BA02-4DB0-4432-9EFF-7F5E2052E825}" name="Column3" dataDxfId="290" totalsRowDxfId="291"/>
    <tableColumn id="5" xr3:uid="{2C8C956D-498F-4249-8E4D-76BB55FED9D1}" name="Column2" dataDxfId="288" totalsRowDxfId="289"/>
    <tableColumn id="6" xr3:uid="{2D32179E-FEE7-4640-ADCD-F69278D66C58}" name="Column22" dataDxfId="286" totalsRowDxfId="287"/>
    <tableColumn id="7" xr3:uid="{1D41BF3D-796F-4BDC-9F6D-EB3F2C191BAC}" name="Value" totalsRowFunction="sum" dataDxfId="284" totalsRowDxfId="285">
      <calculatedColumnFormula>Table1271417312330[[#This Row],[Actual Cost]]</calculatedColumnFormula>
    </tableColumn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EF73AF2-AE97-49E9-A92F-C91E7B019C12}" name="Table127141731233037" displayName="Table127141731233037" ref="A21:G25" totalsRowCount="1" dataDxfId="283" totalsRowDxfId="282" tableBorderDxfId="281">
  <tableColumns count="7">
    <tableColumn id="1" xr3:uid="{AD657C25-20BF-472C-92B6-2EEE6C157E65}" name="REGULAR SAVINGS" totalsRowLabel="Total" dataDxfId="279" totalsRowDxfId="280"/>
    <tableColumn id="2" xr3:uid="{317E8CD8-D7D1-4166-A5F3-49977D2B81DD}" name="Column1"/>
    <tableColumn id="3" xr3:uid="{163D89CF-0BBD-47D1-9DF0-1174056F45FE}" name="Actual Cost" dataDxfId="277" totalsRowDxfId="278">
      <calculatedColumnFormula>0.3*C5</calculatedColumnFormula>
    </tableColumn>
    <tableColumn id="4" xr3:uid="{14EF0743-671D-4B88-BE39-B538E3477128}" name="Column3" dataDxfId="275" totalsRowDxfId="276"/>
    <tableColumn id="5" xr3:uid="{68C1B4C9-4378-482B-9A55-C04352796069}" name="Column2" dataDxfId="273" totalsRowDxfId="274"/>
    <tableColumn id="6" xr3:uid="{8613FE55-BAC7-4407-BE68-89912890AC00}" name="Column22" dataDxfId="271" totalsRowDxfId="272"/>
    <tableColumn id="7" xr3:uid="{F589E942-B9CA-4946-AB4A-92EE0EDF300C}" name="Value" totalsRowFunction="sum" dataDxfId="269" totalsRowDxfId="270">
      <calculatedColumnFormula>Table127141731233037[[#This Row],[Actual Cost]]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5065A67-2CAF-49FC-8D91-DEFC5F19F856}" name="Table12714173123303738" displayName="Table12714173123303738" ref="A27:G31" totalsRowCount="1" dataDxfId="268" totalsRowDxfId="267" tableBorderDxfId="266">
  <tableColumns count="7">
    <tableColumn id="1" xr3:uid="{9876F116-11C7-41E7-8B30-A059FA7FA348}" name="LIFESTYLE SUPPORT" totalsRowLabel="Total" dataDxfId="264" totalsRowDxfId="265"/>
    <tableColumn id="2" xr3:uid="{C2ACD22C-B385-4074-A082-23BD915FAAC2}" name="Column1"/>
    <tableColumn id="3" xr3:uid="{0ADE4C14-3671-4BFA-93D5-C10E9709BE93}" name="Actual Cost" dataDxfId="262" totalsRowDxfId="263"/>
    <tableColumn id="4" xr3:uid="{EA6F71B3-FC1E-4583-9A57-DF51071C931F}" name="Column3" dataDxfId="260" totalsRowDxfId="261"/>
    <tableColumn id="5" xr3:uid="{551E1AC0-17C6-4F1E-9236-DDBE776DF5C3}" name="Column2" dataDxfId="258" totalsRowDxfId="259"/>
    <tableColumn id="6" xr3:uid="{E6D34019-9239-4334-9298-D2A82EFD693B}" name="Column22" dataDxfId="256" totalsRowDxfId="257"/>
    <tableColumn id="7" xr3:uid="{5A2EF30E-7F63-4EB7-A0FB-A31F26F1AA0C}" name="Cash" totalsRowFunction="custom" dataDxfId="254" totalsRowDxfId="255">
      <calculatedColumnFormula>Table12714173123303738[[#This Row],[Actual Cost]]</calculatedColumnFormula>
      <totalsRowFormula>SUBTOTAL(109,Table12714173123303738[Cash])/2</totalsRowFormula>
    </tableColumn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09A95F6-F742-4279-A55E-2D3898CDF4BA}" name="Table127141731" displayName="Table127141731" ref="B5:H9" totalsRowCount="1" headerRowDxfId="253" dataDxfId="252" totalsRowDxfId="251" tableBorderDxfId="250">
  <autoFilter ref="B5:H8" xr:uid="{00000000-0009-0000-0100-000001000000}"/>
  <tableColumns count="7">
    <tableColumn id="1" xr3:uid="{4B0EAED0-3C2D-41D7-956A-7788F9C086E7}" name="LUXURY ITEM 1" totalsRowLabel="Total" dataDxfId="248" totalsRowDxfId="249"/>
    <tableColumn id="2" xr3:uid="{9F531C91-1207-4FB1-AA9A-605118FC5B04}" name="Projected Cost" totalsRowFunction="sum" dataDxfId="246" totalsRowDxfId="247"/>
    <tableColumn id="3" xr3:uid="{3F7D8F3D-7ACA-4819-AE8D-26D1D4A7C216}" name="Actual Cost" dataDxfId="244" totalsRowDxfId="245"/>
    <tableColumn id="4" xr3:uid="{AAE6C6C6-A902-48EC-94D0-1009309E6CD3}" name="Difference" dataDxfId="242" totalsRowDxfId="243"/>
    <tableColumn id="5" xr3:uid="{842BE226-54B6-4727-8C4B-73FE93137DED}" name="Form " dataDxfId="240" totalsRowDxfId="241"/>
    <tableColumn id="6" xr3:uid="{7BB51889-55E4-4A12-9419-6CD5729AE4CD}" name="Bank" totalsRowFunction="sum" dataDxfId="238" totalsRowDxfId="239">
      <calculatedColumnFormula>IF(Table127141731[[#This Row],[Form ]]= "Bank", Table127141731[[#This Row],[Projected Cost]],0)</calculatedColumnFormula>
    </tableColumn>
    <tableColumn id="7" xr3:uid="{F4F95FDA-589A-446F-96AD-B8BA7D4FC0C7}" name="Cash" totalsRowFunction="sum" dataDxfId="236" totalsRowDxfId="237">
      <calculatedColumnFormula>IF(Table127141731[[#This Row],[Form ]]="Cash", Table127141731[[#This Row],[Projected Cost]],0)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824AFD0-079E-407E-B224-E3FA7EA29070}" name="Table53219" displayName="Table53219" ref="J17:O21" totalsRowCount="1" headerRowDxfId="494" dataDxfId="493" totalsRowDxfId="492" tableBorderDxfId="491">
  <autoFilter ref="J17:O20" xr:uid="{00000000-0009-0000-0100-000005000000}"/>
  <tableColumns count="6">
    <tableColumn id="1" xr3:uid="{DEF82671-578D-481D-8198-070B417E08C0}" name="MORTGAGE/RENT" totalsRowLabel="Total" dataDxfId="489" totalsRowDxfId="490"/>
    <tableColumn id="2" xr3:uid="{D279FD57-02FD-4CA0-ABA5-706C241AD38D}" name="Projected Cost" totalsRowFunction="sum" dataDxfId="487" totalsRowDxfId="488"/>
    <tableColumn id="3" xr3:uid="{DF2A1E67-E035-443C-8373-B1F242974033}" name="Actual Cost" totalsRowFunction="sum" dataDxfId="485" totalsRowDxfId="486"/>
    <tableColumn id="4" xr3:uid="{EA216BD5-7C0E-4133-B0F9-A7D85AE3E705}" name="Form" totalsRowFunction="sum" dataDxfId="483" totalsRowDxfId="484"/>
    <tableColumn id="5" xr3:uid="{3745E27D-3FF7-42C0-9C74-B4F02642F316}" name="Bank" totalsRowFunction="sum" dataDxfId="481" totalsRowDxfId="482">
      <calculatedColumnFormula>IF(Table53219[[#This Row],[Form]]= "Bank", Table53219[[#This Row],[Projected Cost]],0)</calculatedColumnFormula>
    </tableColumn>
    <tableColumn id="6" xr3:uid="{145A0868-C8D7-40BD-B585-7FCEA8F97588}" name="Cash" totalsRowFunction="sum" dataDxfId="479" totalsRowDxfId="480">
      <calculatedColumnFormula>IF(Table53219[[#This Row],[Form]]="Cash", Table53219[[#This Row],[Projected Cost]],0)</calculatedColumnFormula>
    </tableColumn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BCAE771-C5D2-4365-B2E7-4FBCA662CB2D}" name="Table532191832" displayName="Table532191832" ref="J11:O14" totalsRowCount="1" headerRowDxfId="235" dataDxfId="234" totalsRowDxfId="233" tableBorderDxfId="232">
  <autoFilter ref="J11:O13" xr:uid="{00000000-0009-0000-0100-000005000000}"/>
  <tableColumns count="6">
    <tableColumn id="1" xr3:uid="{C4FF594B-B8C0-4A73-B913-A38448AB7CD4}" name="FINANCIAL INDEPENDENCE" totalsRowLabel="Total" dataDxfId="230" totalsRowDxfId="231"/>
    <tableColumn id="2" xr3:uid="{4D59D18D-2336-4FA2-A9E5-7C24E0E9D375}" name="Projected Cost" totalsRowFunction="sum" dataDxfId="228" totalsRowDxfId="229">
      <calculatedColumnFormula>'Financial Independence'!G34</calculatedColumnFormula>
    </tableColumn>
    <tableColumn id="3" xr3:uid="{61BA7BB3-9377-4264-B5C3-181D5760726D}" name="Actual Cost" totalsRowFunction="sum" dataDxfId="226" totalsRowDxfId="227"/>
    <tableColumn id="4" xr3:uid="{7B355FDD-A997-4AD4-B447-FD33850F856E}" name="Form" totalsRowFunction="sum" dataDxfId="224" totalsRowDxfId="225"/>
    <tableColumn id="5" xr3:uid="{79FEFE10-DFC7-4F44-B555-FD6C8F32666E}" name="Bank" totalsRowFunction="sum" dataDxfId="222" totalsRowDxfId="223">
      <calculatedColumnFormula>IF(Table532191832[[#This Row],[Form]]= "Bank", Table532191832[[#This Row],[Projected Cost]],0)</calculatedColumnFormula>
    </tableColumn>
    <tableColumn id="6" xr3:uid="{5EB1A7FB-AA0F-4343-873D-5D7CDC03C530}" name="Cash" totalsRowFunction="sum" dataDxfId="220" totalsRowDxfId="221">
      <calculatedColumnFormula>IF(Table532191832[[#This Row],[Form]]="Cash", Table532191832[[#This Row],[Projected Cost]],0)</calculatedColumnFormula>
    </tableColumn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6F295FC-B4B7-4323-A34F-B0AE5792EDCB}" name="Table334212233" displayName="Table334212233" ref="B11:H17" totalsRowCount="1" headerRowDxfId="219" dataDxfId="218" totalsRowDxfId="217" tableBorderDxfId="216">
  <autoFilter ref="B11:H16" xr:uid="{00000000-0009-0000-0100-000003000000}"/>
  <tableColumns count="7">
    <tableColumn id="1" xr3:uid="{88689749-CFBF-4405-96EB-E9C4DD17697C}" name="DONATIONS/ PAY IT FORWARD" totalsRowLabel="Total" dataDxfId="214" totalsRowDxfId="215">
      <calculatedColumnFormula>C11-Table334212233[[#This Row],[Projected Cost]]</calculatedColumnFormula>
    </tableColumn>
    <tableColumn id="2" xr3:uid="{FBBDE58D-148E-4FD7-BBDC-DC72A1980848}" name="Projected Cost" totalsRowFunction="sum" dataDxfId="212" totalsRowDxfId="213">
      <calculatedColumnFormula>5*1.5</calculatedColumnFormula>
    </tableColumn>
    <tableColumn id="3" xr3:uid="{58C065B3-3D96-477B-B255-78FCF43FB7F9}" name="Actual Cost" totalsRowFunction="sum" dataDxfId="210" totalsRowDxfId="211"/>
    <tableColumn id="4" xr3:uid="{7711C879-E9D2-41E6-8853-7B784474C87F}" name="Difference" totalsRowFunction="sum" dataDxfId="208" totalsRowDxfId="209">
      <calculatedColumnFormula>Table334212233[[#This Row],[Projected Cost]]-Table334212233[[#This Row],[Actual Cost]]</calculatedColumnFormula>
    </tableColumn>
    <tableColumn id="5" xr3:uid="{DB1B5421-7D54-494A-B89A-4D522F6A1614}" name="Form " totalsRowFunction="sum" dataDxfId="206" totalsRowDxfId="207"/>
    <tableColumn id="6" xr3:uid="{2F4EC872-DF8F-4FFC-8DB4-DACF4DBE27E0}" name="Bank" totalsRowFunction="sum" dataDxfId="204" totalsRowDxfId="205">
      <calculatedColumnFormula>IF(Table334212233[[#This Row],[Form ]]= "Bank", Table334212233[[#This Row],[Projected Cost]],0)</calculatedColumnFormula>
    </tableColumn>
    <tableColumn id="7" xr3:uid="{693B91BF-8B30-4FB8-B87E-341AEC7D3BF9}" name="Cash" totalsRowFunction="sum" dataDxfId="202" totalsRowDxfId="203">
      <calculatedColumnFormula>IF(Table334212233[[#This Row],[Form ]]="Cash", Table334212233[[#This Row],[Projected Cost]],0)</calculatedColumnFormula>
    </tableColumn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0E6CD7-E37F-446B-B43F-F285FF409855}" name="Table238252734" displayName="Table238252734" ref="J5:O9" totalsRowCount="1" headerRowDxfId="201" dataDxfId="200" totalsRowDxfId="199" tableBorderDxfId="198">
  <autoFilter ref="J5:O8" xr:uid="{00000000-0009-0000-0100-000002000000}"/>
  <tableColumns count="6">
    <tableColumn id="1" xr3:uid="{8EE3DF61-3689-45E8-98D4-9521450C3114}" name="LUXURY ITEM 2" totalsRowLabel="Total" dataDxfId="196" totalsRowDxfId="197"/>
    <tableColumn id="2" xr3:uid="{6691B9C0-96E9-4378-99F9-0477B4CC9A40}" name="Projected Cost" totalsRowFunction="sum" dataDxfId="194" totalsRowDxfId="195">
      <calculatedColumnFormula>6000*5%</calculatedColumnFormula>
    </tableColumn>
    <tableColumn id="3" xr3:uid="{14A5869C-EBEE-4B50-9BC8-604075B471C9}" name="Actual Cost" totalsRowFunction="sum" dataDxfId="192" totalsRowDxfId="193"/>
    <tableColumn id="4" xr3:uid="{D79B41E0-F16F-4431-8D21-DA84482D5854}" name="Form" totalsRowFunction="sum" dataDxfId="190" totalsRowDxfId="191">
      <calculatedColumnFormula>IF(Table127141731[[#This Row],[Form ]]= "Bank", Table127141731[[#This Row],[Projected Cost]],0)</calculatedColumnFormula>
    </tableColumn>
    <tableColumn id="5" xr3:uid="{BA47B712-C84A-4C21-BE71-889BC34FBE66}" name="Bank" totalsRowFunction="sum" dataDxfId="188" totalsRowDxfId="189">
      <calculatedColumnFormula>IF(Table238252734[[#This Row],[Form]]= "Bank", Table238252734[[#This Row],[Projected Cost]],0)</calculatedColumnFormula>
    </tableColumn>
    <tableColumn id="6" xr3:uid="{CB89008D-1A60-4FA1-A10A-2C25B3E456EC}" name="Cash" totalsRowFunction="sum" dataDxfId="186" totalsRowDxfId="187">
      <calculatedColumnFormula>IF(Table238252734[[#This Row],[Form]]="Cash", Table238252734[[#This Row],[Projected Cost]],0)</calculatedColumnFormula>
    </tableColumn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D8949EA-82F2-4348-8333-D7EBF0A3053F}" name="Table142835" displayName="Table142835" ref="B34:H46" totalsRowShown="0" headerRowDxfId="185" dataDxfId="184">
  <autoFilter ref="B34:H46" xr:uid="{394EC08E-3E81-4C28-9A39-C6A905238C68}"/>
  <tableColumns count="7">
    <tableColumn id="1" xr3:uid="{ED1561B9-B07D-4CB2-A8ED-4928127AB83E}" name="Month" dataDxfId="183"/>
    <tableColumn id="2" xr3:uid="{54CD0900-C6F4-4BA6-8CAC-BB7DA33A798D}" name="2020" dataDxfId="182"/>
    <tableColumn id="3" xr3:uid="{57D914D5-1CDB-4807-A407-81823753F749}" name="Column2" dataDxfId="181"/>
    <tableColumn id="4" xr3:uid="{76E4C478-CB5B-4090-A8E4-93AA5B07BB2B}" name="Column1" dataDxfId="180"/>
    <tableColumn id="5" xr3:uid="{0406BAFC-BC77-4101-A052-B986E36A616B}" name="2021" dataDxfId="179"/>
    <tableColumn id="6" xr3:uid="{DA608A01-2180-4822-995F-93D7C3E09D6E}" name="2022" dataDxfId="178"/>
    <tableColumn id="7" xr3:uid="{141D6E8F-1D1D-4D7D-B579-71F1661B6E60}" name="2023" dataDxfId="177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1733993-EF77-4AE2-8E30-505E3320219E}" name="Table152936" displayName="Table152936" ref="B49:H65" totalsRowShown="0" headerRowDxfId="176" dataDxfId="175">
  <autoFilter ref="B49:H65" xr:uid="{4EBA16D4-9B4E-42E0-8836-1AE0D2A46AF5}"/>
  <tableColumns count="7">
    <tableColumn id="1" xr3:uid="{9FB9A4D0-8299-4D50-834D-DC37D3FA8AC9}" name="Month" dataDxfId="174"/>
    <tableColumn id="2" xr3:uid="{FAC27CE8-A783-4831-ADEC-928E29D76152}" name="2024" dataDxfId="173">
      <calculatedColumnFormula>SUM(C36:C49)</calculatedColumnFormula>
    </tableColumn>
    <tableColumn id="3" xr3:uid="{2277395D-6472-4264-92D0-3DDD890DDFEF}" name="Column1" dataDxfId="172">
      <calculatedColumnFormula>SUM(D38:D49)</calculatedColumnFormula>
    </tableColumn>
    <tableColumn id="4" xr3:uid="{E87D7A28-376D-4EED-BC57-6EAB65BA732A}" name="Column2" dataDxfId="171">
      <calculatedColumnFormula>SUM(E38:E49)</calculatedColumnFormula>
    </tableColumn>
    <tableColumn id="5" xr3:uid="{6E0D3E7B-4C25-4691-8D34-A011652394F1}" name="2025" dataDxfId="170">
      <calculatedColumnFormula>SUM(F38:F49)</calculatedColumnFormula>
    </tableColumn>
    <tableColumn id="6" xr3:uid="{7D28821C-108D-4320-8597-7A8150390017}" name="2026" dataDxfId="169">
      <calculatedColumnFormula>SUM(G38:G49)</calculatedColumnFormula>
    </tableColumn>
    <tableColumn id="7" xr3:uid="{47B1FC8A-1C3E-4A80-BF3F-E67BA56D15E9}" name="2027" dataDxfId="168">
      <calculatedColumnFormula>SUM(H38:H49)</calculatedColumnFormula>
    </tableColumn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E30" totalsRowCount="1" headerRowDxfId="167" dataDxfId="166" totalsRowDxfId="165" tableBorderDxfId="164">
  <autoFilter ref="B19:E29" xr:uid="{00000000-0009-0000-0100-000001000000}"/>
  <tableColumns count="4">
    <tableColumn id="1" xr3:uid="{00000000-0010-0000-0000-000001000000}" name="HOUSING" totalsRowLabel="Total" dataDxfId="162" totalsRowDxfId="163"/>
    <tableColumn id="2" xr3:uid="{00000000-0010-0000-0000-000002000000}" name="Projected Cost" totalsRowFunction="sum" dataDxfId="160" totalsRowDxfId="161"/>
    <tableColumn id="3" xr3:uid="{00000000-0010-0000-0000-000003000000}" name="Actual Cost" totalsRowFunction="sum" dataDxfId="158" totalsRowDxfId="159"/>
    <tableColumn id="4" xr3:uid="{00000000-0010-0000-0000-000004000000}" name="Difference" totalsRowFunction="sum" dataDxfId="156" totalsRowDxfId="157">
      <calculatedColumnFormula>Table1[[#This Row],[Projected Cost]]-Table1[[#This Row],[Actual Cost]]</calculatedColumnFormula>
    </tableColumn>
  </tableColumns>
  <tableStyleInfo name="TableStyleMedium2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B42:E47" totalsRowCount="1" headerRowDxfId="155" dataDxfId="154" totalsRowDxfId="153" tableBorderDxfId="152">
  <autoFilter ref="B42:E46" xr:uid="{00000000-0009-0000-0100-000004000000}"/>
  <tableColumns count="4">
    <tableColumn id="1" xr3:uid="{00000000-0010-0000-0100-000001000000}" name="INSURANCE" totalsRowLabel="Total" dataDxfId="150" totalsRowDxfId="151"/>
    <tableColumn id="2" xr3:uid="{00000000-0010-0000-0100-000002000000}" name="Projected Cost" totalsRowFunction="sum" dataDxfId="148" totalsRowDxfId="149"/>
    <tableColumn id="3" xr3:uid="{00000000-0010-0000-0100-000003000000}" name="Actual Cost" totalsRowFunction="sum" dataDxfId="146" totalsRowDxfId="147"/>
    <tableColumn id="4" xr3:uid="{00000000-0010-0000-0100-000004000000}" name="Difference" totalsRowFunction="sum" dataDxfId="144" totalsRowDxfId="145">
      <calculatedColumnFormula>Table4[[#This Row],[Projected Cost]]-Table4[[#This Row],[Actual Cost]]</calculatedColumnFormula>
    </tableColumn>
  </tableColumns>
  <tableStyleInfo name="TableStyleMedium2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12" displayName="Table12" ref="G60:J65" totalsRowCount="1" headerRowDxfId="143" dataDxfId="142" totalsRowDxfId="141" tableBorderDxfId="140">
  <autoFilter ref="G60:J64" xr:uid="{00000000-0009-0000-0100-00000C000000}"/>
  <tableColumns count="4">
    <tableColumn id="1" xr3:uid="{00000000-0010-0000-0200-000001000000}" name="LEGAL" totalsRowLabel="Total" dataDxfId="138" totalsRowDxfId="139"/>
    <tableColumn id="2" xr3:uid="{00000000-0010-0000-0200-000002000000}" name="Projected Cost" totalsRowFunction="sum" dataDxfId="136" totalsRowDxfId="137"/>
    <tableColumn id="3" xr3:uid="{00000000-0010-0000-0200-000003000000}" name="Actual Cost" totalsRowFunction="sum" dataDxfId="134" totalsRowDxfId="135"/>
    <tableColumn id="4" xr3:uid="{00000000-0010-0000-0200-000004000000}" name="Difference" totalsRowFunction="sum" dataDxfId="132" totalsRowDxfId="133">
      <calculatedColumnFormula>Table12[[#This Row],[Projected Cost]]-Table12[[#This Row],[Actual Cost]]</calculatedColumnFormula>
    </tableColumn>
  </tableColumns>
  <tableStyleInfo name="TableStyleMedium2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B56:E62" totalsRowCount="1" headerRowDxfId="131" dataDxfId="130" totalsRowDxfId="129" tableBorderDxfId="128">
  <autoFilter ref="B56:E61" xr:uid="{00000000-0009-0000-0100-000006000000}"/>
  <tableColumns count="4">
    <tableColumn id="1" xr3:uid="{00000000-0010-0000-0300-000001000000}" name="EDUCATION" totalsRowLabel="Total" dataDxfId="126" totalsRowDxfId="127"/>
    <tableColumn id="2" xr3:uid="{00000000-0010-0000-0300-000002000000}" name="Projected Cost" totalsRowFunction="sum" dataDxfId="124" totalsRowDxfId="125"/>
    <tableColumn id="3" xr3:uid="{00000000-0010-0000-0300-000003000000}" name="Actual Cost" totalsRowFunction="sum" dataDxfId="122" totalsRowDxfId="123"/>
    <tableColumn id="4" xr3:uid="{00000000-0010-0000-0300-000004000000}" name="Difference" totalsRowFunction="sum" dataDxfId="120" totalsRowDxfId="121">
      <calculatedColumnFormula>Table6[[#This Row],[Projected Cost]]-Table6[[#This Row],[Actual Cost]]</calculatedColumnFormula>
    </tableColumn>
  </tableColumns>
  <tableStyleInfo name="TableStyleMedium2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G53:J58" totalsRowCount="1" headerRowDxfId="119" dataDxfId="118" totalsRowDxfId="117" tableBorderDxfId="116">
  <autoFilter ref="G53:J57" xr:uid="{00000000-0009-0000-0100-00000B000000}"/>
  <tableColumns count="4">
    <tableColumn id="1" xr3:uid="{00000000-0010-0000-0400-000001000000}" name="GIFTS AND DONATIONS" totalsRowLabel="Total" dataDxfId="114" totalsRowDxfId="115"/>
    <tableColumn id="2" xr3:uid="{00000000-0010-0000-0400-000002000000}" name="Projected Cost" totalsRowFunction="sum" dataDxfId="112" totalsRowDxfId="113">
      <calculatedColumnFormula>150+200</calculatedColumnFormula>
    </tableColumn>
    <tableColumn id="3" xr3:uid="{00000000-0010-0000-0400-000003000000}" name="Actual Cost" totalsRowFunction="sum" dataDxfId="110" totalsRowDxfId="111"/>
    <tableColumn id="4" xr3:uid="{00000000-0010-0000-0400-000004000000}" name="Difference" totalsRowFunction="sum" dataDxfId="108" totalsRowDxfId="109">
      <calculatedColumnFormula>Table11[[#This Row],[Projected Cost]]-Table11[[#This Row],[Actual Cost]]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99F1AF9-71ED-46C7-8AF8-F8B75B2A4256}" name="Table33421" displayName="Table33421" ref="B18:H26" totalsRowCount="1" headerRowDxfId="478" dataDxfId="477" totalsRowDxfId="476" tableBorderDxfId="475">
  <autoFilter ref="B18:H25" xr:uid="{00000000-0009-0000-0100-000003000000}"/>
  <tableColumns count="7">
    <tableColumn id="1" xr3:uid="{1C13853D-E1BE-4D8B-BD1E-E93937439886}" name="UTILITIES" totalsRowLabel="Total" dataDxfId="473" totalsRowDxfId="474"/>
    <tableColumn id="2" xr3:uid="{5D4A82C0-BA38-4FC4-91B2-CDFE9E94FCFF}" name="Projected Cost" totalsRowFunction="sum" dataDxfId="471" totalsRowDxfId="472">
      <calculatedColumnFormula>5*1.5</calculatedColumnFormula>
    </tableColumn>
    <tableColumn id="3" xr3:uid="{4B6EA6C4-6358-4996-9CD2-860A52CEF397}" name="Actual Cost" totalsRowFunction="sum" dataDxfId="469" totalsRowDxfId="470"/>
    <tableColumn id="4" xr3:uid="{8A01747A-869A-4B06-8DF5-D737827BABCD}" name="Difference" totalsRowFunction="sum" dataDxfId="467" totalsRowDxfId="468"/>
    <tableColumn id="5" xr3:uid="{1BC279D8-C989-432D-8AC2-19093189B09D}" name="Form " totalsRowFunction="sum" dataDxfId="465" totalsRowDxfId="466"/>
    <tableColumn id="6" xr3:uid="{D589A468-B351-4E8E-96B8-3EBEB8895831}" name="Bank" totalsRowFunction="sum" dataDxfId="463" totalsRowDxfId="464">
      <calculatedColumnFormula>IF(Table33421[[#This Row],[Form ]]= "Bank", Table33421[[#This Row],[Projected Cost]],0)</calculatedColumnFormula>
    </tableColumn>
    <tableColumn id="7" xr3:uid="{43FF62A7-8F03-42F6-B1A0-C48FFF6E2584}" name="Cash" totalsRowFunction="sum" dataDxfId="461" totalsRowDxfId="462">
      <calculatedColumnFormula>IF(Table33421[[#This Row],[Form ]]="Cash", Table33421[[#This Row],[Projected Cost]],0)</calculatedColumnFormula>
    </tableColumn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B49:E53" totalsRowCount="1" headerRowDxfId="107" dataDxfId="106" totalsRowDxfId="105" tableBorderDxfId="104">
  <autoFilter ref="B49:E52" xr:uid="{00000000-0009-0000-0100-000005000000}"/>
  <tableColumns count="4">
    <tableColumn id="1" xr3:uid="{00000000-0010-0000-0500-000001000000}" name="FOOD" totalsRowLabel="Total" dataDxfId="102" totalsRowDxfId="103"/>
    <tableColumn id="2" xr3:uid="{00000000-0010-0000-0500-000002000000}" name="Projected Cost" totalsRowFunction="sum" dataDxfId="100" totalsRowDxfId="101"/>
    <tableColumn id="3" xr3:uid="{00000000-0010-0000-0500-000003000000}" name="Actual Cost" totalsRowFunction="sum" dataDxfId="98" totalsRowDxfId="99"/>
    <tableColumn id="4" xr3:uid="{00000000-0010-0000-0500-000004000000}" name="Difference" totalsRowFunction="sum" dataDxfId="96" totalsRowDxfId="97">
      <calculatedColumnFormula>Table5[[#This Row],[Projected Cost]]-Table5[[#This Row],[Actual Cost]]</calculatedColumnFormula>
    </tableColumn>
  </tableColumns>
  <tableStyleInfo name="TableStyleMedium2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G40:J45" totalsRowCount="1" headerRowDxfId="95" dataDxfId="94" totalsRowDxfId="93" tableBorderDxfId="92">
  <autoFilter ref="G40:J44" xr:uid="{00000000-0009-0000-0100-000009000000}"/>
  <tableColumns count="4">
    <tableColumn id="1" xr3:uid="{00000000-0010-0000-0600-000001000000}" name="TAXES" totalsRowLabel="Total" dataDxfId="90" totalsRowDxfId="91"/>
    <tableColumn id="2" xr3:uid="{00000000-0010-0000-0600-000002000000}" name="Projected Cost" totalsRowFunction="sum" dataDxfId="88" totalsRowDxfId="89"/>
    <tableColumn id="3" xr3:uid="{00000000-0010-0000-0600-000003000000}" name="Actual Cost" totalsRowFunction="sum" dataDxfId="86" totalsRowDxfId="87"/>
    <tableColumn id="4" xr3:uid="{00000000-0010-0000-0600-000004000000}" name="Difference" totalsRowFunction="sum" dataDxfId="84" totalsRowDxfId="85">
      <calculatedColumnFormula>Table9[[#This Row],[Projected Cost]]-Table9[[#This Row],[Actual Cost]]</calculatedColumnFormula>
    </tableColumn>
  </tableColumns>
  <tableStyleInfo name="TableStyleMedium2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B32:E40" totalsRowCount="1" headerRowDxfId="83" dataDxfId="82" totalsRowDxfId="81" tableBorderDxfId="80">
  <autoFilter ref="B32:E39" xr:uid="{00000000-0009-0000-0100-000003000000}"/>
  <tableColumns count="4">
    <tableColumn id="1" xr3:uid="{00000000-0010-0000-0700-000001000000}" name="TRANSPORTATION" totalsRowLabel="Total" dataDxfId="78" totalsRowDxfId="79"/>
    <tableColumn id="2" xr3:uid="{00000000-0010-0000-0700-000002000000}" name="Projected Cost" totalsRowFunction="sum" dataDxfId="76" totalsRowDxfId="77"/>
    <tableColumn id="3" xr3:uid="{00000000-0010-0000-0700-000003000000}" name="Actual Cost" totalsRowFunction="sum" dataDxfId="74" totalsRowDxfId="75"/>
    <tableColumn id="4" xr3:uid="{00000000-0010-0000-0700-000004000000}" name="Difference" totalsRowFunction="sum" dataDxfId="72" totalsRowDxfId="73">
      <calculatedColumnFormula>Table3[[#This Row],[Projected Cost]]-Table3[[#This Row],[Actual Cost]]</calculatedColumnFormula>
    </tableColumn>
  </tableColumns>
  <tableStyleInfo name="TableStyleMedium2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G31:J38" totalsRowCount="1" headerRowDxfId="71" dataDxfId="70" totalsRowDxfId="69" tableBorderDxfId="68">
  <autoFilter ref="G31:J37" xr:uid="{00000000-0009-0000-0100-000008000000}"/>
  <tableColumns count="4">
    <tableColumn id="1" xr3:uid="{00000000-0010-0000-0800-000001000000}" name="LOANS" totalsRowLabel="Total" dataDxfId="66" totalsRowDxfId="67"/>
    <tableColumn id="2" xr3:uid="{00000000-0010-0000-0800-000002000000}" name="Projected Cost" totalsRowFunction="sum" dataDxfId="64" totalsRowDxfId="65"/>
    <tableColumn id="3" xr3:uid="{00000000-0010-0000-0800-000003000000}" name="Actual Cost" totalsRowFunction="sum" dataDxfId="62" totalsRowDxfId="63"/>
    <tableColumn id="4" xr3:uid="{00000000-0010-0000-0800-000004000000}" name="Difference" totalsRowFunction="sum" dataDxfId="60" totalsRowDxfId="61">
      <calculatedColumnFormula>Table8[[#This Row],[Projected Cost]]-Table8[[#This Row],[Actual Cost]]</calculatedColumnFormula>
    </tableColumn>
  </tableColumns>
  <tableStyleInfo name="TableStyleMedium2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G47:J51" totalsRowCount="1" headerRowDxfId="59" dataDxfId="58" totalsRowDxfId="57" tableBorderDxfId="56">
  <autoFilter ref="G47:J50" xr:uid="{00000000-0009-0000-0100-00000A000000}"/>
  <tableColumns count="4">
    <tableColumn id="1" xr3:uid="{00000000-0010-0000-0900-000001000000}" name="SAVINGS OR INVESTMENTS" totalsRowLabel="Total" dataDxfId="54" totalsRowDxfId="55"/>
    <tableColumn id="2" xr3:uid="{00000000-0010-0000-0900-000002000000}" name="Projected Cost" totalsRowFunction="sum" dataDxfId="52" totalsRowDxfId="53"/>
    <tableColumn id="3" xr3:uid="{00000000-0010-0000-0900-000003000000}" name="Actual Cost" totalsRowFunction="sum" dataDxfId="50" totalsRowDxfId="51"/>
    <tableColumn id="4" xr3:uid="{00000000-0010-0000-0900-000004000000}" name="Difference" totalsRowFunction="sum" dataDxfId="48" totalsRowDxfId="49">
      <calculatedColumnFormula>Table10[[#This Row],[Projected Cost]]-Table10[[#This Row],[Actual Cost]]</calculatedColumnFormula>
    </tableColumn>
  </tableColumns>
  <tableStyleInfo name="TableStyleMedium2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able7" displayName="Table7" ref="B64:E72" totalsRowCount="1" headerRowDxfId="47" dataDxfId="46" totalsRowDxfId="45" tableBorderDxfId="44">
  <autoFilter ref="B64:E71" xr:uid="{00000000-0009-0000-0100-000007000000}"/>
  <tableColumns count="4">
    <tableColumn id="1" xr3:uid="{00000000-0010-0000-0A00-000001000000}" name="PERSONAL CARE" totalsRowLabel="Total" dataDxfId="42" totalsRowDxfId="43"/>
    <tableColumn id="2" xr3:uid="{00000000-0010-0000-0A00-000002000000}" name="Projected Cost" totalsRowFunction="sum" dataDxfId="40" totalsRowDxfId="41"/>
    <tableColumn id="3" xr3:uid="{00000000-0010-0000-0A00-000003000000}" name="Actual Cost" totalsRowFunction="sum" dataDxfId="38" totalsRowDxfId="39"/>
    <tableColumn id="4" xr3:uid="{00000000-0010-0000-0A00-000004000000}" name="Difference" totalsRowFunction="sum" dataDxfId="36" totalsRowDxfId="37">
      <calculatedColumnFormula>Table7[[#This Row],[Projected Cost]]-Table7[[#This Row],[Actual Cost]]</calculatedColumnFormula>
    </tableColumn>
  </tableColumns>
  <tableStyleInfo name="TableStyleMedium2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G19:J29" totalsRowCount="1" headerRowDxfId="35" dataDxfId="34" totalsRowDxfId="33" tableBorderDxfId="32">
  <autoFilter ref="G19:J28" xr:uid="{00000000-0009-0000-0100-000002000000}"/>
  <tableColumns count="4">
    <tableColumn id="1" xr3:uid="{00000000-0010-0000-0B00-000001000000}" name="ENTERTAINMENT" totalsRowLabel="Total" dataDxfId="30" totalsRowDxfId="31"/>
    <tableColumn id="2" xr3:uid="{00000000-0010-0000-0B00-000002000000}" name="Projected Cost" totalsRowFunction="sum" dataDxfId="28" totalsRowDxfId="29"/>
    <tableColumn id="3" xr3:uid="{00000000-0010-0000-0B00-000003000000}" name="Actual Cost" totalsRowFunction="sum" dataDxfId="26" totalsRowDxfId="27"/>
    <tableColumn id="4" xr3:uid="{00000000-0010-0000-0B00-000004000000}" name="Difference" totalsRowFunction="sum" dataDxfId="24" totalsRowDxfId="25">
      <calculatedColumnFormula>Table2[[#This Row],[Projected Cost]]-Table2[[#This Row],[Actual Cost]]</calculatedColumnFormula>
    </tableColumn>
  </tableColumns>
  <tableStyleInfo name="TableStyleMedium2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E5E999C-9A17-4778-9DEB-DFAFD8F6B294}" name="Table726" displayName="Table726" ref="G75:M85" totalsRowCount="1" headerRowDxfId="23" dataDxfId="22" totalsRowDxfId="21" tableBorderDxfId="20">
  <autoFilter ref="G75:M84" xr:uid="{0E4E944D-B14C-4576-87DD-05E058230301}"/>
  <tableColumns count="7">
    <tableColumn id="1" xr3:uid="{5B9C74FD-9EB6-48B3-B15E-B44AA1EA073B}" name="ASSET ALLOCATION" totalsRowLabel="Total" dataDxfId="18" totalsRowDxfId="19"/>
    <tableColumn id="2" xr3:uid="{2F508BFC-D76E-4CCD-A028-9AD0D4B62664}" name="Projected Cost" totalsRowFunction="sum" dataDxfId="16" totalsRowDxfId="17"/>
    <tableColumn id="3" xr3:uid="{14D208F4-EE39-4013-8A4C-0854EB323BC5}" name="Actual Cost" totalsRowFunction="sum" dataDxfId="14" totalsRowDxfId="15"/>
    <tableColumn id="4" xr3:uid="{502A6147-38CC-49CC-BDB0-AD74D42FBFFE}" name="Difference" totalsRowFunction="sum" dataDxfId="12" totalsRowDxfId="13">
      <calculatedColumnFormula>Table726[[#This Row],[Projected Cost]]-Table726[[#This Row],[Actual Cost]]</calculatedColumnFormula>
    </tableColumn>
    <tableColumn id="5" xr3:uid="{81E80ECD-73B1-49FE-B24C-449418A7C300}" name="percentage allocation" dataDxfId="10" totalsRowDxfId="11"/>
    <tableColumn id="6" xr3:uid="{72F784A9-B65C-4110-9E04-4CE7712E8221}" name="Ray Dalio asset allocation" dataDxfId="8" totalsRowDxfId="9"/>
    <tableColumn id="7" xr3:uid="{EFABEE21-B6CD-4371-B6A6-B1E342A3DB40}" name="Column1" totalsRowFunction="sum" dataDxfId="6" totalsRowDxfId="7" totalsRowCellStyle="Percent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F464E20-2C35-4438-A774-7AEE7B1F2131}" name="Table73724" displayName="Table73724" ref="B28:H39" totalsRowCount="1" headerRowDxfId="460" dataDxfId="459" totalsRowDxfId="458" tableBorderDxfId="457">
  <autoFilter ref="B28:H38" xr:uid="{00000000-0009-0000-0100-000007000000}"/>
  <tableColumns count="7">
    <tableColumn id="1" xr3:uid="{FE868B59-0DD1-4636-8ADD-A5BC6C67DA0D}" name="INSURANCE &amp; HEALTHCARE" totalsRowLabel="Total" dataDxfId="455" totalsRowDxfId="456"/>
    <tableColumn id="2" xr3:uid="{25D5B010-E060-42CC-AAC6-58C178A7B9FB}" name="Projected Cost" totalsRowFunction="sum" dataDxfId="453" totalsRowDxfId="454">
      <calculatedColumnFormula>42+33</calculatedColumnFormula>
    </tableColumn>
    <tableColumn id="3" xr3:uid="{4EEDEFDA-65B5-4EFE-B0E1-2B5DE46956DC}" name="Actual Cost" totalsRowFunction="sum" dataDxfId="451" totalsRowDxfId="452"/>
    <tableColumn id="4" xr3:uid="{9EEF1D76-42B5-4F5D-9D34-229C3B4CB3BB}" name="Difference" totalsRowFunction="sum" dataDxfId="449" totalsRowDxfId="450"/>
    <tableColumn id="5" xr3:uid="{69133AC2-969B-4407-BE64-BB5F2CD9FBDE}" name="Form " totalsRowFunction="sum" dataDxfId="447" totalsRowDxfId="448"/>
    <tableColumn id="6" xr3:uid="{AC028070-27A9-4B6A-A0F7-8805FF13B4A0}" name="Bank" totalsRowFunction="sum" dataDxfId="445" totalsRowDxfId="446">
      <calculatedColumnFormula>IF(Table73724[[#This Row],[Form ]]= "Bank", Table73724[[#This Row],[Projected Cost]],0)</calculatedColumnFormula>
    </tableColumn>
    <tableColumn id="7" xr3:uid="{3CCC5FF0-2134-466D-86FC-15AD4F18C3D5}" name="Cash" totalsRowFunction="sum" dataDxfId="443" totalsRowDxfId="444">
      <calculatedColumnFormula>IF(Table73724[[#This Row],[Form ]]="Cash", Table73724[[#This Row],[Projected Cost]],0)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1F45F4-A037-41DE-ABA1-FEF75EC3AE9F}" name="Table23825" displayName="Table23825" ref="J5:O15" totalsRowCount="1" headerRowDxfId="442" dataDxfId="441" totalsRowDxfId="440" tableBorderDxfId="439">
  <autoFilter ref="J5:O14" xr:uid="{00000000-0009-0000-0100-000002000000}"/>
  <tableColumns count="6">
    <tableColumn id="1" xr3:uid="{01292245-E783-4E29-ADA2-D2C9FA4FB9AB}" name="TRANSPORTATION" totalsRowLabel="Total" dataDxfId="437" totalsRowDxfId="438"/>
    <tableColumn id="2" xr3:uid="{8C76131D-7699-4ED9-BD5B-A63EFC36EEE7}" name="Projected Cost" totalsRowFunction="sum" dataDxfId="435" totalsRowDxfId="436"/>
    <tableColumn id="3" xr3:uid="{EEA87BA4-1624-45F6-9FB6-46CC97C2E0DA}" name="Actual Cost" totalsRowFunction="sum" dataDxfId="433" totalsRowDxfId="434"/>
    <tableColumn id="4" xr3:uid="{BDEBA27B-ED7A-4628-B29D-BE3D2CBDE35E}" name="Form" totalsRowFunction="sum" dataDxfId="431" totalsRowDxfId="432">
      <calculatedColumnFormula>IF(Table12714[[#This Row],[Form ]]= "Bank", Table12714[[#This Row],[Projected Cost]],0)</calculatedColumnFormula>
    </tableColumn>
    <tableColumn id="5" xr3:uid="{5348113C-F879-4FCC-B2A0-EF6927D41B90}" name="Bank" totalsRowFunction="sum" dataDxfId="429" totalsRowDxfId="430">
      <calculatedColumnFormula>IF(Table23825[[#This Row],[Form]]= "Bank", Table23825[[#This Row],[Projected Cost]],0)</calculatedColumnFormula>
    </tableColumn>
    <tableColumn id="6" xr3:uid="{AEF80897-CCC4-4173-91AF-0370109668C8}" name="Cash" totalsRowFunction="sum" dataDxfId="427" totalsRowDxfId="428">
      <calculatedColumnFormula>IF(Table23825[[#This Row],[Form]]="Cash", Table23825[[#This Row],[Projected Cost]],0)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0A8EC7-C2C8-4E19-8998-828018E03C50}" name="Table14" displayName="Table14" ref="B46:H58" totalsRowShown="0" headerRowDxfId="426" dataDxfId="425">
  <autoFilter ref="B46:H58" xr:uid="{394EC08E-3E81-4C28-9A39-C6A905238C68}"/>
  <tableColumns count="7">
    <tableColumn id="1" xr3:uid="{AB283AC7-BBBD-41FA-99BE-AD7FFC987B55}" name="Month" dataDxfId="424"/>
    <tableColumn id="2" xr3:uid="{CCB958C6-323D-4D28-9E80-07F427542991}" name="2020" dataDxfId="423"/>
    <tableColumn id="3" xr3:uid="{E091D117-C65D-4BB0-BAFE-60B654A17E0C}" name="Column2" dataDxfId="422"/>
    <tableColumn id="4" xr3:uid="{F465E022-CBFB-469D-9317-0F60FBBC0B2E}" name="Column1" dataDxfId="421"/>
    <tableColumn id="5" xr3:uid="{E6BCF2AC-E2CE-43B1-A02B-A4777CBC880B}" name="2021" dataDxfId="420"/>
    <tableColumn id="6" xr3:uid="{C0B08098-7D6C-4EAF-95B4-9928269546A1}" name="2022" dataDxfId="419"/>
    <tableColumn id="7" xr3:uid="{9B1DCB5A-9702-4D3C-B012-606E0161F911}" name="2023" dataDxfId="418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0E24C1-D82F-4642-BF53-27DC81D75A2A}" name="Table15" displayName="Table15" ref="B61:H76" totalsRowShown="0" headerRowDxfId="417" dataDxfId="416">
  <autoFilter ref="B61:H76" xr:uid="{4EBA16D4-9B4E-42E0-8836-1AE0D2A46AF5}"/>
  <tableColumns count="7">
    <tableColumn id="1" xr3:uid="{E9DE5DAC-B77A-4A80-8197-8BC4AD63D854}" name="Month" dataDxfId="415"/>
    <tableColumn id="2" xr3:uid="{3BA4166B-4436-48C0-874F-FB7855A55D1F}" name="2024" dataDxfId="414">
      <calculatedColumnFormula>SUM(C48:C61)</calculatedColumnFormula>
    </tableColumn>
    <tableColumn id="3" xr3:uid="{07436629-27A6-47D1-B9EE-8BE04FBE28F5}" name="Column1" dataDxfId="413">
      <calculatedColumnFormula>SUM(D50:D61)</calculatedColumnFormula>
    </tableColumn>
    <tableColumn id="4" xr3:uid="{925FC074-FF68-4A16-A815-FDCD065776F4}" name="Column2" dataDxfId="412">
      <calculatedColumnFormula>SUM(E50:E61)</calculatedColumnFormula>
    </tableColumn>
    <tableColumn id="5" xr3:uid="{B4AD6A67-A223-43DD-B64F-338C7E1AF9CE}" name="2025" dataDxfId="411">
      <calculatedColumnFormula>SUM(F50:F61)</calculatedColumnFormula>
    </tableColumn>
    <tableColumn id="6" xr3:uid="{DE4DABED-6CE7-46AE-82E7-F26EB165E1CD}" name="2026" dataDxfId="410">
      <calculatedColumnFormula>SUM(G50:G61)</calculatedColumnFormula>
    </tableColumn>
    <tableColumn id="7" xr3:uid="{1FD2F710-9F34-4E29-B038-7575F9B70B23}" name="2027" dataDxfId="409">
      <calculatedColumnFormula>SUM(H50:H61)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0E83CD0-F05F-491D-8B5D-CBF1F8664431}" name="Table19" displayName="Table19" ref="J78:M88" headerRowCount="0" totalsRowShown="0" headerRowDxfId="408" dataDxfId="407">
  <tableColumns count="4">
    <tableColumn id="1" xr3:uid="{137B2362-F8F6-4F6F-BF69-8B4EB0BB77EB}" name="Column1" headerRowDxfId="406" dataDxfId="405"/>
    <tableColumn id="2" xr3:uid="{F9262835-51B5-4804-B785-168C8B7FFE2B}" name="Column2" headerRowDxfId="404" dataDxfId="403"/>
    <tableColumn id="3" xr3:uid="{C753D2D7-80D3-4DDD-8DB7-DB52D34194F8}" name="Column3" headerRowDxfId="402" dataDxfId="401"/>
    <tableColumn id="4" xr3:uid="{28D015C4-468B-4D67-95D7-09B4B463925B}" name="Column4" headerRowDxfId="400" dataDxfId="399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399BDF-5D5F-4BBF-AAC8-2F37EB4B47C8}" name="Table1271417" displayName="Table1271417" ref="B5:H16" totalsRowCount="1" headerRowDxfId="398" dataDxfId="397" totalsRowDxfId="396" tableBorderDxfId="395">
  <autoFilter ref="B5:H15" xr:uid="{00000000-0009-0000-0100-000001000000}"/>
  <tableColumns count="7">
    <tableColumn id="1" xr3:uid="{27977BD8-6024-4887-9AD1-97B5A80AD3C6}" name="PERSONAL CARE" totalsRowLabel="Total" dataDxfId="393" totalsRowDxfId="394"/>
    <tableColumn id="2" xr3:uid="{F026D22B-8EF6-4E29-AD2E-6AB17388DC25}" name="Projected Cost" totalsRowFunction="sum" dataDxfId="391" totalsRowDxfId="392"/>
    <tableColumn id="3" xr3:uid="{AEAC1B0C-4378-45C7-8DC1-EAAFBB7139BF}" name="Actual Cost" dataDxfId="389" totalsRowDxfId="390"/>
    <tableColumn id="4" xr3:uid="{5BAD7E4F-23FD-4A8A-87A1-0693A16FD8C3}" name="Difference" dataDxfId="387" totalsRowDxfId="388"/>
    <tableColumn id="5" xr3:uid="{95EC813A-3D4A-465D-8D2E-31E3DA3D1468}" name="Form " dataDxfId="385" totalsRowDxfId="386"/>
    <tableColumn id="6" xr3:uid="{C1DA6AE3-1CF5-4E6B-A642-D767EEBEBB5C}" name="Bank" totalsRowFunction="custom" dataDxfId="383" totalsRowDxfId="384">
      <calculatedColumnFormula>IF(Table1271417[[#This Row],[Form ]]= "Bank", Table1271417[[#This Row],[Projected Cost]],0)</calculatedColumnFormula>
      <totalsRowFormula>SUBTOTAL(109,Table1271417[Bank])/2</totalsRowFormula>
    </tableColumn>
    <tableColumn id="7" xr3:uid="{959E7EF9-A8C6-445B-96D6-6DCC29BE6EA9}" name="Cash" totalsRowFunction="custom" dataDxfId="381" totalsRowDxfId="382">
      <calculatedColumnFormula>IF(Table1271417[[#This Row],[Form ]]="Cash", Table1271417[[#This Row],[Projected Cost]],0)</calculatedColumnFormula>
      <totalsRowFormula>SUBTOTAL(109,Table1271417[Cash])/2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08-25T22:11:20.45" personId="{9B254426-B7C3-4AF7-BC14-3E7787F4F573}" id="{50E46520-52ED-4194-A9BE-CAF3713C138D}">
    <text>should range  between 10 to 15% of income</text>
  </threadedComment>
  <threadedComment ref="J5" dT="2020-08-25T22:10:26.20" personId="{9B254426-B7C3-4AF7-BC14-3E7787F4F573}" id="{5C931AB7-1A99-4AA8-9538-E43AE5DF5C9C}">
    <text>should range between 10 to 15% of income</text>
  </threadedComment>
  <threadedComment ref="J17" dT="2020-08-25T22:09:43.63" personId="{9B254426-B7C3-4AF7-BC14-3E7787F4F573}" id="{D2D7A2E3-A3D2-4A30-96F2-E6271338C2DC}">
    <text>should range between 20 to 35% of income</text>
  </threadedComment>
  <threadedComment ref="B18" dT="2020-08-25T22:11:58.30" personId="{9B254426-B7C3-4AF7-BC14-3E7787F4F573}" id="{2E6936C7-F245-4FC8-AEB8-DA1C8D986716}">
    <text>should range between 5 to 10%</text>
  </threadedComment>
  <threadedComment ref="B28" dT="2020-08-25T22:14:35.81" personId="{9B254426-B7C3-4AF7-BC14-3E7787F4F573}" id="{36354631-211C-4182-9C88-656ED04C4A73}">
    <text>should range between 10 to 25% of income</text>
  </threadedComment>
  <threadedComment ref="J30" dT="2020-11-08T16:27:40.71" personId="{9B254426-B7C3-4AF7-BC14-3E7787F4F573}" id="{A015444C-6C9B-4F09-9D5D-920209E8AE94}">
    <text>Equivalent to 1 month's worth of foundational expenses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08-25T22:56:55.96" personId="{9B254426-B7C3-4AF7-BC14-3E7787F4F573}" id="{0036AFE7-8286-46F1-B9BE-A999819B8CC1}">
    <text>Should range between 5 to 10% of income</text>
  </threadedComment>
  <threadedComment ref="J5" dT="2020-08-25T22:09:16.38" personId="{9B254426-B7C3-4AF7-BC14-3E7787F4F573}" id="{2CF0EDA4-6D78-41FC-90BA-665612554E0A}">
    <text>Should range between 5 to 10% of income</text>
  </threadedComment>
  <threadedComment ref="B18" dT="2020-08-25T22:57:28.52" personId="{9B254426-B7C3-4AF7-BC14-3E7787F4F573}" id="{5F438BD6-5462-48BF-8A62-8FA56AFAE7C8}">
    <text>Should range between 5 to 10% of income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5" dT="2020-08-25T22:09:16.38" personId="{9B254426-B7C3-4AF7-BC14-3E7787F4F573}" id="{578A9075-FD45-492E-9CDA-5F8E63D1DBF8}">
    <text>usually averages 5% of income</text>
  </threadedComment>
  <threadedComment ref="J12" dT="2020-10-05T14:20:34.67" personId="{9B254426-B7C3-4AF7-BC14-3E7787F4F573}" id="{8191AD71-F2C9-4EA6-984D-3157F68CDA04}">
    <text>this is the amount you usually spend on a monthly basis. 
A bench mark could be your entire monthly salary or the amount you have left over after removing savings for the future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microsoft.com/office/2017/10/relationships/threadedComment" Target="../threadedComments/threadedComment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10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microsoft.com/office/2017/10/relationships/threadedComment" Target="../threadedComments/threadedComment3.xml"/><Relationship Id="rId4" Type="http://schemas.openxmlformats.org/officeDocument/2006/relationships/table" Target="../tables/table20.xm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Relationship Id="rId14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E5F-FEC0-4887-A557-7CC8CA4E25AB}">
  <sheetPr>
    <pageSetUpPr autoPageBreaks="0" fitToPage="1"/>
  </sheetPr>
  <dimension ref="A1:U91"/>
  <sheetViews>
    <sheetView showGridLines="0" tabSelected="1" view="pageBreakPreview" topLeftCell="A62" zoomScale="215" zoomScaleNormal="100" zoomScaleSheetLayoutView="100" workbookViewId="0">
      <selection activeCell="K65" sqref="K65"/>
    </sheetView>
  </sheetViews>
  <sheetFormatPr defaultRowHeight="15"/>
  <cols>
    <col min="1" max="1" width="1.7109375" style="123" customWidth="1"/>
    <col min="2" max="2" width="31.5703125" style="123" customWidth="1"/>
    <col min="3" max="3" width="16.5703125" style="123" customWidth="1"/>
    <col min="4" max="4" width="13.42578125" style="123" hidden="1" customWidth="1"/>
    <col min="5" max="5" width="12.5703125" style="123" hidden="1" customWidth="1"/>
    <col min="6" max="8" width="12.5703125" style="123" customWidth="1"/>
    <col min="9" max="9" width="2.85546875" style="123" customWidth="1"/>
    <col min="10" max="10" width="28" style="123" customWidth="1"/>
    <col min="11" max="11" width="15.85546875" style="123" bestFit="1" customWidth="1"/>
    <col min="12" max="12" width="13.42578125" style="123" hidden="1" customWidth="1"/>
    <col min="13" max="13" width="10.7109375" style="123" bestFit="1" customWidth="1"/>
    <col min="14" max="14" width="18.7109375" style="123" bestFit="1" customWidth="1"/>
    <col min="15" max="15" width="12.7109375" style="123" bestFit="1" customWidth="1"/>
    <col min="16" max="16" width="38.28515625" style="123" customWidth="1"/>
    <col min="17" max="16384" width="9.140625" style="123"/>
  </cols>
  <sheetData>
    <row r="1" spans="1:15" ht="8.1" customHeight="1">
      <c r="A1" s="259"/>
      <c r="B1" s="121"/>
      <c r="C1" s="121"/>
      <c r="D1" s="258"/>
      <c r="E1" s="121"/>
      <c r="F1" s="121"/>
      <c r="G1" s="121"/>
      <c r="H1" s="121"/>
      <c r="I1" s="121"/>
      <c r="J1" s="121"/>
      <c r="K1" s="121"/>
      <c r="L1" s="121"/>
      <c r="M1" s="122"/>
    </row>
    <row r="2" spans="1:15" ht="51.95" customHeight="1">
      <c r="A2" s="259"/>
      <c r="B2" s="275" t="s">
        <v>0</v>
      </c>
      <c r="C2" s="275"/>
      <c r="D2" s="275"/>
      <c r="E2" s="275"/>
      <c r="F2" s="275"/>
      <c r="G2" s="124"/>
      <c r="H2" s="124"/>
      <c r="I2" s="124"/>
      <c r="J2" s="124"/>
      <c r="K2" s="124"/>
      <c r="L2" s="124"/>
      <c r="M2" s="124"/>
    </row>
    <row r="3" spans="1:15" ht="8.1" customHeight="1">
      <c r="A3" s="122"/>
      <c r="B3" s="150"/>
      <c r="C3" s="122"/>
      <c r="D3" s="122"/>
      <c r="E3" s="122"/>
      <c r="F3" s="122"/>
      <c r="G3" s="122"/>
      <c r="H3" s="122"/>
      <c r="I3" s="260"/>
      <c r="J3" s="122"/>
      <c r="K3" s="125"/>
      <c r="L3" s="126"/>
      <c r="M3" s="127"/>
    </row>
    <row r="4" spans="1:15" ht="15.95" customHeight="1">
      <c r="A4" s="122"/>
      <c r="B4" s="150"/>
      <c r="C4" s="150"/>
      <c r="D4" s="122"/>
      <c r="E4" s="261"/>
      <c r="F4" s="261"/>
      <c r="G4" s="261"/>
      <c r="H4" s="261"/>
      <c r="I4" s="260"/>
      <c r="J4" s="128"/>
      <c r="K4" s="128"/>
      <c r="L4" s="128"/>
      <c r="M4" s="129"/>
    </row>
    <row r="5" spans="1:15" ht="15.95" customHeight="1">
      <c r="A5" s="122"/>
      <c r="B5" s="131" t="s">
        <v>1</v>
      </c>
      <c r="C5" s="131" t="s">
        <v>2</v>
      </c>
      <c r="D5" s="131" t="s">
        <v>3</v>
      </c>
      <c r="E5" s="132" t="s">
        <v>4</v>
      </c>
      <c r="F5" s="132" t="s">
        <v>5</v>
      </c>
      <c r="G5" s="123" t="s">
        <v>6</v>
      </c>
      <c r="H5" s="123" t="s">
        <v>7</v>
      </c>
      <c r="I5" s="133"/>
      <c r="J5" s="131" t="s">
        <v>8</v>
      </c>
      <c r="K5" s="131" t="s">
        <v>2</v>
      </c>
      <c r="L5" s="131" t="s">
        <v>3</v>
      </c>
      <c r="M5" s="132" t="s">
        <v>9</v>
      </c>
      <c r="N5" s="123" t="s">
        <v>6</v>
      </c>
      <c r="O5" s="123" t="s">
        <v>7</v>
      </c>
    </row>
    <row r="6" spans="1:15" ht="15.75" customHeight="1">
      <c r="A6" s="122"/>
      <c r="B6" s="148" t="s">
        <v>10</v>
      </c>
      <c r="C6" s="145">
        <v>600</v>
      </c>
      <c r="D6" s="145"/>
      <c r="E6" s="146"/>
      <c r="F6" s="147" t="s">
        <v>11</v>
      </c>
      <c r="G6" s="154">
        <f>IF(Table12714[[#This Row],[Form ]]= "Bank", Table12714[[#This Row],[Projected Cost]],0)</f>
        <v>0</v>
      </c>
      <c r="H6" s="154">
        <f>IF(Table12714[[#This Row],[Form ]]="Cash", Table12714[[#This Row],[Projected Cost]],0)</f>
        <v>600</v>
      </c>
      <c r="I6" s="151"/>
      <c r="J6" s="148" t="s">
        <v>12</v>
      </c>
      <c r="K6" s="145">
        <v>240</v>
      </c>
      <c r="L6" s="145">
        <v>10</v>
      </c>
      <c r="M6" s="147" t="s">
        <v>7</v>
      </c>
      <c r="N6" s="154">
        <f>IF(Table23825[[#This Row],[Form]]= "Bank", Table23825[[#This Row],[Projected Cost]],0)</f>
        <v>0</v>
      </c>
      <c r="O6" s="154">
        <f>IF(Table23825[[#This Row],[Form]]="Cash", Table23825[[#This Row],[Projected Cost]],0)</f>
        <v>240</v>
      </c>
    </row>
    <row r="7" spans="1:15" ht="15.75" customHeight="1">
      <c r="A7" s="122"/>
      <c r="B7" s="148" t="s">
        <v>13</v>
      </c>
      <c r="C7" s="145">
        <v>80</v>
      </c>
      <c r="D7" s="145"/>
      <c r="E7" s="146"/>
      <c r="F7" s="147" t="s">
        <v>11</v>
      </c>
      <c r="G7" s="154">
        <f>IF(Table12714[[#This Row],[Form ]]= "Bank", Table12714[[#This Row],[Projected Cost]],0)</f>
        <v>0</v>
      </c>
      <c r="H7" s="154">
        <f>IF(Table12714[[#This Row],[Form ]]="Cash", Table12714[[#This Row],[Projected Cost]],0)</f>
        <v>80</v>
      </c>
      <c r="I7" s="151"/>
      <c r="J7" s="148" t="s">
        <v>14</v>
      </c>
      <c r="K7" s="145">
        <v>150</v>
      </c>
      <c r="L7" s="145"/>
      <c r="M7" s="147" t="s">
        <v>7</v>
      </c>
      <c r="N7" s="154">
        <f>IF(Table23825[[#This Row],[Form]]= "Bank", Table23825[[#This Row],[Projected Cost]],0)</f>
        <v>0</v>
      </c>
      <c r="O7" s="154">
        <f>IF(Table23825[[#This Row],[Form]]="Cash", Table23825[[#This Row],[Projected Cost]],0)</f>
        <v>150</v>
      </c>
    </row>
    <row r="8" spans="1:15" ht="15.75" customHeight="1">
      <c r="A8" s="122"/>
      <c r="B8" s="148" t="s">
        <v>15</v>
      </c>
      <c r="C8" s="145">
        <f>(800+840+50+200)/4</f>
        <v>472.5</v>
      </c>
      <c r="D8" s="145"/>
      <c r="E8" s="146"/>
      <c r="F8" s="147" t="s">
        <v>11</v>
      </c>
      <c r="G8" s="154">
        <f>IF(Table12714[[#This Row],[Form ]]= "Bank", Table12714[[#This Row],[Projected Cost]],0)</f>
        <v>0</v>
      </c>
      <c r="H8" s="154">
        <f>IF(Table12714[[#This Row],[Form ]]="Cash", Table12714[[#This Row],[Projected Cost]],0)</f>
        <v>472.5</v>
      </c>
      <c r="I8" s="151"/>
      <c r="J8" s="148" t="s">
        <v>16</v>
      </c>
      <c r="K8" s="145">
        <v>0</v>
      </c>
      <c r="L8" s="145">
        <v>20</v>
      </c>
      <c r="M8" s="147" t="s">
        <v>7</v>
      </c>
      <c r="N8" s="154">
        <f>IF(Table23825[[#This Row],[Form]]= "Bank", Table23825[[#This Row],[Projected Cost]],0)</f>
        <v>0</v>
      </c>
      <c r="O8" s="154">
        <f>IF(Table23825[[#This Row],[Form]]="Cash", Table23825[[#This Row],[Projected Cost]],0)</f>
        <v>0</v>
      </c>
    </row>
    <row r="9" spans="1:15" ht="15.75" customHeight="1">
      <c r="A9" s="122"/>
      <c r="B9" s="148" t="s">
        <v>17</v>
      </c>
      <c r="C9" s="278">
        <v>100</v>
      </c>
      <c r="D9" s="145"/>
      <c r="E9" s="146"/>
      <c r="F9" s="147" t="s">
        <v>11</v>
      </c>
      <c r="G9" s="154">
        <f>IF(Table12714[[#This Row],[Form ]]= "Bank", Table12714[[#This Row],[Projected Cost]],0)</f>
        <v>0</v>
      </c>
      <c r="H9" s="154">
        <f>IF(Table12714[[#This Row],[Form ]]="Cash", Table12714[[#This Row],[Projected Cost]],0)</f>
        <v>100</v>
      </c>
      <c r="I9" s="151"/>
      <c r="J9" s="148" t="s">
        <v>18</v>
      </c>
      <c r="K9" s="145">
        <v>5</v>
      </c>
      <c r="L9" s="145">
        <v>0</v>
      </c>
      <c r="M9" s="147" t="s">
        <v>7</v>
      </c>
      <c r="N9" s="154">
        <f>IF(Table23825[[#This Row],[Form]]= "Bank", Table23825[[#This Row],[Projected Cost]],0)</f>
        <v>0</v>
      </c>
      <c r="O9" s="154">
        <f>IF(Table23825[[#This Row],[Form]]="Cash", Table23825[[#This Row],[Projected Cost]],0)</f>
        <v>5</v>
      </c>
    </row>
    <row r="10" spans="1:15" ht="15.75" customHeight="1">
      <c r="A10" s="122"/>
      <c r="B10" s="148" t="s">
        <v>19</v>
      </c>
      <c r="C10" s="145">
        <v>50</v>
      </c>
      <c r="D10" s="145"/>
      <c r="E10" s="146"/>
      <c r="F10" s="147" t="s">
        <v>11</v>
      </c>
      <c r="G10" s="154">
        <f>IF(Table12714[[#This Row],[Form ]]= "Bank", Table12714[[#This Row],[Projected Cost]],0)</f>
        <v>0</v>
      </c>
      <c r="H10" s="154">
        <f>IF(Table12714[[#This Row],[Form ]]="Cash", Table12714[[#This Row],[Projected Cost]],0)</f>
        <v>50</v>
      </c>
      <c r="I10" s="151"/>
      <c r="J10" s="148" t="s">
        <v>20</v>
      </c>
      <c r="K10" s="145">
        <v>0</v>
      </c>
      <c r="L10" s="145"/>
      <c r="M10" s="147" t="s">
        <v>7</v>
      </c>
      <c r="N10" s="154">
        <f>IF(Table23825[[#This Row],[Form]]= "Bank", Table23825[[#This Row],[Projected Cost]],0)</f>
        <v>0</v>
      </c>
      <c r="O10" s="154">
        <f>IF(Table23825[[#This Row],[Form]]="Cash", Table23825[[#This Row],[Projected Cost]],0)</f>
        <v>0</v>
      </c>
    </row>
    <row r="11" spans="1:15" ht="15.75" customHeight="1">
      <c r="A11" s="122"/>
      <c r="B11" s="190"/>
      <c r="C11" s="278"/>
      <c r="D11" s="145"/>
      <c r="E11" s="146"/>
      <c r="F11" s="147" t="s">
        <v>11</v>
      </c>
      <c r="G11" s="154">
        <f>IF(Table12714[[#This Row],[Form ]]= "Bank", Table12714[[#This Row],[Projected Cost]],0)</f>
        <v>0</v>
      </c>
      <c r="H11" s="154">
        <f>IF(Table12714[[#This Row],[Form ]]="Cash", Table12714[[#This Row],[Projected Cost]],0)</f>
        <v>0</v>
      </c>
      <c r="I11" s="151"/>
      <c r="J11" s="148" t="s">
        <v>21</v>
      </c>
      <c r="K11" s="145">
        <v>0</v>
      </c>
      <c r="L11" s="145">
        <v>10</v>
      </c>
      <c r="M11" s="147" t="s">
        <v>7</v>
      </c>
      <c r="N11" s="154">
        <f>IF(Table23825[[#This Row],[Form]]= "Bank", Table23825[[#This Row],[Projected Cost]],0)</f>
        <v>0</v>
      </c>
      <c r="O11" s="154">
        <f>IF(Table23825[[#This Row],[Form]]="Cash", Table23825[[#This Row],[Projected Cost]],0)</f>
        <v>0</v>
      </c>
    </row>
    <row r="12" spans="1:15" ht="15.75" customHeight="1">
      <c r="A12" s="122"/>
      <c r="B12" s="148"/>
      <c r="C12" s="145"/>
      <c r="D12" s="145"/>
      <c r="E12" s="146"/>
      <c r="F12" s="147" t="s">
        <v>11</v>
      </c>
      <c r="G12" s="154">
        <f>IF(Table12714[[#This Row],[Form ]]= "Bank", Table12714[[#This Row],[Projected Cost]],0)</f>
        <v>0</v>
      </c>
      <c r="H12" s="154">
        <f>IF(Table12714[[#This Row],[Form ]]="Cash", Table12714[[#This Row],[Projected Cost]],0)</f>
        <v>0</v>
      </c>
      <c r="I12" s="151"/>
      <c r="J12" s="190" t="s">
        <v>22</v>
      </c>
      <c r="K12" s="145">
        <v>0</v>
      </c>
      <c r="L12" s="145">
        <v>40</v>
      </c>
      <c r="M12" s="147" t="s">
        <v>6</v>
      </c>
      <c r="N12" s="154">
        <f>IF(Table23825[[#This Row],[Form]]= "Bank", Table23825[[#This Row],[Projected Cost]],0)</f>
        <v>0</v>
      </c>
      <c r="O12" s="154">
        <f>IF(Table23825[[#This Row],[Form]]="Cash", Table23825[[#This Row],[Projected Cost]],0)</f>
        <v>0</v>
      </c>
    </row>
    <row r="13" spans="1:15" ht="15.75" customHeight="1">
      <c r="A13" s="122"/>
      <c r="B13" s="190"/>
      <c r="C13" s="145"/>
      <c r="D13" s="145"/>
      <c r="E13" s="146"/>
      <c r="F13" s="147" t="s">
        <v>11</v>
      </c>
      <c r="G13" s="154">
        <f>IF(Table12714[[#This Row],[Form ]]= "Bank", Table12714[[#This Row],[Projected Cost]],0)</f>
        <v>0</v>
      </c>
      <c r="H13" s="154">
        <f>IF(Table12714[[#This Row],[Form ]]="Cash", Table12714[[#This Row],[Projected Cost]],0)</f>
        <v>0</v>
      </c>
      <c r="I13" s="151"/>
      <c r="J13" s="190"/>
      <c r="K13" s="145"/>
      <c r="L13" s="145">
        <v>10</v>
      </c>
      <c r="M13" s="147" t="s">
        <v>7</v>
      </c>
      <c r="N13" s="154">
        <f>IF(Table23825[[#This Row],[Form]]= "Bank", Table23825[[#This Row],[Projected Cost]],0)</f>
        <v>0</v>
      </c>
      <c r="O13" s="154">
        <f>IF(Table23825[[#This Row],[Form]]="Cash", Table23825[[#This Row],[Projected Cost]],0)</f>
        <v>0</v>
      </c>
    </row>
    <row r="14" spans="1:15" ht="15.75" customHeight="1">
      <c r="A14" s="122"/>
      <c r="B14" s="148"/>
      <c r="C14" s="145"/>
      <c r="D14" s="145"/>
      <c r="E14" s="146"/>
      <c r="F14" s="147" t="s">
        <v>11</v>
      </c>
      <c r="G14" s="154">
        <f>IF(Table12714[[#This Row],[Form ]]= "Bank", Table12714[[#This Row],[Projected Cost]],0)</f>
        <v>0</v>
      </c>
      <c r="H14" s="154">
        <f>IF(Table12714[[#This Row],[Form ]]="Cash", Table12714[[#This Row],[Projected Cost]],0)</f>
        <v>0</v>
      </c>
      <c r="I14" s="151"/>
      <c r="J14" s="190"/>
      <c r="K14" s="145"/>
      <c r="L14" s="145"/>
      <c r="M14" s="147" t="s">
        <v>7</v>
      </c>
      <c r="N14" s="154">
        <f>IF(Table23825[[#This Row],[Form]]= "Bank", Table23825[[#This Row],[Projected Cost]],0)</f>
        <v>0</v>
      </c>
      <c r="O14" s="154">
        <f>IF(Table23825[[#This Row],[Form]]="Cash", Table23825[[#This Row],[Projected Cost]],0)</f>
        <v>0</v>
      </c>
    </row>
    <row r="15" spans="1:15" ht="15.75" customHeight="1">
      <c r="A15" s="122"/>
      <c r="B15" s="148"/>
      <c r="C15" s="145"/>
      <c r="D15" s="145"/>
      <c r="E15" s="146"/>
      <c r="F15" s="147" t="s">
        <v>11</v>
      </c>
      <c r="G15" s="154">
        <f>IF(Table12714[[#This Row],[Form ]]= "Bank", Table12714[[#This Row],[Projected Cost]],0)</f>
        <v>0</v>
      </c>
      <c r="H15" s="154">
        <f>IF(Table12714[[#This Row],[Form ]]="Cash", Table12714[[#This Row],[Projected Cost]],0)</f>
        <v>0</v>
      </c>
      <c r="I15" s="151"/>
      <c r="J15" s="130" t="s">
        <v>23</v>
      </c>
      <c r="K15" s="135">
        <f>SUBTOTAL(109,Table23825[Projected Cost])</f>
        <v>395</v>
      </c>
      <c r="L15" s="135">
        <f>SUBTOTAL(109,Table23825[Actual Cost])</f>
        <v>90</v>
      </c>
      <c r="M15" s="135">
        <f>SUBTOTAL(109,Table23825[Form])</f>
        <v>0</v>
      </c>
      <c r="N15" s="135">
        <f>SUBTOTAL(109,Table23825[Bank])</f>
        <v>0</v>
      </c>
      <c r="O15" s="135">
        <f>SUBTOTAL(109,Table23825[Cash])</f>
        <v>395</v>
      </c>
    </row>
    <row r="16" spans="1:15" ht="15.75" customHeight="1">
      <c r="A16" s="122"/>
      <c r="B16" s="130" t="s">
        <v>23</v>
      </c>
      <c r="C16" s="134">
        <f>SUBTOTAL(109,Table12714[Projected Cost])</f>
        <v>1302.5</v>
      </c>
      <c r="D16" s="134"/>
      <c r="E16" s="136"/>
      <c r="F16" s="137"/>
      <c r="G16" s="236">
        <f>SUBTOTAL(109,Table12714[Bank])</f>
        <v>0</v>
      </c>
      <c r="H16" s="236">
        <f>SUBTOTAL(109,Table12714[Cash])</f>
        <v>1302.5</v>
      </c>
      <c r="I16" s="151"/>
      <c r="J16" s="315"/>
      <c r="K16" s="315"/>
      <c r="L16" s="315"/>
      <c r="M16" s="315"/>
    </row>
    <row r="17" spans="1:15" ht="15.75" customHeight="1">
      <c r="A17" s="122"/>
      <c r="B17" s="151"/>
      <c r="C17" s="151"/>
      <c r="D17" s="151"/>
      <c r="E17" s="151"/>
      <c r="F17" s="151"/>
      <c r="G17" s="151"/>
      <c r="H17" s="151"/>
      <c r="I17" s="151"/>
      <c r="J17" s="149" t="s">
        <v>24</v>
      </c>
      <c r="K17" s="131" t="s">
        <v>2</v>
      </c>
      <c r="L17" s="131" t="s">
        <v>3</v>
      </c>
      <c r="M17" s="132" t="s">
        <v>9</v>
      </c>
      <c r="N17" s="123" t="s">
        <v>6</v>
      </c>
      <c r="O17" s="123" t="s">
        <v>7</v>
      </c>
    </row>
    <row r="18" spans="1:15" ht="15.75" customHeight="1">
      <c r="A18" s="122"/>
      <c r="B18" s="149" t="s">
        <v>25</v>
      </c>
      <c r="C18" s="152" t="s">
        <v>2</v>
      </c>
      <c r="D18" s="152" t="s">
        <v>3</v>
      </c>
      <c r="E18" s="153" t="s">
        <v>4</v>
      </c>
      <c r="F18" s="152" t="s">
        <v>5</v>
      </c>
      <c r="G18" s="131" t="s">
        <v>6</v>
      </c>
      <c r="H18" s="131" t="s">
        <v>7</v>
      </c>
      <c r="I18" s="151"/>
      <c r="J18" s="148" t="s">
        <v>26</v>
      </c>
      <c r="K18" s="145">
        <v>300</v>
      </c>
      <c r="L18" s="145">
        <v>60</v>
      </c>
      <c r="M18" s="147" t="s">
        <v>7</v>
      </c>
      <c r="N18" s="154">
        <f>IF(Table53219[[#This Row],[Form]]= "Bank", Table53219[[#This Row],[Projected Cost]],0)</f>
        <v>0</v>
      </c>
      <c r="O18" s="154">
        <f>IF(Table53219[[#This Row],[Form]]="Cash", Table53219[[#This Row],[Projected Cost]],0)</f>
        <v>300</v>
      </c>
    </row>
    <row r="19" spans="1:15" ht="15.75" customHeight="1">
      <c r="A19" s="122"/>
      <c r="B19" s="148" t="s">
        <v>27</v>
      </c>
      <c r="C19" s="145">
        <v>12</v>
      </c>
      <c r="D19" s="145">
        <v>0</v>
      </c>
      <c r="E19" s="146">
        <f>Table33421[[#This Row],[Projected Cost]]-Table33421[[#This Row],[Actual Cost]]</f>
        <v>12</v>
      </c>
      <c r="F19" s="146" t="s">
        <v>7</v>
      </c>
      <c r="G19" s="154">
        <f>IF(Table33421[[#This Row],[Form ]]= "Bank", Table33421[[#This Row],[Projected Cost]],0)</f>
        <v>0</v>
      </c>
      <c r="H19" s="154">
        <f>IF(Table33421[[#This Row],[Form ]]="Cash", Table33421[[#This Row],[Projected Cost]],0)</f>
        <v>12</v>
      </c>
      <c r="I19" s="151"/>
      <c r="J19" s="190" t="s">
        <v>28</v>
      </c>
      <c r="K19" s="145"/>
      <c r="L19" s="145">
        <v>20</v>
      </c>
      <c r="M19" s="147" t="s">
        <v>7</v>
      </c>
      <c r="N19" s="155">
        <f>IF(Table53219[[#This Row],[Form]]= "Bank", Table53219[[#This Row],[Projected Cost]],0)</f>
        <v>0</v>
      </c>
      <c r="O19" s="155">
        <f>IF(Table53219[[#This Row],[Form]]="Cash", Table53219[[#This Row],[Projected Cost]],0)</f>
        <v>0</v>
      </c>
    </row>
    <row r="20" spans="1:15" ht="15.75" customHeight="1">
      <c r="A20" s="122"/>
      <c r="B20" s="148" t="s">
        <v>29</v>
      </c>
      <c r="C20" s="145">
        <v>80</v>
      </c>
      <c r="D20" s="145">
        <v>30</v>
      </c>
      <c r="E20" s="146">
        <f>Table33421[[#This Row],[Projected Cost]]-Table33421[[#This Row],[Actual Cost]]</f>
        <v>50</v>
      </c>
      <c r="F20" s="146" t="s">
        <v>7</v>
      </c>
      <c r="G20" s="154">
        <f>IF(Table33421[[#This Row],[Form ]]= "Bank", Table33421[[#This Row],[Projected Cost]],0)</f>
        <v>0</v>
      </c>
      <c r="H20" s="154">
        <f>IF(Table33421[[#This Row],[Form ]]="Cash", Table33421[[#This Row],[Projected Cost]],0)</f>
        <v>80</v>
      </c>
      <c r="I20" s="151"/>
      <c r="J20" s="148" t="s">
        <v>30</v>
      </c>
      <c r="K20" s="145">
        <v>100</v>
      </c>
      <c r="L20" s="145"/>
      <c r="M20" s="147" t="s">
        <v>7</v>
      </c>
      <c r="N20" s="155">
        <f>IF(Table53219[[#This Row],[Form]]= "Bank", Table53219[[#This Row],[Projected Cost]],0)</f>
        <v>0</v>
      </c>
      <c r="O20" s="155">
        <f>IF(Table53219[[#This Row],[Form]]="Cash", Table53219[[#This Row],[Projected Cost]],0)</f>
        <v>100</v>
      </c>
    </row>
    <row r="21" spans="1:15" ht="15.75" customHeight="1">
      <c r="A21" s="122"/>
      <c r="B21" s="148" t="s">
        <v>31</v>
      </c>
      <c r="C21" s="145">
        <v>50</v>
      </c>
      <c r="D21" s="145"/>
      <c r="E21" s="146">
        <f>Table33421[[#This Row],[Projected Cost]]-Table33421[[#This Row],[Actual Cost]]</f>
        <v>50</v>
      </c>
      <c r="F21" s="146" t="s">
        <v>7</v>
      </c>
      <c r="G21" s="154">
        <f>IF(Table33421[[#This Row],[Form ]]= "Bank", Table33421[[#This Row],[Projected Cost]],0)</f>
        <v>0</v>
      </c>
      <c r="H21" s="154">
        <f>IF(Table33421[[#This Row],[Form ]]="Cash", Table33421[[#This Row],[Projected Cost]],0)</f>
        <v>50</v>
      </c>
      <c r="I21" s="151"/>
      <c r="J21" s="130" t="s">
        <v>23</v>
      </c>
      <c r="K21" s="134">
        <f>SUBTOTAL(109,Table53219[Projected Cost])</f>
        <v>400</v>
      </c>
      <c r="L21" s="134">
        <f>SUBTOTAL(109,Table53219[Actual Cost])</f>
        <v>80</v>
      </c>
      <c r="M21" s="134">
        <f>SUBTOTAL(109,Table53219[Form])</f>
        <v>0</v>
      </c>
      <c r="N21" s="134">
        <f>SUBTOTAL(109,Table53219[Bank])</f>
        <v>0</v>
      </c>
      <c r="O21" s="134">
        <f>SUBTOTAL(109,Table53219[Cash])</f>
        <v>400</v>
      </c>
    </row>
    <row r="22" spans="1:15" ht="15.75" customHeight="1">
      <c r="A22" s="122"/>
      <c r="B22" s="148" t="s">
        <v>32</v>
      </c>
      <c r="C22" s="145">
        <v>150</v>
      </c>
      <c r="D22" s="145">
        <v>30</v>
      </c>
      <c r="E22" s="146">
        <f>Table33421[[#This Row],[Projected Cost]]-Table33421[[#This Row],[Actual Cost]]</f>
        <v>120</v>
      </c>
      <c r="F22" s="146" t="s">
        <v>7</v>
      </c>
      <c r="G22" s="154">
        <f>IF(Table33421[[#This Row],[Form ]]= "Bank", Table33421[[#This Row],[Projected Cost]],0)</f>
        <v>0</v>
      </c>
      <c r="H22" s="154">
        <f>IF(Table33421[[#This Row],[Form ]]="Cash", Table33421[[#This Row],[Projected Cost]],0)</f>
        <v>150</v>
      </c>
      <c r="I22" s="151"/>
      <c r="J22" s="226"/>
      <c r="K22" s="225"/>
      <c r="L22" s="225"/>
      <c r="M22" s="220"/>
      <c r="N22" s="219"/>
      <c r="O22" s="219"/>
    </row>
    <row r="23" spans="1:15" ht="15.75" customHeight="1">
      <c r="A23" s="122"/>
      <c r="B23" s="148" t="s">
        <v>33</v>
      </c>
      <c r="C23" s="145">
        <v>140</v>
      </c>
      <c r="D23" s="145">
        <v>25</v>
      </c>
      <c r="E23" s="146">
        <f>Table33421[[#This Row],[Projected Cost]]-Table33421[[#This Row],[Actual Cost]]</f>
        <v>115</v>
      </c>
      <c r="F23" s="146" t="s">
        <v>7</v>
      </c>
      <c r="G23" s="154">
        <f>IF(Table33421[[#This Row],[Form ]]= "Bank", Table33421[[#This Row],[Projected Cost]],0)</f>
        <v>0</v>
      </c>
      <c r="H23" s="154">
        <f>IF(Table33421[[#This Row],[Form ]]="Cash", Table33421[[#This Row],[Projected Cost]],0)</f>
        <v>140</v>
      </c>
      <c r="I23" s="151"/>
      <c r="J23" s="221"/>
      <c r="K23" s="219"/>
      <c r="L23" s="219"/>
      <c r="M23" s="219"/>
      <c r="N23" s="219"/>
      <c r="O23" s="219"/>
    </row>
    <row r="24" spans="1:15" ht="15.75" customHeight="1">
      <c r="A24" s="122"/>
      <c r="B24" s="190" t="s">
        <v>34</v>
      </c>
      <c r="C24" s="145">
        <f>40+30</f>
        <v>70</v>
      </c>
      <c r="D24" s="145">
        <v>30</v>
      </c>
      <c r="E24" s="146">
        <f>Table33421[[#This Row],[Projected Cost]]-Table33421[[#This Row],[Actual Cost]]</f>
        <v>40</v>
      </c>
      <c r="F24" s="146" t="s">
        <v>7</v>
      </c>
      <c r="G24" s="154">
        <f>IF(Table33421[[#This Row],[Form ]]= "Bank", Table33421[[#This Row],[Projected Cost]],0)</f>
        <v>0</v>
      </c>
      <c r="H24" s="154">
        <f>IF(Table33421[[#This Row],[Form ]]="Cash", Table33421[[#This Row],[Projected Cost]],0)</f>
        <v>70</v>
      </c>
      <c r="I24" s="151"/>
      <c r="J24" s="222"/>
      <c r="K24" s="223"/>
      <c r="L24" s="223"/>
      <c r="M24" s="224"/>
      <c r="N24" s="220"/>
      <c r="O24" s="220"/>
    </row>
    <row r="25" spans="1:15" ht="15.75" customHeight="1">
      <c r="A25" s="122"/>
      <c r="B25" s="148"/>
      <c r="C25" s="145"/>
      <c r="D25" s="145">
        <v>20</v>
      </c>
      <c r="E25" s="146">
        <f>Table33421[[#This Row],[Projected Cost]]-Table33421[[#This Row],[Actual Cost]]</f>
        <v>-20</v>
      </c>
      <c r="F25" s="146" t="s">
        <v>7</v>
      </c>
      <c r="G25" s="154">
        <f>IF(Table33421[[#This Row],[Form ]]= "Bank", Table33421[[#This Row],[Projected Cost]],0)</f>
        <v>0</v>
      </c>
      <c r="H25" s="154">
        <f>IF(Table33421[[#This Row],[Form ]]="Cash", Table33421[[#This Row],[Projected Cost]],0)</f>
        <v>0</v>
      </c>
      <c r="I25" s="151"/>
      <c r="J25" s="222"/>
      <c r="K25" s="223">
        <f>3500/12</f>
        <v>291.66666666666669</v>
      </c>
      <c r="L25" s="223"/>
      <c r="M25" s="224"/>
      <c r="N25" s="220"/>
      <c r="O25" s="220"/>
    </row>
    <row r="26" spans="1:15" ht="15.75" customHeight="1">
      <c r="A26" s="122"/>
      <c r="B26" s="130" t="s">
        <v>23</v>
      </c>
      <c r="C26" s="134">
        <f>SUBTOTAL(109,Table33421[Projected Cost])</f>
        <v>502</v>
      </c>
      <c r="D26" s="134">
        <f>SUBTOTAL(109,Table33421[Actual Cost])</f>
        <v>135</v>
      </c>
      <c r="E26" s="134">
        <f>SUBTOTAL(109,Table33421[Difference])</f>
        <v>367</v>
      </c>
      <c r="F26" s="134">
        <f>SUBTOTAL(109,Table33421[[Form ]])</f>
        <v>0</v>
      </c>
      <c r="G26" s="134">
        <f>SUBTOTAL(109,Table33421[Bank])</f>
        <v>0</v>
      </c>
      <c r="H26" s="134">
        <f>SUBTOTAL(109,Table33421[Cash])</f>
        <v>502</v>
      </c>
      <c r="I26" s="151"/>
      <c r="J26" s="222"/>
      <c r="K26" s="223"/>
      <c r="L26" s="223"/>
      <c r="M26" s="224"/>
      <c r="N26" s="220"/>
      <c r="O26" s="220"/>
    </row>
    <row r="27" spans="1:15" ht="15.75" customHeight="1">
      <c r="A27" s="122"/>
      <c r="B27" s="151"/>
      <c r="C27" s="151"/>
      <c r="D27" s="151"/>
      <c r="E27" s="151"/>
      <c r="F27" s="151"/>
      <c r="G27" s="151"/>
      <c r="H27" s="151"/>
      <c r="I27" s="151"/>
      <c r="J27" s="219"/>
      <c r="K27" s="225"/>
      <c r="L27" s="225"/>
      <c r="M27" s="225"/>
      <c r="N27" s="225"/>
      <c r="O27" s="225"/>
    </row>
    <row r="28" spans="1:15" ht="15.75" customHeight="1">
      <c r="A28" s="122"/>
      <c r="B28" s="149" t="s">
        <v>35</v>
      </c>
      <c r="C28" s="131" t="s">
        <v>2</v>
      </c>
      <c r="D28" s="131" t="s">
        <v>3</v>
      </c>
      <c r="E28" s="132" t="s">
        <v>4</v>
      </c>
      <c r="F28" s="131" t="s">
        <v>5</v>
      </c>
      <c r="G28" s="131" t="s">
        <v>6</v>
      </c>
      <c r="H28" s="131" t="s">
        <v>7</v>
      </c>
      <c r="I28" s="151"/>
    </row>
    <row r="29" spans="1:15" ht="15.75" customHeight="1">
      <c r="A29" s="122"/>
      <c r="B29" s="148" t="s">
        <v>36</v>
      </c>
      <c r="C29" s="145">
        <v>540</v>
      </c>
      <c r="D29" s="145">
        <v>30</v>
      </c>
      <c r="E29" s="146">
        <f>Table73724[[#This Row],[Projected Cost]]-Table73724[[#This Row],[Actual Cost]]</f>
        <v>510</v>
      </c>
      <c r="F29" s="147" t="s">
        <v>7</v>
      </c>
      <c r="G29" s="154">
        <f>IF(Table73724[[#This Row],[Form ]]= "Bank", Table73724[[#This Row],[Projected Cost]],0)</f>
        <v>0</v>
      </c>
      <c r="H29" s="154">
        <f>IF(Table73724[[#This Row],[Form ]]="Cash", Table73724[[#This Row],[Projected Cost]],0)</f>
        <v>540</v>
      </c>
      <c r="I29" s="151"/>
      <c r="J29" s="157" t="s">
        <v>37</v>
      </c>
      <c r="K29" s="157"/>
      <c r="L29" s="158"/>
      <c r="M29" s="158"/>
    </row>
    <row r="30" spans="1:15" ht="15.75" customHeight="1">
      <c r="A30" s="122"/>
      <c r="B30" s="148" t="s">
        <v>38</v>
      </c>
      <c r="C30" s="145">
        <f>4%*(15000)/12</f>
        <v>50</v>
      </c>
      <c r="D30" s="145">
        <v>6</v>
      </c>
      <c r="E30" s="146">
        <f>Table73724[[#This Row],[Projected Cost]]-Table73724[[#This Row],[Actual Cost]]</f>
        <v>44</v>
      </c>
      <c r="F30" s="147" t="s">
        <v>7</v>
      </c>
      <c r="G30" s="154">
        <f>IF(Table73724[[#This Row],[Form ]]= "Bank", Table73724[[#This Row],[Projected Cost]],0)</f>
        <v>0</v>
      </c>
      <c r="H30" s="154">
        <f>IF(Table73724[[#This Row],[Form ]]="Cash", Table73724[[#This Row],[Projected Cost]],0)</f>
        <v>50</v>
      </c>
      <c r="I30" s="151"/>
      <c r="J30" s="302" t="s">
        <v>39</v>
      </c>
      <c r="K30" s="303"/>
      <c r="L30" s="308"/>
      <c r="M30" s="316">
        <f>Table73724[[#Totals],[Projected Cost]]+Table33421[[#Totals],[Projected Cost]]+Table53219[[#Totals],[Projected Cost]]+Table23825[[#Totals],[Projected Cost]]+Table12714[[#Totals],[Projected Cost]]</f>
        <v>3792.5</v>
      </c>
    </row>
    <row r="31" spans="1:15" ht="15.75" customHeight="1">
      <c r="A31" s="122"/>
      <c r="B31" s="148" t="s">
        <v>40</v>
      </c>
      <c r="C31" s="145">
        <v>10</v>
      </c>
      <c r="D31" s="276"/>
      <c r="E31" s="277"/>
      <c r="F31" s="147" t="s">
        <v>7</v>
      </c>
      <c r="G31" s="154">
        <f>IF(Table73724[[#This Row],[Form ]]= "Bank", Table73724[[#This Row],[Projected Cost]],0)</f>
        <v>0</v>
      </c>
      <c r="H31" s="154">
        <f>IF(Table73724[[#This Row],[Form ]]="Cash", Table73724[[#This Row],[Projected Cost]],0)</f>
        <v>10</v>
      </c>
      <c r="I31" s="151"/>
      <c r="J31" s="304"/>
      <c r="K31" s="305"/>
      <c r="L31" s="309"/>
      <c r="M31" s="311"/>
    </row>
    <row r="32" spans="1:15" ht="15.75" customHeight="1">
      <c r="A32" s="122"/>
      <c r="B32" s="148" t="s">
        <v>41</v>
      </c>
      <c r="C32" s="145">
        <v>200</v>
      </c>
      <c r="D32" s="145">
        <v>20</v>
      </c>
      <c r="E32" s="146">
        <f>Table73724[[#This Row],[Projected Cost]]-Table73724[[#This Row],[Actual Cost]]</f>
        <v>180</v>
      </c>
      <c r="F32" s="147" t="s">
        <v>7</v>
      </c>
      <c r="G32" s="154">
        <f>IF(Table73724[[#This Row],[Form ]]= "Bank", Table73724[[#This Row],[Projected Cost]],0)</f>
        <v>0</v>
      </c>
      <c r="H32" s="154">
        <f>IF(Table73724[[#This Row],[Form ]]="Cash", Table73724[[#This Row],[Projected Cost]],0)</f>
        <v>200</v>
      </c>
      <c r="I32" s="151"/>
      <c r="J32" s="302" t="s">
        <v>42</v>
      </c>
      <c r="K32" s="303"/>
      <c r="L32" s="308"/>
      <c r="M32" s="306">
        <v>6</v>
      </c>
    </row>
    <row r="33" spans="1:15" ht="15.75" customHeight="1">
      <c r="A33" s="122"/>
      <c r="B33" s="148" t="s">
        <v>43</v>
      </c>
      <c r="C33" s="145">
        <v>0</v>
      </c>
      <c r="D33" s="145">
        <v>5</v>
      </c>
      <c r="E33" s="146">
        <f>Table73724[[#This Row],[Projected Cost]]-Table73724[[#This Row],[Actual Cost]]</f>
        <v>-5</v>
      </c>
      <c r="F33" s="147" t="s">
        <v>7</v>
      </c>
      <c r="G33" s="154">
        <f>IF(Table73724[[#This Row],[Form ]]= "Bank", Table73724[[#This Row],[Projected Cost]],0)</f>
        <v>0</v>
      </c>
      <c r="H33" s="154">
        <f>IF(Table73724[[#This Row],[Form ]]="Cash", Table73724[[#This Row],[Projected Cost]],0)</f>
        <v>0</v>
      </c>
      <c r="I33" s="151"/>
      <c r="J33" s="304"/>
      <c r="K33" s="305"/>
      <c r="L33" s="309"/>
      <c r="M33" s="307"/>
      <c r="N33" s="191"/>
    </row>
    <row r="34" spans="1:15" ht="15.75" customHeight="1">
      <c r="A34" s="122"/>
      <c r="B34" s="148" t="s">
        <v>44</v>
      </c>
      <c r="C34" s="145"/>
      <c r="D34" s="276"/>
      <c r="E34" s="277"/>
      <c r="F34" s="147"/>
      <c r="G34" s="154">
        <f>IF(Table73724[[#This Row],[Form ]]= "Bank", Table73724[[#This Row],[Projected Cost]],0)</f>
        <v>0</v>
      </c>
      <c r="H34" s="154">
        <f>IF(Table73724[[#This Row],[Form ]]="Cash", Table73724[[#This Row],[Projected Cost]],0)</f>
        <v>0</v>
      </c>
      <c r="I34" s="151"/>
      <c r="J34" s="302" t="s">
        <v>45</v>
      </c>
      <c r="K34" s="303"/>
      <c r="L34" s="308"/>
      <c r="M34" s="316">
        <f>M30*M32</f>
        <v>22755</v>
      </c>
    </row>
    <row r="35" spans="1:15" ht="15.75" customHeight="1">
      <c r="A35" s="122"/>
      <c r="B35" s="148" t="s">
        <v>46</v>
      </c>
      <c r="C35" s="145"/>
      <c r="D35" s="276"/>
      <c r="E35" s="277"/>
      <c r="F35" s="147"/>
      <c r="G35" s="154">
        <f>IF(Table73724[[#This Row],[Form ]]= "Bank", Table73724[[#This Row],[Projected Cost]],0)</f>
        <v>0</v>
      </c>
      <c r="H35" s="154">
        <f>IF(Table73724[[#This Row],[Form ]]="Cash", Table73724[[#This Row],[Projected Cost]],0)</f>
        <v>0</v>
      </c>
      <c r="I35" s="151"/>
      <c r="J35" s="304"/>
      <c r="K35" s="305"/>
      <c r="L35" s="309"/>
      <c r="M35" s="311"/>
    </row>
    <row r="36" spans="1:15" ht="15.75" customHeight="1">
      <c r="A36" s="122"/>
      <c r="B36" s="148" t="s">
        <v>47</v>
      </c>
      <c r="C36" s="145">
        <v>23</v>
      </c>
      <c r="D36" s="145">
        <v>20</v>
      </c>
      <c r="E36" s="146">
        <f>Table73724[[#This Row],[Projected Cost]]-Table73724[[#This Row],[Actual Cost]]</f>
        <v>3</v>
      </c>
      <c r="F36" s="147" t="s">
        <v>7</v>
      </c>
      <c r="G36" s="154">
        <f>IF(Table73724[[#This Row],[Form ]]= "Bank", Table73724[[#This Row],[Projected Cost]],0)</f>
        <v>0</v>
      </c>
      <c r="H36" s="154">
        <f>IF(Table73724[[#This Row],[Form ]]="Cash", Table73724[[#This Row],[Projected Cost]],0)</f>
        <v>23</v>
      </c>
      <c r="I36" s="151"/>
      <c r="J36" s="302" t="s">
        <v>48</v>
      </c>
      <c r="K36" s="303"/>
      <c r="L36" s="308"/>
      <c r="M36" s="316">
        <f>12*M30</f>
        <v>45510</v>
      </c>
    </row>
    <row r="37" spans="1:15">
      <c r="B37" s="148" t="s">
        <v>49</v>
      </c>
      <c r="C37" s="185">
        <v>270</v>
      </c>
      <c r="D37" s="145">
        <v>70</v>
      </c>
      <c r="E37" s="146">
        <f>Table73724[[#This Row],[Projected Cost]]-Table73724[[#This Row],[Actual Cost]]</f>
        <v>200</v>
      </c>
      <c r="F37" s="147" t="s">
        <v>7</v>
      </c>
      <c r="G37" s="154">
        <f>IF(Table73724[[#This Row],[Form ]]= "Bank", Table73724[[#This Row],[Projected Cost]],0)</f>
        <v>0</v>
      </c>
      <c r="H37" s="154">
        <f>IF(Table73724[[#This Row],[Form ]]="Cash", Table73724[[#This Row],[Projected Cost]],0)</f>
        <v>270</v>
      </c>
      <c r="J37" s="304"/>
      <c r="K37" s="305"/>
      <c r="L37" s="309"/>
      <c r="M37" s="317"/>
      <c r="N37" s="138"/>
      <c r="O37" s="195"/>
    </row>
    <row r="38" spans="1:15">
      <c r="B38" s="148" t="s">
        <v>50</v>
      </c>
      <c r="C38" s="145">
        <v>100</v>
      </c>
      <c r="D38" s="145"/>
      <c r="E38" s="146">
        <f>Table73724[[#This Row],[Projected Cost]]-Table73724[[#This Row],[Actual Cost]]</f>
        <v>100</v>
      </c>
      <c r="F38" s="147" t="s">
        <v>7</v>
      </c>
      <c r="G38" s="154">
        <f>IF(Table73724[[#This Row],[Form ]]= "Bank", Table73724[[#This Row],[Projected Cost]],0)</f>
        <v>0</v>
      </c>
      <c r="H38" s="154">
        <f>IF(Table73724[[#This Row],[Form ]]="Cash", Table73724[[#This Row],[Projected Cost]],0)</f>
        <v>100</v>
      </c>
      <c r="J38" s="302" t="s">
        <v>51</v>
      </c>
      <c r="K38" s="303"/>
      <c r="L38" s="303"/>
      <c r="M38" s="306">
        <v>1</v>
      </c>
      <c r="N38" s="138"/>
      <c r="O38" s="195"/>
    </row>
    <row r="39" spans="1:15">
      <c r="B39" s="130" t="s">
        <v>23</v>
      </c>
      <c r="C39" s="134">
        <f>SUBTOTAL(109,Table73724[Projected Cost])</f>
        <v>1193</v>
      </c>
      <c r="D39" s="134">
        <f>SUBTOTAL(109,Table73724[Actual Cost])</f>
        <v>151</v>
      </c>
      <c r="E39" s="134">
        <f>SUBTOTAL(109,Table73724[Difference])</f>
        <v>1032</v>
      </c>
      <c r="F39" s="134">
        <f>SUBTOTAL(109,Table73724[[Form ]])</f>
        <v>0</v>
      </c>
      <c r="G39" s="134">
        <f>SUBTOTAL(109,Table73724[Bank])</f>
        <v>0</v>
      </c>
      <c r="H39" s="134">
        <f>SUBTOTAL(109,Table73724[Cash])</f>
        <v>1193</v>
      </c>
      <c r="J39" s="304"/>
      <c r="K39" s="305"/>
      <c r="L39" s="305"/>
      <c r="M39" s="307"/>
      <c r="N39" s="138"/>
      <c r="O39" s="198"/>
    </row>
    <row r="40" spans="1:15">
      <c r="J40" s="302" t="s">
        <v>52</v>
      </c>
      <c r="K40" s="303"/>
      <c r="L40" s="308"/>
      <c r="M40" s="310">
        <f>M36*M38</f>
        <v>45510</v>
      </c>
      <c r="N40" s="138"/>
      <c r="O40" s="195"/>
    </row>
    <row r="41" spans="1:15">
      <c r="J41" s="304"/>
      <c r="K41" s="305"/>
      <c r="L41" s="309"/>
      <c r="M41" s="311"/>
      <c r="N41" s="138"/>
      <c r="O41" s="195"/>
    </row>
    <row r="42" spans="1:15">
      <c r="M42" s="138"/>
    </row>
    <row r="43" spans="1:15">
      <c r="J43" s="157" t="s">
        <v>53</v>
      </c>
      <c r="K43" s="157"/>
      <c r="L43" s="158"/>
      <c r="M43" s="157"/>
      <c r="N43" s="157"/>
    </row>
    <row r="44" spans="1:15">
      <c r="J44" s="120" t="s">
        <v>54</v>
      </c>
      <c r="K44" s="159"/>
      <c r="L44" s="159"/>
      <c r="M44" s="159"/>
      <c r="N44" s="159"/>
    </row>
    <row r="45" spans="1:15">
      <c r="B45" s="166" t="s">
        <v>55</v>
      </c>
      <c r="C45" s="120" t="s">
        <v>56</v>
      </c>
      <c r="J45" s="186" t="str">
        <f>Table12714[[#Headers],[FOOD &amp; HOUSEHOLD]]</f>
        <v>FOOD &amp; HOUSEHOLD</v>
      </c>
      <c r="K45" s="187"/>
      <c r="L45" s="160"/>
      <c r="M45" s="161">
        <f>Table12714[[#Totals],[Projected Cost]]</f>
        <v>1302.5</v>
      </c>
      <c r="N45" s="162">
        <f>M45/$M$51</f>
        <v>0.34344100197758737</v>
      </c>
    </row>
    <row r="46" spans="1:15">
      <c r="B46" s="156" t="s">
        <v>57</v>
      </c>
      <c r="C46" s="143" t="s">
        <v>58</v>
      </c>
      <c r="D46" s="143" t="s">
        <v>59</v>
      </c>
      <c r="E46" s="143" t="s">
        <v>60</v>
      </c>
      <c r="F46" s="143" t="s">
        <v>61</v>
      </c>
      <c r="G46" s="143" t="s">
        <v>62</v>
      </c>
      <c r="H46" s="143" t="s">
        <v>63</v>
      </c>
      <c r="J46" s="186" t="str">
        <f>Table33421[[#Headers],[UTILITIES]]</f>
        <v>UTILITIES</v>
      </c>
      <c r="K46" s="187"/>
      <c r="L46" s="160"/>
      <c r="M46" s="161">
        <f>Table33421[[#Totals],[Projected Cost]]</f>
        <v>502</v>
      </c>
      <c r="N46" s="162">
        <f>M46/$M$51</f>
        <v>0.13236651285431772</v>
      </c>
    </row>
    <row r="47" spans="1:15">
      <c r="B47" s="143" t="s">
        <v>64</v>
      </c>
      <c r="C47" s="143"/>
      <c r="D47" s="143"/>
      <c r="E47" s="143"/>
      <c r="F47" s="143"/>
      <c r="G47" s="143"/>
      <c r="H47" s="143"/>
      <c r="J47" s="313" t="str">
        <f>Table73724[[#Headers],[INSURANCE &amp; HEALTHCARE]]</f>
        <v>INSURANCE &amp; HEALTHCARE</v>
      </c>
      <c r="K47" s="314"/>
      <c r="L47" s="160"/>
      <c r="M47" s="161">
        <f>Table73724[[#Totals],[Projected Cost]]</f>
        <v>1193</v>
      </c>
      <c r="N47" s="162">
        <f>M47/$M$51</f>
        <v>0.31456822676334872</v>
      </c>
    </row>
    <row r="48" spans="1:15">
      <c r="B48" s="143" t="s">
        <v>65</v>
      </c>
      <c r="C48" s="143"/>
      <c r="D48" s="143"/>
      <c r="E48" s="143"/>
      <c r="F48" s="143"/>
      <c r="G48" s="143"/>
      <c r="H48" s="143"/>
      <c r="J48" s="186" t="str">
        <f>Table23825[[#Headers],[TRANSPORTATION]]</f>
        <v>TRANSPORTATION</v>
      </c>
      <c r="K48" s="187"/>
      <c r="L48" s="160"/>
      <c r="M48" s="161">
        <f>Table23825[[#Totals],[Projected Cost]]</f>
        <v>395</v>
      </c>
      <c r="N48" s="162">
        <f>M48/$M$51</f>
        <v>0.1041529334212261</v>
      </c>
    </row>
    <row r="49" spans="1:16">
      <c r="B49" s="143" t="s">
        <v>66</v>
      </c>
      <c r="C49" s="143"/>
      <c r="D49" s="143"/>
      <c r="E49" s="143"/>
      <c r="F49" s="143"/>
      <c r="G49" s="143"/>
      <c r="H49" s="143"/>
      <c r="J49" s="186" t="str">
        <f>Table53219[[#Headers],[MORTGAGE/RENT]]</f>
        <v>MORTGAGE/RENT</v>
      </c>
      <c r="K49" s="187"/>
      <c r="L49" s="160"/>
      <c r="M49" s="161">
        <f>Table53219[[#Totals],[Projected Cost]]</f>
        <v>400</v>
      </c>
      <c r="N49" s="162">
        <f>M49/$M$51</f>
        <v>0.1054713249835201</v>
      </c>
    </row>
    <row r="50" spans="1:16">
      <c r="B50" s="143" t="s">
        <v>67</v>
      </c>
      <c r="C50" s="143"/>
      <c r="D50" s="143"/>
      <c r="E50" s="143"/>
      <c r="F50" s="143"/>
      <c r="G50" s="143"/>
      <c r="H50" s="143"/>
      <c r="J50" s="186"/>
      <c r="K50" s="187"/>
      <c r="L50" s="160"/>
      <c r="M50" s="161"/>
      <c r="N50" s="162"/>
    </row>
    <row r="51" spans="1:16" ht="18">
      <c r="B51" s="143" t="s">
        <v>68</v>
      </c>
      <c r="C51" s="143"/>
      <c r="D51" s="143"/>
      <c r="E51" s="143"/>
      <c r="F51" s="143"/>
      <c r="G51" s="143"/>
      <c r="H51" s="143"/>
      <c r="J51" s="188" t="s">
        <v>69</v>
      </c>
      <c r="K51" s="189"/>
      <c r="L51" s="165"/>
      <c r="M51" s="163">
        <f>SUM(M45:M50)</f>
        <v>3792.5</v>
      </c>
      <c r="N51" s="164">
        <f>M51/$M$51</f>
        <v>1</v>
      </c>
    </row>
    <row r="52" spans="1:16">
      <c r="B52" s="143" t="s">
        <v>70</v>
      </c>
      <c r="C52" s="143"/>
      <c r="D52" s="143"/>
      <c r="E52" s="143"/>
      <c r="F52" s="143"/>
      <c r="G52" s="143"/>
      <c r="H52" s="143"/>
    </row>
    <row r="53" spans="1:16">
      <c r="B53" s="143" t="s">
        <v>71</v>
      </c>
      <c r="C53" s="143"/>
      <c r="D53" s="143"/>
      <c r="E53" s="143"/>
      <c r="F53" s="143"/>
      <c r="G53" s="143"/>
      <c r="H53" s="143"/>
      <c r="J53" s="312" t="s">
        <v>72</v>
      </c>
      <c r="K53" s="312"/>
      <c r="L53" s="312"/>
      <c r="M53" s="312"/>
      <c r="N53" s="312"/>
    </row>
    <row r="54" spans="1:16">
      <c r="B54" s="143" t="s">
        <v>73</v>
      </c>
      <c r="C54" s="143"/>
      <c r="D54" s="143"/>
      <c r="E54" s="143"/>
      <c r="F54" s="143"/>
      <c r="G54" s="143"/>
      <c r="H54" s="143"/>
      <c r="J54" s="181" t="s">
        <v>74</v>
      </c>
      <c r="K54" s="181" t="s">
        <v>75</v>
      </c>
      <c r="L54" s="158"/>
      <c r="M54" s="284">
        <v>100</v>
      </c>
      <c r="N54" s="285"/>
    </row>
    <row r="55" spans="1:16">
      <c r="B55" s="143" t="s">
        <v>76</v>
      </c>
      <c r="C55" s="143"/>
      <c r="D55" s="143"/>
      <c r="E55" s="143"/>
      <c r="F55" s="143"/>
      <c r="G55" s="143"/>
      <c r="H55" s="143"/>
      <c r="J55" s="293" t="s">
        <v>77</v>
      </c>
      <c r="K55" s="294"/>
      <c r="L55" s="158"/>
      <c r="M55" s="286"/>
      <c r="N55" s="287"/>
    </row>
    <row r="56" spans="1:16">
      <c r="A56" s="120"/>
      <c r="B56" s="143" t="s">
        <v>78</v>
      </c>
      <c r="C56" s="143"/>
      <c r="D56" s="143"/>
      <c r="E56" s="143"/>
      <c r="F56" s="143"/>
      <c r="G56" s="143"/>
      <c r="H56" s="143"/>
      <c r="J56" s="181" t="s">
        <v>79</v>
      </c>
      <c r="K56" s="181" t="s">
        <v>75</v>
      </c>
      <c r="L56" s="182"/>
      <c r="M56" s="288">
        <v>50</v>
      </c>
      <c r="N56" s="289"/>
    </row>
    <row r="57" spans="1:16">
      <c r="B57" s="143" t="s">
        <v>80</v>
      </c>
      <c r="C57" s="143"/>
      <c r="D57" s="143"/>
      <c r="E57" s="143"/>
      <c r="F57" s="143"/>
      <c r="G57" s="143"/>
      <c r="H57" s="143"/>
      <c r="J57" s="293" t="s">
        <v>81</v>
      </c>
      <c r="K57" s="294"/>
      <c r="L57" s="182"/>
      <c r="M57" s="192"/>
      <c r="N57" s="193"/>
    </row>
    <row r="58" spans="1:16">
      <c r="B58" s="143" t="s">
        <v>82</v>
      </c>
      <c r="C58" s="143"/>
      <c r="D58" s="143"/>
      <c r="E58" s="143"/>
      <c r="F58" s="143"/>
      <c r="G58" s="143"/>
      <c r="H58" s="143"/>
      <c r="J58" s="181" t="s">
        <v>83</v>
      </c>
      <c r="K58" s="181" t="s">
        <v>84</v>
      </c>
      <c r="L58" s="182"/>
      <c r="M58" s="300">
        <f>ROUNDUP(M34/M56,0)</f>
        <v>456</v>
      </c>
      <c r="N58" s="301"/>
    </row>
    <row r="59" spans="1:16">
      <c r="B59" s="156" t="s">
        <v>23</v>
      </c>
      <c r="C59" s="156">
        <f>SUM(C47:C58)</f>
        <v>0</v>
      </c>
      <c r="D59" s="156">
        <f t="shared" ref="D59:H59" si="0">SUM(D47:D58)</f>
        <v>0</v>
      </c>
      <c r="E59" s="156">
        <f t="shared" si="0"/>
        <v>0</v>
      </c>
      <c r="F59" s="156">
        <f t="shared" si="0"/>
        <v>0</v>
      </c>
      <c r="G59" s="156">
        <f t="shared" si="0"/>
        <v>0</v>
      </c>
      <c r="H59" s="156">
        <f t="shared" si="0"/>
        <v>0</v>
      </c>
      <c r="J59" s="199"/>
      <c r="K59" s="199" t="s">
        <v>85</v>
      </c>
      <c r="L59" s="200"/>
      <c r="M59" s="295">
        <f>M58/12</f>
        <v>38</v>
      </c>
      <c r="N59" s="296"/>
    </row>
    <row r="60" spans="1:16" ht="18">
      <c r="B60" s="143"/>
      <c r="C60" s="143" t="s">
        <v>86</v>
      </c>
      <c r="D60" s="143"/>
      <c r="E60" s="144"/>
      <c r="F60" s="144"/>
      <c r="G60" s="143"/>
      <c r="H60" s="143"/>
      <c r="J60" s="297"/>
      <c r="K60" s="298"/>
      <c r="L60" s="299"/>
      <c r="M60" s="227"/>
      <c r="N60" s="228"/>
      <c r="P60" s="283" t="s">
        <v>87</v>
      </c>
    </row>
    <row r="61" spans="1:16">
      <c r="B61" s="156" t="s">
        <v>57</v>
      </c>
      <c r="C61" s="143" t="s">
        <v>88</v>
      </c>
      <c r="D61" s="143" t="s">
        <v>60</v>
      </c>
      <c r="E61" s="143" t="s">
        <v>59</v>
      </c>
      <c r="F61" s="143" t="s">
        <v>89</v>
      </c>
      <c r="G61" s="143" t="s">
        <v>90</v>
      </c>
      <c r="H61" s="143" t="s">
        <v>91</v>
      </c>
      <c r="J61" s="322" t="s">
        <v>92</v>
      </c>
      <c r="K61" s="322"/>
      <c r="L61" s="322"/>
      <c r="M61" s="322"/>
      <c r="N61" s="322"/>
    </row>
    <row r="62" spans="1:16" ht="17.25">
      <c r="B62" s="143" t="s">
        <v>64</v>
      </c>
      <c r="C62" s="248">
        <f t="shared" ref="C62:C67" si="1">SUM(C48:C61)</f>
        <v>0</v>
      </c>
      <c r="D62" s="143"/>
      <c r="E62" s="144"/>
      <c r="F62" s="144"/>
      <c r="G62" s="143"/>
      <c r="H62" s="143"/>
      <c r="J62" s="323" t="s">
        <v>93</v>
      </c>
      <c r="K62" s="324"/>
      <c r="L62" s="324"/>
      <c r="M62" s="325"/>
      <c r="N62" s="245">
        <v>500</v>
      </c>
      <c r="O62" s="229"/>
    </row>
    <row r="63" spans="1:16" ht="17.25">
      <c r="B63" s="143" t="s">
        <v>65</v>
      </c>
      <c r="C63" s="248">
        <f t="shared" si="1"/>
        <v>0</v>
      </c>
      <c r="D63" s="143"/>
      <c r="E63" s="144"/>
      <c r="F63" s="144"/>
      <c r="G63" s="143"/>
      <c r="H63" s="143"/>
      <c r="J63" s="318" t="s">
        <v>94</v>
      </c>
      <c r="K63" s="319"/>
      <c r="L63" s="319"/>
      <c r="M63" s="326"/>
      <c r="N63" s="238">
        <v>0.06</v>
      </c>
      <c r="O63" s="249"/>
    </row>
    <row r="64" spans="1:16" ht="17.25">
      <c r="B64" s="143" t="s">
        <v>66</v>
      </c>
      <c r="C64" s="248">
        <f t="shared" si="1"/>
        <v>0</v>
      </c>
      <c r="D64" s="143"/>
      <c r="E64" s="144"/>
      <c r="F64" s="144"/>
      <c r="G64" s="143"/>
      <c r="H64" s="143"/>
      <c r="J64" s="318" t="s">
        <v>95</v>
      </c>
      <c r="K64" s="319"/>
      <c r="L64" s="319"/>
      <c r="M64" s="320"/>
      <c r="N64" s="242">
        <v>0</v>
      </c>
      <c r="P64" s="282">
        <f>FV(N63/N65,N64*N65,-N66,-N62)</f>
        <v>500</v>
      </c>
    </row>
    <row r="65" spans="2:21" ht="17.25">
      <c r="B65" s="143" t="s">
        <v>67</v>
      </c>
      <c r="C65" s="248">
        <f t="shared" si="1"/>
        <v>0</v>
      </c>
      <c r="D65" s="143"/>
      <c r="E65" s="144"/>
      <c r="F65" s="144"/>
      <c r="G65" s="143"/>
      <c r="H65" s="143"/>
      <c r="J65" s="239" t="s">
        <v>96</v>
      </c>
      <c r="K65" s="240"/>
      <c r="L65" s="240"/>
      <c r="M65" s="241"/>
      <c r="N65" s="242">
        <v>10</v>
      </c>
      <c r="O65" s="230"/>
    </row>
    <row r="66" spans="2:21" ht="17.25">
      <c r="B66" s="143" t="s">
        <v>68</v>
      </c>
      <c r="C66" s="248">
        <f t="shared" si="1"/>
        <v>0</v>
      </c>
      <c r="D66" s="143"/>
      <c r="E66" s="144"/>
      <c r="F66" s="144"/>
      <c r="G66" s="143"/>
      <c r="H66" s="243"/>
      <c r="J66" s="290" t="s">
        <v>97</v>
      </c>
      <c r="K66" s="291"/>
      <c r="L66" s="291"/>
      <c r="M66" s="292"/>
      <c r="N66" s="242">
        <v>200</v>
      </c>
      <c r="O66" s="230"/>
    </row>
    <row r="67" spans="2:21" ht="17.25">
      <c r="B67" s="143" t="s">
        <v>70</v>
      </c>
      <c r="C67" s="248">
        <f t="shared" si="1"/>
        <v>0</v>
      </c>
      <c r="D67" s="143"/>
      <c r="E67" s="143"/>
      <c r="F67" s="143"/>
      <c r="G67" s="143"/>
      <c r="H67" s="244"/>
      <c r="J67" s="290" t="str">
        <f>"Value after " &amp;TEXT(N64,"##") &amp; " years"</f>
        <v>Value after  years</v>
      </c>
      <c r="K67" s="291"/>
      <c r="L67" s="291"/>
      <c r="M67" s="292"/>
      <c r="N67" s="281">
        <f>FV(N63/N65,N64*N65,-N66,-N62)</f>
        <v>500</v>
      </c>
      <c r="O67" s="230" t="s">
        <v>98</v>
      </c>
      <c r="Q67" s="232"/>
      <c r="R67" s="232"/>
      <c r="S67" s="232"/>
      <c r="T67" s="232"/>
      <c r="U67" s="233"/>
    </row>
    <row r="68" spans="2:21" ht="17.25">
      <c r="B68" s="143" t="s">
        <v>71</v>
      </c>
      <c r="C68" s="248">
        <f t="shared" ref="C68:C76" si="2">SUM(C55:C67)</f>
        <v>0</v>
      </c>
      <c r="D68" s="143"/>
      <c r="E68" s="143"/>
      <c r="F68" s="143"/>
      <c r="G68" s="143"/>
      <c r="H68" s="143"/>
      <c r="J68" s="290" t="s">
        <v>99</v>
      </c>
      <c r="K68" s="291"/>
      <c r="L68" s="291"/>
      <c r="M68" s="292"/>
      <c r="N68" s="247">
        <f>N67/(N62+N66*N65*N64)</f>
        <v>1</v>
      </c>
      <c r="O68" s="230"/>
      <c r="Q68" s="232"/>
      <c r="R68" s="232"/>
      <c r="S68" s="232"/>
      <c r="T68" s="232"/>
      <c r="U68" s="233"/>
    </row>
    <row r="69" spans="2:21">
      <c r="B69" s="143" t="s">
        <v>73</v>
      </c>
      <c r="C69" s="248">
        <f t="shared" si="2"/>
        <v>0</v>
      </c>
      <c r="D69" s="143"/>
      <c r="E69" s="143"/>
      <c r="F69" s="143"/>
      <c r="G69" s="143"/>
      <c r="H69" s="143"/>
      <c r="O69" s="230"/>
      <c r="Q69" s="232"/>
      <c r="R69" s="232"/>
      <c r="S69" s="232"/>
      <c r="T69" s="232"/>
      <c r="U69" s="233"/>
    </row>
    <row r="70" spans="2:21">
      <c r="B70" s="143" t="s">
        <v>76</v>
      </c>
      <c r="C70" s="248">
        <f t="shared" si="2"/>
        <v>0</v>
      </c>
      <c r="D70" s="143"/>
      <c r="E70" s="143"/>
      <c r="F70" s="143"/>
      <c r="G70" s="143"/>
      <c r="H70" s="143"/>
      <c r="J70" s="321" t="s">
        <v>100</v>
      </c>
      <c r="K70" s="321"/>
      <c r="L70" s="321"/>
      <c r="M70" s="321"/>
      <c r="N70" s="321"/>
      <c r="O70" s="272"/>
    </row>
    <row r="71" spans="2:21" ht="17.25">
      <c r="B71" s="143" t="s">
        <v>78</v>
      </c>
      <c r="C71" s="248">
        <f t="shared" si="2"/>
        <v>0</v>
      </c>
      <c r="D71" s="143"/>
      <c r="E71" s="143"/>
      <c r="F71" s="143"/>
      <c r="G71" s="143"/>
      <c r="H71" s="143"/>
      <c r="J71" s="327" t="s">
        <v>101</v>
      </c>
      <c r="K71" s="328"/>
      <c r="L71" s="328"/>
      <c r="M71" s="328"/>
      <c r="N71" s="245">
        <v>100000</v>
      </c>
      <c r="O71" s="194"/>
    </row>
    <row r="72" spans="2:21" ht="17.25">
      <c r="B72" s="143" t="s">
        <v>80</v>
      </c>
      <c r="C72" s="248">
        <f t="shared" si="2"/>
        <v>0</v>
      </c>
      <c r="D72" s="143"/>
      <c r="E72" s="143"/>
      <c r="F72" s="143"/>
      <c r="G72" s="143"/>
      <c r="H72" s="143"/>
      <c r="J72" s="318" t="s">
        <v>94</v>
      </c>
      <c r="K72" s="319"/>
      <c r="L72" s="319"/>
      <c r="M72" s="326"/>
      <c r="N72" s="279">
        <v>0.03</v>
      </c>
      <c r="P72" s="123">
        <v>6.0000000000000001E-3</v>
      </c>
    </row>
    <row r="73" spans="2:21" ht="17.25">
      <c r="B73" s="143" t="s">
        <v>82</v>
      </c>
      <c r="C73" s="248">
        <f t="shared" si="2"/>
        <v>0</v>
      </c>
      <c r="D73" s="143"/>
      <c r="E73" s="143"/>
      <c r="F73" s="143"/>
      <c r="G73" s="143"/>
      <c r="H73" s="143"/>
      <c r="J73" s="318" t="s">
        <v>95</v>
      </c>
      <c r="K73" s="319"/>
      <c r="L73" s="319"/>
      <c r="M73" s="320"/>
      <c r="N73" s="237">
        <v>16</v>
      </c>
      <c r="O73" s="194"/>
      <c r="P73" s="123">
        <v>300</v>
      </c>
    </row>
    <row r="74" spans="2:21" ht="17.25">
      <c r="B74" s="143"/>
      <c r="C74" s="248">
        <f t="shared" si="2"/>
        <v>0</v>
      </c>
      <c r="D74" s="143"/>
      <c r="E74" s="143"/>
      <c r="F74" s="143"/>
      <c r="G74" s="143"/>
      <c r="H74" s="143"/>
      <c r="J74" s="290" t="str">
        <f>"Value after " &amp;TEXT(N73,"##") &amp; " years"</f>
        <v>Value after 16 years</v>
      </c>
      <c r="K74" s="291"/>
      <c r="L74" s="291"/>
      <c r="M74" s="292"/>
      <c r="N74" s="246">
        <f>N71*(1+N72)^N73</f>
        <v>160470.64390987871</v>
      </c>
      <c r="P74" s="123">
        <v>-200</v>
      </c>
    </row>
    <row r="75" spans="2:21" ht="17.25">
      <c r="B75" s="156" t="s">
        <v>23</v>
      </c>
      <c r="C75" s="196">
        <f t="shared" si="2"/>
        <v>0</v>
      </c>
      <c r="D75" s="197">
        <f>SUM(D62:D74)</f>
        <v>0</v>
      </c>
      <c r="E75" s="196">
        <f>SUM(E62:E74)</f>
        <v>0</v>
      </c>
      <c r="F75" s="196">
        <f>SUM(F62:F74)</f>
        <v>0</v>
      </c>
      <c r="G75" s="196">
        <f>SUM(G62:G74)</f>
        <v>0</v>
      </c>
      <c r="H75" s="196">
        <f>SUM(H62:H74)</f>
        <v>0</v>
      </c>
      <c r="J75" s="290" t="s">
        <v>99</v>
      </c>
      <c r="K75" s="291"/>
      <c r="L75" s="291"/>
      <c r="M75" s="292"/>
      <c r="N75" s="246">
        <f>N74/N71</f>
        <v>1.6047064390987871</v>
      </c>
      <c r="P75" s="123">
        <v>-500</v>
      </c>
    </row>
    <row r="76" spans="2:21" ht="15.75" thickBot="1">
      <c r="B76" s="143"/>
      <c r="C76" s="248">
        <f t="shared" si="2"/>
        <v>0</v>
      </c>
      <c r="D76" s="143"/>
      <c r="E76" s="143"/>
      <c r="F76" s="143"/>
      <c r="G76" s="143"/>
      <c r="H76" s="143"/>
    </row>
    <row r="77" spans="2:21" ht="18">
      <c r="B77" s="143"/>
      <c r="C77" s="143"/>
      <c r="D77" s="143"/>
      <c r="E77" s="143"/>
      <c r="F77" s="143"/>
      <c r="G77" s="143"/>
      <c r="H77" s="143"/>
      <c r="I77" s="168"/>
      <c r="J77" s="175" t="s">
        <v>102</v>
      </c>
      <c r="K77" s="176"/>
      <c r="L77" s="176"/>
      <c r="M77" s="176"/>
      <c r="N77" s="177"/>
    </row>
    <row r="78" spans="2:21" ht="17.25">
      <c r="I78" s="169"/>
      <c r="J78" s="139" t="s">
        <v>103</v>
      </c>
      <c r="K78" s="184">
        <f>C81</f>
        <v>0</v>
      </c>
      <c r="L78" s="139"/>
      <c r="M78" s="178"/>
      <c r="N78" s="179"/>
    </row>
    <row r="79" spans="2:21" ht="18" thickBot="1">
      <c r="I79" s="169"/>
      <c r="J79" s="140" t="s">
        <v>104</v>
      </c>
      <c r="K79" s="183">
        <f>IF(M34-K78&lt;=0,0,M34-K78)</f>
        <v>22755</v>
      </c>
      <c r="L79" s="139"/>
      <c r="M79" s="178"/>
      <c r="N79" s="179"/>
    </row>
    <row r="80" spans="2:21" ht="17.25">
      <c r="B80" s="167"/>
      <c r="C80" s="168"/>
      <c r="D80" s="168"/>
      <c r="E80" s="168"/>
      <c r="F80" s="168"/>
      <c r="G80" s="168"/>
      <c r="H80" s="168"/>
      <c r="I80" s="169"/>
      <c r="J80" s="139" t="s">
        <v>105</v>
      </c>
      <c r="K80" s="184">
        <f>M56</f>
        <v>50</v>
      </c>
      <c r="L80" s="139"/>
      <c r="M80" s="178"/>
      <c r="N80" s="179"/>
    </row>
    <row r="81" spans="2:14" ht="18">
      <c r="B81" s="173" t="s">
        <v>103</v>
      </c>
      <c r="C81" s="174">
        <f>SUM(C59:H59)+SUM(C75:H75)</f>
        <v>0</v>
      </c>
      <c r="D81" s="169"/>
      <c r="E81" s="169"/>
      <c r="F81" s="169"/>
      <c r="G81" s="169"/>
      <c r="H81" s="169"/>
      <c r="I81" s="169"/>
      <c r="J81" s="141" t="s">
        <v>106</v>
      </c>
      <c r="K81" s="139">
        <f>ROUNDUP(K79/K80,0)</f>
        <v>456</v>
      </c>
      <c r="L81" s="139" t="s">
        <v>84</v>
      </c>
      <c r="M81" s="215" t="s">
        <v>84</v>
      </c>
      <c r="N81" s="179"/>
    </row>
    <row r="82" spans="2:14" ht="18" thickBot="1">
      <c r="B82" s="170"/>
      <c r="C82" s="169"/>
      <c r="D82" s="169"/>
      <c r="E82" s="169"/>
      <c r="F82" s="169"/>
      <c r="G82" s="169"/>
      <c r="H82" s="169"/>
      <c r="I82" s="172"/>
      <c r="J82" s="141" t="s">
        <v>106</v>
      </c>
      <c r="K82" s="235">
        <f>K81/12</f>
        <v>38</v>
      </c>
      <c r="L82" s="142" t="s">
        <v>85</v>
      </c>
      <c r="M82" s="216" t="s">
        <v>85</v>
      </c>
      <c r="N82" s="180"/>
    </row>
    <row r="83" spans="2:14" ht="18">
      <c r="B83" s="170"/>
      <c r="C83" s="169"/>
      <c r="D83" s="169"/>
      <c r="E83" s="169"/>
      <c r="F83" s="169"/>
      <c r="G83" s="169"/>
      <c r="H83" s="169"/>
      <c r="I83" s="202"/>
      <c r="J83" s="203" t="s">
        <v>107</v>
      </c>
      <c r="K83" s="204"/>
      <c r="L83" s="204"/>
      <c r="M83" s="204"/>
      <c r="N83" s="205"/>
    </row>
    <row r="84" spans="2:14" ht="17.25">
      <c r="B84" s="170"/>
      <c r="C84" s="169"/>
      <c r="D84" s="169"/>
      <c r="E84" s="169"/>
      <c r="F84" s="169"/>
      <c r="G84" s="169"/>
      <c r="H84" s="169"/>
      <c r="I84" s="206"/>
      <c r="J84" s="139" t="s">
        <v>103</v>
      </c>
      <c r="K84" s="184">
        <f>C81</f>
        <v>0</v>
      </c>
      <c r="L84" s="207"/>
      <c r="M84" s="214"/>
      <c r="N84" s="208"/>
    </row>
    <row r="85" spans="2:14" ht="18" thickBot="1">
      <c r="B85" s="171"/>
      <c r="C85" s="172"/>
      <c r="D85" s="172"/>
      <c r="E85" s="172"/>
      <c r="F85" s="172"/>
      <c r="G85" s="172"/>
      <c r="H85" s="172"/>
      <c r="I85" s="206"/>
      <c r="J85" s="139" t="s">
        <v>104</v>
      </c>
      <c r="K85" s="213">
        <f>M36-K84</f>
        <v>45510</v>
      </c>
      <c r="L85" s="207"/>
      <c r="M85" s="214"/>
      <c r="N85" s="208"/>
    </row>
    <row r="86" spans="2:14" ht="17.25">
      <c r="B86" s="201"/>
      <c r="C86" s="202"/>
      <c r="D86" s="202"/>
      <c r="E86" s="202"/>
      <c r="F86" s="202"/>
      <c r="G86" s="202"/>
      <c r="H86" s="202"/>
      <c r="I86" s="206"/>
      <c r="J86" s="139" t="s">
        <v>105</v>
      </c>
      <c r="K86" s="184">
        <f>M56</f>
        <v>50</v>
      </c>
      <c r="L86" s="207"/>
      <c r="M86" s="214"/>
      <c r="N86" s="208"/>
    </row>
    <row r="87" spans="2:14" ht="17.25">
      <c r="B87" s="206"/>
      <c r="C87" s="206"/>
      <c r="D87" s="206"/>
      <c r="E87" s="206"/>
      <c r="F87" s="206"/>
      <c r="G87" s="206"/>
      <c r="H87" s="206"/>
      <c r="I87" s="206"/>
      <c r="J87" s="141" t="s">
        <v>106</v>
      </c>
      <c r="K87" s="139">
        <f>ROUNDUP(K85/K86,0)</f>
        <v>911</v>
      </c>
      <c r="L87" s="207"/>
      <c r="M87" s="207" t="s">
        <v>84</v>
      </c>
      <c r="N87" s="208"/>
    </row>
    <row r="88" spans="2:14" ht="18" thickBot="1">
      <c r="B88" s="209"/>
      <c r="C88" s="206"/>
      <c r="D88" s="206"/>
      <c r="E88" s="206"/>
      <c r="F88" s="206"/>
      <c r="G88" s="206"/>
      <c r="H88" s="206"/>
      <c r="I88" s="211"/>
      <c r="J88" s="141" t="s">
        <v>106</v>
      </c>
      <c r="K88" s="218">
        <f>K87/12</f>
        <v>75.916666666666671</v>
      </c>
      <c r="L88" s="207"/>
      <c r="M88" s="217" t="s">
        <v>85</v>
      </c>
      <c r="N88" s="212"/>
    </row>
    <row r="89" spans="2:14">
      <c r="B89" s="209"/>
      <c r="C89" s="206"/>
      <c r="D89" s="206"/>
      <c r="E89" s="206"/>
      <c r="F89" s="206"/>
      <c r="G89" s="206"/>
      <c r="H89" s="206"/>
    </row>
    <row r="90" spans="2:14">
      <c r="B90" s="209"/>
      <c r="C90" s="206"/>
      <c r="D90" s="206"/>
      <c r="E90" s="206"/>
      <c r="F90" s="206"/>
      <c r="G90" s="206"/>
      <c r="H90" s="206"/>
    </row>
    <row r="91" spans="2:14" ht="15.75" thickBot="1">
      <c r="B91" s="210"/>
      <c r="C91" s="211"/>
      <c r="D91" s="211"/>
      <c r="E91" s="211"/>
      <c r="F91" s="211"/>
      <c r="G91" s="211"/>
      <c r="H91" s="211"/>
    </row>
  </sheetData>
  <sheetProtection selectLockedCells="1"/>
  <mergeCells count="36">
    <mergeCell ref="J73:M73"/>
    <mergeCell ref="J74:M74"/>
    <mergeCell ref="J70:N70"/>
    <mergeCell ref="J61:N61"/>
    <mergeCell ref="J75:M75"/>
    <mergeCell ref="J62:M62"/>
    <mergeCell ref="J63:M63"/>
    <mergeCell ref="J64:M64"/>
    <mergeCell ref="J66:M66"/>
    <mergeCell ref="J67:M67"/>
    <mergeCell ref="J71:M71"/>
    <mergeCell ref="J72:M72"/>
    <mergeCell ref="J16:M16"/>
    <mergeCell ref="J36:L37"/>
    <mergeCell ref="M36:M37"/>
    <mergeCell ref="J30:L31"/>
    <mergeCell ref="M30:M31"/>
    <mergeCell ref="M32:M33"/>
    <mergeCell ref="J32:L33"/>
    <mergeCell ref="M34:M35"/>
    <mergeCell ref="J34:L35"/>
    <mergeCell ref="J38:L39"/>
    <mergeCell ref="M38:M39"/>
    <mergeCell ref="J40:L41"/>
    <mergeCell ref="M40:M41"/>
    <mergeCell ref="J53:N53"/>
    <mergeCell ref="J47:K47"/>
    <mergeCell ref="M54:N54"/>
    <mergeCell ref="M55:N55"/>
    <mergeCell ref="M56:N56"/>
    <mergeCell ref="J68:M68"/>
    <mergeCell ref="J55:K55"/>
    <mergeCell ref="J57:K57"/>
    <mergeCell ref="M59:N59"/>
    <mergeCell ref="J60:L60"/>
    <mergeCell ref="M58:N58"/>
  </mergeCells>
  <phoneticPr fontId="51" type="noConversion"/>
  <conditionalFormatting sqref="F24:G25 G20:G23 F19:F23">
    <cfRule type="iconSet" priority="10">
      <iconSet iconSet="3Signs">
        <cfvo type="percent" val="0"/>
        <cfvo type="num" val="-20"/>
        <cfvo type="num" val="0"/>
      </iconSet>
    </cfRule>
  </conditionalFormatting>
  <conditionalFormatting sqref="G19:H19 H20:H25">
    <cfRule type="iconSet" priority="8">
      <iconSet iconSet="3Signs">
        <cfvo type="percent" val="0"/>
        <cfvo type="num" val="-20"/>
        <cfvo type="num" val="0"/>
      </iconSet>
    </cfRule>
  </conditionalFormatting>
  <conditionalFormatting sqref="G29:H29">
    <cfRule type="iconSet" priority="6">
      <iconSet iconSet="3Signs">
        <cfvo type="percent" val="0"/>
        <cfvo type="num" val="-20"/>
        <cfvo type="num" val="0"/>
      </iconSet>
    </cfRule>
  </conditionalFormatting>
  <conditionalFormatting sqref="M6:M14">
    <cfRule type="iconSet" priority="5">
      <iconSet iconSet="3Signs">
        <cfvo type="percent" val="0"/>
        <cfvo type="num" val="-20"/>
        <cfvo type="num" val="0"/>
      </iconSet>
    </cfRule>
  </conditionalFormatting>
  <conditionalFormatting sqref="N6:O14">
    <cfRule type="iconSet" priority="4">
      <iconSet iconSet="3Signs">
        <cfvo type="percent" val="0"/>
        <cfvo type="num" val="-20"/>
        <cfvo type="num" val="0"/>
      </iconSet>
    </cfRule>
  </conditionalFormatting>
  <conditionalFormatting sqref="N18:O18">
    <cfRule type="iconSet" priority="3">
      <iconSet iconSet="3Signs">
        <cfvo type="percent" val="0"/>
        <cfvo type="num" val="-20"/>
        <cfvo type="num" val="0"/>
      </iconSet>
    </cfRule>
  </conditionalFormatting>
  <conditionalFormatting sqref="N24:O26">
    <cfRule type="iconSet" priority="2">
      <iconSet iconSet="3Signs">
        <cfvo type="percent" val="0"/>
        <cfvo type="num" val="-20"/>
        <cfvo type="num" val="0"/>
      </iconSet>
    </cfRule>
  </conditionalFormatting>
  <conditionalFormatting sqref="M18:M20">
    <cfRule type="iconSet" priority="1">
      <iconSet iconSet="3Signs">
        <cfvo type="percent" val="0"/>
        <cfvo type="num" val="-20"/>
        <cfvo type="num" val="0"/>
      </iconSet>
    </cfRule>
  </conditionalFormatting>
  <conditionalFormatting sqref="E19:E25 E29:E38 M22 M24:M26 E6:H16 G30:H38">
    <cfRule type="iconSet" priority="70">
      <iconSet iconSet="3Signs">
        <cfvo type="percent" val="0"/>
        <cfvo type="num" val="-20"/>
        <cfvo type="num" val="0"/>
      </iconSet>
    </cfRule>
  </conditionalFormatting>
  <conditionalFormatting sqref="F29:F38">
    <cfRule type="iconSet" priority="78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48" orientation="portrait" horizontalDpi="4294967292" r:id="rId1"/>
  <headerFooter alignWithMargins="0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E251-780E-4B99-B87A-998CA8970AB4}">
  <sheetPr>
    <pageSetUpPr autoPageBreaks="0" fitToPage="1"/>
  </sheetPr>
  <dimension ref="A1:U67"/>
  <sheetViews>
    <sheetView showGridLines="0" view="pageBreakPreview" topLeftCell="B29" zoomScaleNormal="100" zoomScaleSheetLayoutView="100" workbookViewId="0">
      <selection activeCell="N48" sqref="N48"/>
    </sheetView>
  </sheetViews>
  <sheetFormatPr defaultRowHeight="15"/>
  <cols>
    <col min="1" max="1" width="1.7109375" style="123" customWidth="1"/>
    <col min="2" max="2" width="31.5703125" style="123" customWidth="1"/>
    <col min="3" max="3" width="16.5703125" style="123" customWidth="1"/>
    <col min="4" max="4" width="13.42578125" style="123" hidden="1" customWidth="1"/>
    <col min="5" max="5" width="12.5703125" style="123" hidden="1" customWidth="1"/>
    <col min="6" max="8" width="12.5703125" style="123" customWidth="1"/>
    <col min="9" max="9" width="2.85546875" style="123" customWidth="1"/>
    <col min="10" max="10" width="32.85546875" style="123" customWidth="1"/>
    <col min="11" max="11" width="15.85546875" style="123" bestFit="1" customWidth="1"/>
    <col min="12" max="12" width="13.42578125" style="123" hidden="1" customWidth="1"/>
    <col min="13" max="13" width="9.140625" style="123" bestFit="1" customWidth="1"/>
    <col min="14" max="14" width="18.7109375" style="123" bestFit="1" customWidth="1"/>
    <col min="15" max="15" width="11.28515625" style="123" bestFit="1" customWidth="1"/>
    <col min="16" max="16384" width="9.140625" style="123"/>
  </cols>
  <sheetData>
    <row r="1" spans="1:15" ht="8.1" customHeight="1">
      <c r="A1" s="259"/>
      <c r="B1" s="121"/>
      <c r="C1" s="121"/>
      <c r="D1" s="258"/>
      <c r="E1" s="121"/>
      <c r="F1" s="121"/>
      <c r="G1" s="121"/>
      <c r="H1" s="121"/>
      <c r="I1" s="121"/>
      <c r="J1" s="121"/>
      <c r="K1" s="121"/>
      <c r="L1" s="121"/>
      <c r="M1" s="122"/>
    </row>
    <row r="2" spans="1:15" ht="51.95" customHeight="1">
      <c r="A2" s="259"/>
      <c r="B2" s="275" t="s">
        <v>108</v>
      </c>
      <c r="C2" s="275"/>
      <c r="D2" s="275"/>
      <c r="E2" s="275"/>
      <c r="F2" s="275"/>
      <c r="G2" s="124"/>
      <c r="H2" s="124"/>
      <c r="I2" s="124"/>
      <c r="J2" s="124"/>
      <c r="K2" s="124"/>
      <c r="L2" s="124"/>
      <c r="M2" s="124"/>
    </row>
    <row r="3" spans="1:15" ht="8.1" customHeight="1">
      <c r="A3" s="122"/>
      <c r="B3" s="150"/>
      <c r="C3" s="122"/>
      <c r="D3" s="122"/>
      <c r="E3" s="122"/>
      <c r="F3" s="122"/>
      <c r="G3" s="122"/>
      <c r="H3" s="122"/>
      <c r="I3" s="260"/>
      <c r="J3" s="122"/>
      <c r="K3" s="125"/>
      <c r="L3" s="126"/>
      <c r="M3" s="127"/>
    </row>
    <row r="4" spans="1:15" ht="15.95" customHeight="1">
      <c r="A4" s="122"/>
      <c r="B4" s="150"/>
      <c r="C4" s="150"/>
      <c r="D4" s="122"/>
      <c r="E4" s="261"/>
      <c r="F4" s="261"/>
      <c r="G4" s="261"/>
      <c r="H4" s="261"/>
      <c r="I4" s="260"/>
      <c r="J4" s="128"/>
      <c r="K4" s="128"/>
      <c r="L4" s="128"/>
      <c r="M4" s="129"/>
    </row>
    <row r="5" spans="1:15" ht="15.95" customHeight="1">
      <c r="A5" s="122"/>
      <c r="B5" s="131" t="s">
        <v>109</v>
      </c>
      <c r="C5" s="131" t="s">
        <v>2</v>
      </c>
      <c r="D5" s="131" t="s">
        <v>3</v>
      </c>
      <c r="E5" s="132" t="s">
        <v>4</v>
      </c>
      <c r="F5" s="132" t="s">
        <v>5</v>
      </c>
      <c r="G5" s="123" t="s">
        <v>6</v>
      </c>
      <c r="H5" s="123" t="s">
        <v>7</v>
      </c>
      <c r="I5" s="133"/>
      <c r="J5" s="131" t="s">
        <v>110</v>
      </c>
      <c r="K5" s="131" t="s">
        <v>2</v>
      </c>
      <c r="L5" s="131" t="s">
        <v>3</v>
      </c>
      <c r="M5" s="132" t="s">
        <v>9</v>
      </c>
      <c r="N5" s="123" t="s">
        <v>6</v>
      </c>
      <c r="O5" s="123" t="s">
        <v>7</v>
      </c>
    </row>
    <row r="6" spans="1:15" ht="15.75" customHeight="1">
      <c r="A6" s="122"/>
      <c r="B6" s="148" t="s">
        <v>111</v>
      </c>
      <c r="C6" s="145">
        <v>200</v>
      </c>
      <c r="D6" s="145"/>
      <c r="E6" s="146"/>
      <c r="F6" s="147" t="s">
        <v>11</v>
      </c>
      <c r="G6" s="154">
        <f>IF(Table1271417[[#This Row],[Form ]]= "Bank", Table1271417[[#This Row],[Projected Cost]],0)</f>
        <v>0</v>
      </c>
      <c r="H6" s="154">
        <f>IF(Table1271417[[#This Row],[Form ]]="Cash", Table1271417[[#This Row],[Projected Cost]],0)</f>
        <v>200</v>
      </c>
      <c r="I6" s="151"/>
      <c r="J6" s="148" t="s">
        <v>112</v>
      </c>
      <c r="K6" s="145"/>
      <c r="L6" s="145">
        <v>10</v>
      </c>
      <c r="M6" s="147" t="s">
        <v>7</v>
      </c>
      <c r="N6" s="154">
        <f>IF(Table2382527[[#This Row],[Form]]= "Bank", Table2382527[[#This Row],[Projected Cost]],0)</f>
        <v>0</v>
      </c>
      <c r="O6" s="154">
        <f>IF(Table2382527[[#This Row],[Form]]="Cash", Table2382527[[#This Row],[Projected Cost]],0)</f>
        <v>0</v>
      </c>
    </row>
    <row r="7" spans="1:15" ht="15.75" customHeight="1">
      <c r="A7" s="122"/>
      <c r="B7" s="148" t="s">
        <v>113</v>
      </c>
      <c r="C7" s="145">
        <v>10</v>
      </c>
      <c r="D7" s="145"/>
      <c r="E7" s="146"/>
      <c r="F7" s="147" t="s">
        <v>11</v>
      </c>
      <c r="G7" s="154">
        <f>IF(Table1271417[[#This Row],[Form ]]= "Bank", Table1271417[[#This Row],[Projected Cost]],0)</f>
        <v>0</v>
      </c>
      <c r="H7" s="154">
        <f>IF(Table1271417[[#This Row],[Form ]]="Cash", Table1271417[[#This Row],[Projected Cost]],0)</f>
        <v>10</v>
      </c>
      <c r="I7" s="151"/>
      <c r="J7" s="148" t="s">
        <v>114</v>
      </c>
      <c r="K7" s="145">
        <v>100</v>
      </c>
      <c r="L7" s="145"/>
      <c r="M7" s="147" t="s">
        <v>7</v>
      </c>
      <c r="N7" s="154">
        <f>IF(Table2382527[[#This Row],[Form]]= "Bank", Table2382527[[#This Row],[Projected Cost]],0)</f>
        <v>0</v>
      </c>
      <c r="O7" s="154">
        <f>IF(Table2382527[[#This Row],[Form]]="Cash", Table2382527[[#This Row],[Projected Cost]],0)</f>
        <v>100</v>
      </c>
    </row>
    <row r="8" spans="1:15" ht="15.75" customHeight="1">
      <c r="A8" s="122"/>
      <c r="B8" s="148" t="s">
        <v>115</v>
      </c>
      <c r="C8" s="145">
        <v>50</v>
      </c>
      <c r="D8" s="145"/>
      <c r="E8" s="146"/>
      <c r="F8" s="147" t="s">
        <v>11</v>
      </c>
      <c r="G8" s="154">
        <f>IF(Table1271417[[#This Row],[Form ]]= "Bank", Table1271417[[#This Row],[Projected Cost]],0)</f>
        <v>0</v>
      </c>
      <c r="H8" s="154">
        <f>IF(Table1271417[[#This Row],[Form ]]="Cash", Table1271417[[#This Row],[Projected Cost]],0)</f>
        <v>50</v>
      </c>
      <c r="I8" s="151"/>
      <c r="J8" s="148" t="s">
        <v>116</v>
      </c>
      <c r="K8" s="145">
        <v>0</v>
      </c>
      <c r="L8" s="145">
        <v>20</v>
      </c>
      <c r="M8" s="147" t="s">
        <v>7</v>
      </c>
      <c r="N8" s="154">
        <f>IF(Table2382527[[#This Row],[Form]]= "Bank", Table2382527[[#This Row],[Projected Cost]],0)</f>
        <v>0</v>
      </c>
      <c r="O8" s="154">
        <f>IF(Table2382527[[#This Row],[Form]]="Cash", Table2382527[[#This Row],[Projected Cost]],0)</f>
        <v>0</v>
      </c>
    </row>
    <row r="9" spans="1:15" ht="15.75" customHeight="1">
      <c r="A9" s="122"/>
      <c r="B9" s="148" t="s">
        <v>117</v>
      </c>
      <c r="C9" s="145"/>
      <c r="D9" s="145"/>
      <c r="E9" s="146"/>
      <c r="F9" s="147" t="s">
        <v>11</v>
      </c>
      <c r="G9" s="154">
        <f>IF(Table1271417[[#This Row],[Form ]]= "Bank", Table1271417[[#This Row],[Projected Cost]],0)</f>
        <v>0</v>
      </c>
      <c r="H9" s="154">
        <f>IF(Table1271417[[#This Row],[Form ]]="Cash", Table1271417[[#This Row],[Projected Cost]],0)</f>
        <v>0</v>
      </c>
      <c r="I9" s="151"/>
      <c r="J9" s="148" t="s">
        <v>118</v>
      </c>
      <c r="K9" s="145">
        <v>40</v>
      </c>
      <c r="L9" s="145">
        <v>0</v>
      </c>
      <c r="M9" s="147" t="s">
        <v>7</v>
      </c>
      <c r="N9" s="154">
        <f>IF(Table2382527[[#This Row],[Form]]= "Bank", Table2382527[[#This Row],[Projected Cost]],0)</f>
        <v>0</v>
      </c>
      <c r="O9" s="154">
        <f>IF(Table2382527[[#This Row],[Form]]="Cash", Table2382527[[#This Row],[Projected Cost]],0)</f>
        <v>40</v>
      </c>
    </row>
    <row r="10" spans="1:15" ht="15.75" customHeight="1">
      <c r="A10" s="122"/>
      <c r="B10" s="148" t="s">
        <v>119</v>
      </c>
      <c r="C10" s="145"/>
      <c r="D10" s="145"/>
      <c r="E10" s="146"/>
      <c r="F10" s="147" t="s">
        <v>11</v>
      </c>
      <c r="G10" s="154">
        <f>IF(Table1271417[[#This Row],[Form ]]= "Bank", Table1271417[[#This Row],[Projected Cost]],0)</f>
        <v>0</v>
      </c>
      <c r="H10" s="154">
        <f>IF(Table1271417[[#This Row],[Form ]]="Cash", Table1271417[[#This Row],[Projected Cost]],0)</f>
        <v>0</v>
      </c>
      <c r="I10" s="151"/>
      <c r="J10" s="148" t="s">
        <v>120</v>
      </c>
      <c r="K10" s="145">
        <v>0</v>
      </c>
      <c r="L10" s="145"/>
      <c r="M10" s="147" t="s">
        <v>7</v>
      </c>
      <c r="N10" s="154">
        <f>IF(Table2382527[[#This Row],[Form]]= "Bank", Table2382527[[#This Row],[Projected Cost]],0)</f>
        <v>0</v>
      </c>
      <c r="O10" s="154">
        <f>IF(Table2382527[[#This Row],[Form]]="Cash", Table2382527[[#This Row],[Projected Cost]],0)</f>
        <v>0</v>
      </c>
    </row>
    <row r="11" spans="1:15" ht="15.75" customHeight="1">
      <c r="A11" s="122"/>
      <c r="B11" s="148" t="s">
        <v>121</v>
      </c>
      <c r="C11" s="145">
        <v>40</v>
      </c>
      <c r="D11" s="145"/>
      <c r="E11" s="146"/>
      <c r="F11" s="147" t="s">
        <v>7</v>
      </c>
      <c r="G11" s="154">
        <f>IF(Table1271417[[#This Row],[Form ]]= "Bank", Table1271417[[#This Row],[Projected Cost]],0)</f>
        <v>0</v>
      </c>
      <c r="H11" s="154">
        <f>IF(Table1271417[[#This Row],[Form ]]="Cash", Table1271417[[#This Row],[Projected Cost]],0)</f>
        <v>40</v>
      </c>
      <c r="I11" s="151"/>
      <c r="J11" s="148" t="s">
        <v>122</v>
      </c>
      <c r="K11" s="145">
        <v>30</v>
      </c>
      <c r="L11" s="145">
        <v>10</v>
      </c>
      <c r="M11" s="147" t="s">
        <v>7</v>
      </c>
      <c r="N11" s="154">
        <f>IF(Table2382527[[#This Row],[Form]]= "Bank", Table2382527[[#This Row],[Projected Cost]],0)</f>
        <v>0</v>
      </c>
      <c r="O11" s="154">
        <f>IF(Table2382527[[#This Row],[Form]]="Cash", Table2382527[[#This Row],[Projected Cost]],0)</f>
        <v>30</v>
      </c>
    </row>
    <row r="12" spans="1:15" ht="15.75" customHeight="1">
      <c r="A12" s="122"/>
      <c r="B12" s="148" t="s">
        <v>123</v>
      </c>
      <c r="C12" s="145"/>
      <c r="D12" s="145"/>
      <c r="E12" s="146"/>
      <c r="F12" s="147" t="s">
        <v>7</v>
      </c>
      <c r="G12" s="154">
        <f>IF(Table1271417[[#This Row],[Form ]]= "Bank", Table1271417[[#This Row],[Projected Cost]],0)</f>
        <v>0</v>
      </c>
      <c r="H12" s="154">
        <f>IF(Table1271417[[#This Row],[Form ]]="Cash", Table1271417[[#This Row],[Projected Cost]],0)</f>
        <v>0</v>
      </c>
      <c r="I12" s="151"/>
      <c r="J12" s="148" t="s">
        <v>124</v>
      </c>
      <c r="K12" s="145">
        <v>20</v>
      </c>
      <c r="L12" s="145">
        <v>40</v>
      </c>
      <c r="M12" s="147" t="s">
        <v>7</v>
      </c>
      <c r="N12" s="154">
        <f>IF(Table2382527[[#This Row],[Form]]= "Bank", Table2382527[[#This Row],[Projected Cost]],0)</f>
        <v>0</v>
      </c>
      <c r="O12" s="154">
        <f>IF(Table2382527[[#This Row],[Form]]="Cash", Table2382527[[#This Row],[Projected Cost]],0)</f>
        <v>20</v>
      </c>
    </row>
    <row r="13" spans="1:15" ht="15.75" customHeight="1">
      <c r="A13" s="122"/>
      <c r="B13" s="148" t="s">
        <v>125</v>
      </c>
      <c r="C13" s="145">
        <v>100</v>
      </c>
      <c r="D13" s="145"/>
      <c r="E13" s="146"/>
      <c r="F13" s="147" t="s">
        <v>7</v>
      </c>
      <c r="G13" s="154">
        <f>IF(Table1271417[[#This Row],[Form ]]= "Bank", Table1271417[[#This Row],[Projected Cost]],0)</f>
        <v>0</v>
      </c>
      <c r="H13" s="154">
        <f>IF(Table1271417[[#This Row],[Form ]]="Cash", Table1271417[[#This Row],[Projected Cost]],0)</f>
        <v>100</v>
      </c>
      <c r="I13" s="151"/>
      <c r="J13" s="148" t="s">
        <v>126</v>
      </c>
      <c r="K13" s="145">
        <v>48</v>
      </c>
      <c r="L13" s="145">
        <v>10</v>
      </c>
      <c r="M13" s="147" t="s">
        <v>7</v>
      </c>
      <c r="N13" s="154">
        <f>IF(Table2382527[[#This Row],[Form]]= "Bank", Table2382527[[#This Row],[Projected Cost]],0)</f>
        <v>0</v>
      </c>
      <c r="O13" s="154">
        <f>IF(Table2382527[[#This Row],[Form]]="Cash", Table2382527[[#This Row],[Projected Cost]],0)</f>
        <v>48</v>
      </c>
    </row>
    <row r="14" spans="1:15" ht="15.75" customHeight="1">
      <c r="A14" s="122"/>
      <c r="B14" s="148" t="s">
        <v>127</v>
      </c>
      <c r="C14" s="145"/>
      <c r="D14" s="145"/>
      <c r="E14" s="146"/>
      <c r="F14" s="147" t="s">
        <v>7</v>
      </c>
      <c r="G14" s="154">
        <f>IF(Table1271417[[#This Row],[Form ]]= "Bank", Table1271417[[#This Row],[Projected Cost]],0)</f>
        <v>0</v>
      </c>
      <c r="H14" s="154">
        <f>IF(Table1271417[[#This Row],[Form ]]="Cash", Table1271417[[#This Row],[Projected Cost]],0)</f>
        <v>0</v>
      </c>
      <c r="I14" s="151"/>
      <c r="J14" s="190" t="s">
        <v>128</v>
      </c>
      <c r="K14" s="145">
        <v>0</v>
      </c>
      <c r="L14" s="145"/>
      <c r="M14" s="147" t="s">
        <v>7</v>
      </c>
      <c r="N14" s="154">
        <f>IF(Table2382527[[#This Row],[Form]]= "Bank", Table2382527[[#This Row],[Projected Cost]],0)</f>
        <v>0</v>
      </c>
      <c r="O14" s="154">
        <f>IF(Table2382527[[#This Row],[Form]]="Cash", Table2382527[[#This Row],[Projected Cost]],0)</f>
        <v>0</v>
      </c>
    </row>
    <row r="15" spans="1:15" ht="15.75" customHeight="1">
      <c r="A15" s="122"/>
      <c r="B15" s="148" t="s">
        <v>129</v>
      </c>
      <c r="C15" s="145">
        <v>20</v>
      </c>
      <c r="D15" s="145"/>
      <c r="E15" s="146"/>
      <c r="F15" s="147" t="s">
        <v>7</v>
      </c>
      <c r="G15" s="154">
        <f>IF(Table1271417[[#This Row],[Form ]]= "Bank", Table1271417[[#This Row],[Projected Cost]],0)</f>
        <v>0</v>
      </c>
      <c r="H15" s="154">
        <f>IF(Table1271417[[#This Row],[Form ]]="Cash", Table1271417[[#This Row],[Projected Cost]],0)</f>
        <v>20</v>
      </c>
      <c r="I15" s="151"/>
      <c r="J15" s="130" t="s">
        <v>23</v>
      </c>
      <c r="K15" s="135">
        <f>SUBTOTAL(109,Table2382527[Projected Cost])</f>
        <v>238</v>
      </c>
      <c r="L15" s="135">
        <f>SUBTOTAL(109,Table2382527[Actual Cost])</f>
        <v>90</v>
      </c>
      <c r="M15" s="135">
        <f>SUBTOTAL(109,Table2382527[Form])</f>
        <v>0</v>
      </c>
      <c r="N15" s="135">
        <f>SUBTOTAL(109,Table2382527[Bank])/2</f>
        <v>0</v>
      </c>
      <c r="O15" s="135">
        <f>SUBTOTAL(109,Table2382527[Cash])/2</f>
        <v>119</v>
      </c>
    </row>
    <row r="16" spans="1:15" ht="15.75" customHeight="1">
      <c r="A16" s="122"/>
      <c r="B16" s="130" t="s">
        <v>23</v>
      </c>
      <c r="C16" s="134">
        <f>SUBTOTAL(109,Table1271417[Projected Cost])</f>
        <v>420</v>
      </c>
      <c r="D16" s="134"/>
      <c r="E16" s="136"/>
      <c r="F16" s="137"/>
      <c r="G16" s="236">
        <f>SUBTOTAL(109,Table1271417[Bank])/2</f>
        <v>0</v>
      </c>
      <c r="H16" s="236">
        <f>SUBTOTAL(109,Table1271417[Cash])/2</f>
        <v>210</v>
      </c>
      <c r="I16" s="151"/>
      <c r="J16" s="315"/>
      <c r="K16" s="315"/>
      <c r="L16" s="315"/>
      <c r="M16" s="315"/>
    </row>
    <row r="17" spans="1:15" ht="15.75" customHeight="1">
      <c r="A17" s="122"/>
      <c r="B17" s="151"/>
      <c r="C17" s="151"/>
      <c r="D17" s="151"/>
      <c r="E17" s="151"/>
      <c r="F17" s="151"/>
      <c r="G17" s="151"/>
      <c r="H17" s="151"/>
      <c r="I17" s="151"/>
      <c r="J17" s="149" t="s">
        <v>0</v>
      </c>
      <c r="K17" s="131" t="s">
        <v>2</v>
      </c>
      <c r="L17" s="131" t="s">
        <v>3</v>
      </c>
      <c r="M17" s="132" t="s">
        <v>9</v>
      </c>
      <c r="N17" s="123" t="s">
        <v>6</v>
      </c>
      <c r="O17" s="123" t="s">
        <v>7</v>
      </c>
    </row>
    <row r="18" spans="1:15" ht="15.75" customHeight="1">
      <c r="A18" s="122"/>
      <c r="B18" s="149" t="s">
        <v>130</v>
      </c>
      <c r="C18" s="152" t="s">
        <v>2</v>
      </c>
      <c r="D18" s="152" t="s">
        <v>3</v>
      </c>
      <c r="E18" s="153" t="s">
        <v>4</v>
      </c>
      <c r="F18" s="152" t="s">
        <v>5</v>
      </c>
      <c r="G18" s="131" t="s">
        <v>6</v>
      </c>
      <c r="H18" s="131" t="s">
        <v>7</v>
      </c>
      <c r="I18" s="151"/>
      <c r="J18" s="271" t="s">
        <v>131</v>
      </c>
      <c r="K18" s="134">
        <f>'Financial Security'!M51</f>
        <v>3792.5</v>
      </c>
      <c r="L18" s="145">
        <v>60</v>
      </c>
      <c r="M18" s="146" t="s">
        <v>7</v>
      </c>
      <c r="N18" s="154">
        <f>IF(Table5321918[[#This Row],[Form]]= "Bank", Table5321918[[#This Row],[Projected Cost]],0)</f>
        <v>0</v>
      </c>
      <c r="O18" s="154">
        <f>IF(Table5321918[[#This Row],[Form]]="Cash", Table5321918[[#This Row],[Projected Cost]],0)</f>
        <v>3792.5</v>
      </c>
    </row>
    <row r="19" spans="1:15" ht="15.75" customHeight="1">
      <c r="A19" s="122"/>
      <c r="B19" s="148" t="s">
        <v>132</v>
      </c>
      <c r="C19" s="145">
        <v>40</v>
      </c>
      <c r="D19" s="145">
        <v>0</v>
      </c>
      <c r="E19" s="146">
        <f>Table3342122[[#This Row],[Projected Cost]]-Table3342122[[#This Row],[Actual Cost]]</f>
        <v>40</v>
      </c>
      <c r="F19" s="146" t="s">
        <v>7</v>
      </c>
      <c r="G19" s="154">
        <f>IF(Table3342122[[#This Row],[Form ]]= "Bank", Table3342122[[#This Row],[Projected Cost]],0)</f>
        <v>0</v>
      </c>
      <c r="H19" s="154">
        <f>IF(Table3342122[[#This Row],[Form ]]="Cash", Table3342122[[#This Row],[Projected Cost]],0)</f>
        <v>40</v>
      </c>
      <c r="I19" s="151"/>
      <c r="J19" s="190"/>
      <c r="K19" s="145">
        <f>'Financial Security'!M52</f>
        <v>0</v>
      </c>
      <c r="L19" s="145">
        <v>20</v>
      </c>
      <c r="M19" s="146" t="s">
        <v>6</v>
      </c>
      <c r="N19" s="155">
        <f>IF(Table5321918[[#This Row],[Form]]= "Bank", Table5321918[[#This Row],[Projected Cost]],0)</f>
        <v>0</v>
      </c>
      <c r="O19" s="155">
        <f>IF(Table5321918[[#This Row],[Form]]="Cash", Table5321918[[#This Row],[Projected Cost]],0)</f>
        <v>0</v>
      </c>
    </row>
    <row r="20" spans="1:15" ht="15.75" customHeight="1">
      <c r="A20" s="122"/>
      <c r="B20" s="148" t="s">
        <v>133</v>
      </c>
      <c r="C20" s="145">
        <v>200</v>
      </c>
      <c r="D20" s="145">
        <v>30</v>
      </c>
      <c r="E20" s="146">
        <f>Table3342122[[#This Row],[Projected Cost]]-Table3342122[[#This Row],[Actual Cost]]</f>
        <v>170</v>
      </c>
      <c r="F20" s="146" t="s">
        <v>7</v>
      </c>
      <c r="G20" s="154">
        <f>IF(Table3342122[[#This Row],[Form ]]= "Bank", Table3342122[[#This Row],[Projected Cost]],0)</f>
        <v>0</v>
      </c>
      <c r="H20" s="154">
        <f>IF(Table3342122[[#This Row],[Form ]]="Cash", Table3342122[[#This Row],[Projected Cost]],0)</f>
        <v>200</v>
      </c>
      <c r="I20" s="151"/>
      <c r="J20" s="148"/>
      <c r="K20" s="145">
        <f>'Financial Security'!M53</f>
        <v>0</v>
      </c>
      <c r="L20" s="145"/>
      <c r="M20" s="146"/>
      <c r="N20" s="155">
        <f>IF(Table5321918[[#This Row],[Form]]= "Bank", Table5321918[[#This Row],[Projected Cost]],0)</f>
        <v>0</v>
      </c>
      <c r="O20" s="155">
        <f>IF(Table5321918[[#This Row],[Form]]="Cash", Table5321918[[#This Row],[Projected Cost]],0)</f>
        <v>0</v>
      </c>
    </row>
    <row r="21" spans="1:15" ht="15.75" customHeight="1">
      <c r="A21" s="122"/>
      <c r="B21" s="148" t="s">
        <v>134</v>
      </c>
      <c r="C21" s="145"/>
      <c r="D21" s="145"/>
      <c r="E21" s="146">
        <f>Table3342122[[#This Row],[Projected Cost]]-Table3342122[[#This Row],[Actual Cost]]</f>
        <v>0</v>
      </c>
      <c r="F21" s="146" t="s">
        <v>7</v>
      </c>
      <c r="G21" s="154">
        <f>IF(Table3342122[[#This Row],[Form ]]= "Bank", Table3342122[[#This Row],[Projected Cost]],0)</f>
        <v>0</v>
      </c>
      <c r="H21" s="154">
        <f>IF(Table3342122[[#This Row],[Form ]]="Cash", Table3342122[[#This Row],[Projected Cost]],0)</f>
        <v>0</v>
      </c>
      <c r="I21" s="151"/>
      <c r="J21" s="130" t="s">
        <v>23</v>
      </c>
      <c r="K21" s="134">
        <f>SUBTOTAL(109,Table5321918[Projected Cost])</f>
        <v>3792.5</v>
      </c>
      <c r="L21" s="134">
        <f>SUBTOTAL(109,Table5321918[Actual Cost])</f>
        <v>80</v>
      </c>
      <c r="M21" s="134">
        <f>SUBTOTAL(109,Table5321918[Form])</f>
        <v>0</v>
      </c>
      <c r="N21" s="134">
        <f>SUBTOTAL(109,Table5321918[Bank])</f>
        <v>0</v>
      </c>
      <c r="O21" s="134">
        <f>SUBTOTAL(109,Table5321918[Cash])</f>
        <v>3792.5</v>
      </c>
    </row>
    <row r="22" spans="1:15" ht="15.75" customHeight="1">
      <c r="A22" s="122"/>
      <c r="B22" s="148"/>
      <c r="C22" s="145"/>
      <c r="D22" s="264"/>
      <c r="E22" s="265">
        <f>Table3342122[[#This Row],[Projected Cost]]-Table3342122[[#This Row],[Actual Cost]]</f>
        <v>0</v>
      </c>
      <c r="F22" s="146" t="s">
        <v>7</v>
      </c>
      <c r="G22" s="154">
        <f>IF(Table3342122[[#This Row],[Form ]]= "Bank", Table3342122[[#This Row],[Projected Cost]],0)</f>
        <v>0</v>
      </c>
      <c r="H22" s="154">
        <f>IF(Table3342122[[#This Row],[Form ]]="Cash", Table3342122[[#This Row],[Projected Cost]],0)</f>
        <v>0</v>
      </c>
      <c r="I22" s="151"/>
      <c r="J22" s="262"/>
      <c r="K22" s="263"/>
      <c r="L22" s="263"/>
      <c r="M22" s="263"/>
      <c r="N22" s="263"/>
      <c r="O22" s="263"/>
    </row>
    <row r="23" spans="1:15" ht="15.75" customHeight="1">
      <c r="A23" s="122"/>
      <c r="B23" s="148"/>
      <c r="C23" s="145"/>
      <c r="D23" s="145">
        <v>20</v>
      </c>
      <c r="E23" s="146">
        <f>Table3342122[[#This Row],[Projected Cost]]-Table3342122[[#This Row],[Actual Cost]]</f>
        <v>-20</v>
      </c>
      <c r="F23" s="146" t="s">
        <v>7</v>
      </c>
      <c r="G23" s="154">
        <f>IF(Table3342122[[#This Row],[Form ]]= "Bank", Table3342122[[#This Row],[Projected Cost]],0)</f>
        <v>0</v>
      </c>
      <c r="H23" s="154">
        <f>IF(Table3342122[[#This Row],[Form ]]="Cash", Table3342122[[#This Row],[Projected Cost]],0)</f>
        <v>0</v>
      </c>
      <c r="I23" s="151"/>
    </row>
    <row r="24" spans="1:15" ht="15.75" customHeight="1">
      <c r="A24" s="122"/>
      <c r="B24" s="130" t="s">
        <v>23</v>
      </c>
      <c r="C24" s="134">
        <f>SUBTOTAL(109,Table3342122[Projected Cost])</f>
        <v>240</v>
      </c>
      <c r="D24" s="134">
        <f>SUBTOTAL(109,Table3342122[Actual Cost])</f>
        <v>50</v>
      </c>
      <c r="E24" s="134">
        <f>SUBTOTAL(109,Table3342122[Difference])</f>
        <v>190</v>
      </c>
      <c r="F24" s="134">
        <f>SUBTOTAL(109,Table3342122[[Form ]])</f>
        <v>0</v>
      </c>
      <c r="G24" s="134">
        <f>SUBTOTAL(109,Table3342122[Bank])/2</f>
        <v>0</v>
      </c>
      <c r="H24" s="134">
        <f>SUBTOTAL(109,Table3342122[Cash])/2</f>
        <v>120</v>
      </c>
      <c r="I24" s="151"/>
      <c r="J24" s="157" t="s">
        <v>135</v>
      </c>
      <c r="K24" s="157"/>
      <c r="L24" s="158"/>
      <c r="M24" s="158"/>
    </row>
    <row r="25" spans="1:15" ht="15.75" customHeight="1">
      <c r="A25" s="122"/>
      <c r="B25" s="151"/>
      <c r="C25" s="151"/>
      <c r="D25" s="151"/>
      <c r="E25" s="151"/>
      <c r="F25" s="151"/>
      <c r="G25" s="151"/>
      <c r="H25" s="151"/>
      <c r="I25" s="151"/>
      <c r="J25" s="302" t="s">
        <v>136</v>
      </c>
      <c r="K25" s="303"/>
      <c r="L25" s="308"/>
      <c r="M25" s="316">
        <f>Table5321918[[#Totals],[Projected Cost]]+Table2382527[[#Totals],[Cash]]+Table1271417[[#Totals],[Cash]]+Table3342122[[#Totals],[Cash]]</f>
        <v>4241.5</v>
      </c>
    </row>
    <row r="26" spans="1:15" ht="15.75" customHeight="1">
      <c r="A26" s="122"/>
      <c r="I26" s="151"/>
      <c r="J26" s="304"/>
      <c r="K26" s="305"/>
      <c r="L26" s="309"/>
      <c r="M26" s="311"/>
    </row>
    <row r="27" spans="1:15" ht="15.75" customHeight="1">
      <c r="A27" s="122"/>
      <c r="B27" s="166" t="s">
        <v>55</v>
      </c>
      <c r="C27" s="120" t="s">
        <v>137</v>
      </c>
      <c r="I27" s="151"/>
      <c r="J27" s="250" t="s">
        <v>138</v>
      </c>
      <c r="K27" s="251"/>
      <c r="L27" s="252"/>
      <c r="M27" s="256">
        <f>12*M25</f>
        <v>50898</v>
      </c>
    </row>
    <row r="28" spans="1:15" ht="15.75" customHeight="1">
      <c r="A28" s="122"/>
      <c r="B28" s="156" t="s">
        <v>57</v>
      </c>
      <c r="C28" s="143" t="s">
        <v>58</v>
      </c>
      <c r="D28" s="143" t="s">
        <v>59</v>
      </c>
      <c r="E28" s="143" t="s">
        <v>60</v>
      </c>
      <c r="F28" s="143" t="s">
        <v>61</v>
      </c>
      <c r="G28" s="143" t="s">
        <v>62</v>
      </c>
      <c r="H28" s="143" t="s">
        <v>63</v>
      </c>
      <c r="I28" s="151"/>
      <c r="J28" s="253"/>
      <c r="K28" s="254"/>
      <c r="L28" s="255"/>
      <c r="M28" s="257"/>
      <c r="N28" s="191"/>
    </row>
    <row r="29" spans="1:15" ht="15.75" customHeight="1">
      <c r="A29" s="122"/>
      <c r="B29" s="143" t="s">
        <v>64</v>
      </c>
      <c r="C29" s="143"/>
      <c r="D29" s="143"/>
      <c r="E29" s="143"/>
      <c r="F29" s="143"/>
      <c r="G29" s="143"/>
      <c r="H29" s="143"/>
      <c r="I29" s="151"/>
      <c r="J29" s="302" t="s">
        <v>51</v>
      </c>
      <c r="K29" s="303"/>
      <c r="L29" s="329"/>
      <c r="M29" s="306">
        <v>25</v>
      </c>
    </row>
    <row r="30" spans="1:15" ht="15.75" customHeight="1">
      <c r="A30" s="122"/>
      <c r="B30" s="143" t="s">
        <v>65</v>
      </c>
      <c r="C30" s="143"/>
      <c r="D30" s="143"/>
      <c r="E30" s="143"/>
      <c r="F30" s="143"/>
      <c r="G30" s="143"/>
      <c r="H30" s="143"/>
      <c r="I30" s="151"/>
      <c r="J30" s="304"/>
      <c r="K30" s="305"/>
      <c r="L30" s="330"/>
      <c r="M30" s="307"/>
    </row>
    <row r="31" spans="1:15" ht="15.75" customHeight="1">
      <c r="A31" s="122"/>
      <c r="B31" s="143" t="s">
        <v>66</v>
      </c>
      <c r="C31" s="143"/>
      <c r="D31" s="143"/>
      <c r="E31" s="143"/>
      <c r="F31" s="143"/>
      <c r="G31" s="143"/>
      <c r="H31" s="143"/>
      <c r="I31" s="151"/>
      <c r="J31" s="302" t="s">
        <v>139</v>
      </c>
      <c r="K31" s="303"/>
      <c r="L31" s="308"/>
      <c r="M31" s="310">
        <f>M27*M29</f>
        <v>1272450</v>
      </c>
    </row>
    <row r="32" spans="1:15" ht="15.75" customHeight="1">
      <c r="A32" s="122"/>
      <c r="B32" s="143" t="s">
        <v>67</v>
      </c>
      <c r="C32" s="143"/>
      <c r="D32" s="143"/>
      <c r="E32" s="143"/>
      <c r="F32" s="143"/>
      <c r="G32" s="143"/>
      <c r="H32" s="143"/>
      <c r="I32" s="151"/>
      <c r="J32" s="304"/>
      <c r="K32" s="305"/>
      <c r="L32" s="309"/>
      <c r="M32" s="311"/>
      <c r="N32" s="138"/>
      <c r="O32" s="195"/>
    </row>
    <row r="33" spans="1:15" ht="15.75" customHeight="1">
      <c r="A33" s="122"/>
      <c r="B33" s="143" t="s">
        <v>68</v>
      </c>
      <c r="C33" s="143"/>
      <c r="D33" s="143"/>
      <c r="E33" s="143"/>
      <c r="F33" s="143"/>
      <c r="G33" s="143"/>
      <c r="H33" s="143"/>
      <c r="I33" s="151"/>
      <c r="N33" s="138"/>
      <c r="O33" s="195"/>
    </row>
    <row r="34" spans="1:15" ht="15.75" customHeight="1">
      <c r="A34" s="122"/>
      <c r="B34" s="143" t="s">
        <v>70</v>
      </c>
      <c r="C34" s="143"/>
      <c r="D34" s="143"/>
      <c r="E34" s="143"/>
      <c r="F34" s="143"/>
      <c r="G34" s="143"/>
      <c r="H34" s="143"/>
      <c r="I34" s="151"/>
      <c r="J34" s="157" t="s">
        <v>140</v>
      </c>
      <c r="K34" s="157"/>
      <c r="L34" s="158"/>
      <c r="M34" s="157"/>
      <c r="N34" s="157"/>
    </row>
    <row r="35" spans="1:15">
      <c r="B35" s="143" t="s">
        <v>71</v>
      </c>
      <c r="C35" s="143"/>
      <c r="D35" s="143"/>
      <c r="E35" s="143"/>
      <c r="F35" s="143"/>
      <c r="G35" s="143"/>
      <c r="H35" s="143"/>
      <c r="J35" s="120" t="s">
        <v>141</v>
      </c>
      <c r="K35" s="159"/>
      <c r="L35" s="159"/>
      <c r="M35" s="159"/>
      <c r="N35" s="159"/>
    </row>
    <row r="36" spans="1:15">
      <c r="B36" s="143" t="s">
        <v>73</v>
      </c>
      <c r="C36" s="143"/>
      <c r="D36" s="143"/>
      <c r="E36" s="143"/>
      <c r="F36" s="143"/>
      <c r="G36" s="143"/>
      <c r="H36" s="143"/>
      <c r="J36" s="186" t="str">
        <f>Table1271417[[#Headers],[PERSONAL CARE]]</f>
        <v>PERSONAL CARE</v>
      </c>
      <c r="K36" s="187"/>
      <c r="L36" s="160"/>
      <c r="M36" s="161">
        <f>Table1271417[[#Totals],[Cash]]</f>
        <v>210</v>
      </c>
      <c r="N36" s="162">
        <f>M36/$M$41</f>
        <v>4.9510786278439231E-2</v>
      </c>
    </row>
    <row r="37" spans="1:15">
      <c r="B37" s="143" t="s">
        <v>76</v>
      </c>
      <c r="C37" s="143"/>
      <c r="D37" s="143"/>
      <c r="E37" s="143"/>
      <c r="F37" s="143"/>
      <c r="G37" s="143"/>
      <c r="H37" s="143"/>
      <c r="J37" s="186" t="str">
        <f>Table3342122[[#Headers],[LITTLE LUXURIES]]</f>
        <v>LITTLE LUXURIES</v>
      </c>
      <c r="K37" s="187"/>
      <c r="L37" s="160"/>
      <c r="M37" s="161">
        <f>Table3342122[[#Totals],[Cash]]</f>
        <v>120</v>
      </c>
      <c r="N37" s="162">
        <f>M37/$M$41</f>
        <v>2.8291877873393847E-2</v>
      </c>
    </row>
    <row r="38" spans="1:15">
      <c r="B38" s="143" t="s">
        <v>78</v>
      </c>
      <c r="C38" s="143"/>
      <c r="D38" s="143"/>
      <c r="E38" s="143"/>
      <c r="F38" s="143"/>
      <c r="G38" s="143"/>
      <c r="H38" s="143"/>
      <c r="J38" s="186" t="str">
        <f>Table2382527[[#Headers],[ENTERTAINMENT COSTS]]</f>
        <v>ENTERTAINMENT COSTS</v>
      </c>
      <c r="K38" s="187"/>
      <c r="L38" s="160"/>
      <c r="M38" s="161">
        <f>Table2382527[[#Totals],[Cash]]</f>
        <v>119</v>
      </c>
      <c r="N38" s="162">
        <f>M38/$M$41</f>
        <v>2.8056112224448898E-2</v>
      </c>
    </row>
    <row r="39" spans="1:15">
      <c r="B39" s="143" t="s">
        <v>80</v>
      </c>
      <c r="C39" s="143"/>
      <c r="D39" s="143"/>
      <c r="E39" s="143"/>
      <c r="F39" s="143"/>
      <c r="G39" s="143"/>
      <c r="H39" s="143"/>
      <c r="J39" s="186" t="str">
        <f>Table5321918[[#Headers],[FINANCIAL SECURITY]]</f>
        <v>FINANCIAL SECURITY</v>
      </c>
      <c r="K39" s="187"/>
      <c r="L39" s="160"/>
      <c r="M39" s="161">
        <f>Table5321918[[#Totals],[Projected Cost]]</f>
        <v>3792.5</v>
      </c>
      <c r="N39" s="162">
        <f>M39/$M$41</f>
        <v>0.89414122362371806</v>
      </c>
    </row>
    <row r="40" spans="1:15">
      <c r="B40" s="143" t="s">
        <v>82</v>
      </c>
      <c r="C40" s="143"/>
      <c r="D40" s="143"/>
      <c r="E40" s="143"/>
      <c r="F40" s="143"/>
      <c r="G40" s="143"/>
      <c r="H40" s="143"/>
      <c r="J40" s="186"/>
      <c r="K40" s="187"/>
      <c r="L40" s="160"/>
      <c r="M40" s="161"/>
      <c r="N40" s="162"/>
    </row>
    <row r="41" spans="1:15" ht="18">
      <c r="B41" s="156" t="s">
        <v>23</v>
      </c>
      <c r="C41" s="156">
        <f>SUM(C29:C40)</f>
        <v>0</v>
      </c>
      <c r="D41" s="156">
        <f t="shared" ref="D41:H41" si="0">SUM(D29:D40)</f>
        <v>0</v>
      </c>
      <c r="E41" s="156">
        <f t="shared" si="0"/>
        <v>0</v>
      </c>
      <c r="F41" s="156">
        <f t="shared" si="0"/>
        <v>0</v>
      </c>
      <c r="G41" s="156">
        <f t="shared" si="0"/>
        <v>0</v>
      </c>
      <c r="H41" s="156">
        <f t="shared" si="0"/>
        <v>0</v>
      </c>
      <c r="J41" s="188" t="s">
        <v>69</v>
      </c>
      <c r="K41" s="189"/>
      <c r="L41" s="165"/>
      <c r="M41" s="163">
        <f>SUM(M36:M40)</f>
        <v>4241.5</v>
      </c>
      <c r="N41" s="164">
        <f>M41/$M$41</f>
        <v>1</v>
      </c>
    </row>
    <row r="42" spans="1:15">
      <c r="B42" s="143"/>
      <c r="C42" s="143"/>
      <c r="D42" s="143"/>
      <c r="E42" s="144"/>
      <c r="F42" s="144"/>
      <c r="G42" s="143"/>
      <c r="H42" s="143"/>
    </row>
    <row r="43" spans="1:15">
      <c r="B43" s="156" t="s">
        <v>57</v>
      </c>
      <c r="C43" s="143" t="s">
        <v>88</v>
      </c>
      <c r="D43" s="143" t="s">
        <v>60</v>
      </c>
      <c r="E43" s="143" t="s">
        <v>59</v>
      </c>
      <c r="F43" s="143" t="s">
        <v>89</v>
      </c>
      <c r="G43" s="143" t="s">
        <v>90</v>
      </c>
      <c r="H43" s="143" t="s">
        <v>91</v>
      </c>
      <c r="J43" s="322" t="s">
        <v>92</v>
      </c>
      <c r="K43" s="322"/>
      <c r="L43" s="322"/>
      <c r="M43" s="322"/>
      <c r="N43" s="322"/>
    </row>
    <row r="44" spans="1:15" ht="17.25">
      <c r="B44" s="143" t="s">
        <v>64</v>
      </c>
      <c r="C44" s="248">
        <f t="shared" ref="C44:H59" si="1">SUM(C30:C43)</f>
        <v>0</v>
      </c>
      <c r="D44" s="143"/>
      <c r="E44" s="144"/>
      <c r="F44" s="144"/>
      <c r="G44" s="143"/>
      <c r="H44" s="143"/>
      <c r="J44" s="323" t="s">
        <v>93</v>
      </c>
      <c r="K44" s="324"/>
      <c r="L44" s="324"/>
      <c r="M44" s="325"/>
      <c r="N44" s="245">
        <v>0</v>
      </c>
    </row>
    <row r="45" spans="1:15" ht="17.25">
      <c r="B45" s="143" t="s">
        <v>65</v>
      </c>
      <c r="C45" s="248">
        <f t="shared" si="1"/>
        <v>0</v>
      </c>
      <c r="D45" s="143"/>
      <c r="E45" s="144"/>
      <c r="F45" s="144"/>
      <c r="G45" s="143"/>
      <c r="H45" s="143"/>
      <c r="J45" s="318" t="s">
        <v>94</v>
      </c>
      <c r="K45" s="319"/>
      <c r="L45" s="319"/>
      <c r="M45" s="326"/>
      <c r="N45" s="238">
        <v>0.1358</v>
      </c>
    </row>
    <row r="46" spans="1:15" ht="17.25">
      <c r="B46" s="143" t="s">
        <v>66</v>
      </c>
      <c r="C46" s="248">
        <f t="shared" si="1"/>
        <v>0</v>
      </c>
      <c r="D46" s="143"/>
      <c r="E46" s="144"/>
      <c r="F46" s="144"/>
      <c r="G46" s="143"/>
      <c r="H46" s="143"/>
      <c r="J46" s="318" t="s">
        <v>95</v>
      </c>
      <c r="K46" s="319"/>
      <c r="L46" s="319"/>
      <c r="M46" s="320"/>
      <c r="N46" s="242">
        <v>15</v>
      </c>
    </row>
    <row r="47" spans="1:15" ht="17.25">
      <c r="B47" s="143" t="s">
        <v>67</v>
      </c>
      <c r="C47" s="248">
        <f t="shared" si="1"/>
        <v>0</v>
      </c>
      <c r="D47" s="143"/>
      <c r="E47" s="144"/>
      <c r="F47" s="144"/>
      <c r="G47" s="143"/>
      <c r="H47" s="143"/>
      <c r="J47" s="239" t="s">
        <v>96</v>
      </c>
      <c r="K47" s="240"/>
      <c r="L47" s="240"/>
      <c r="M47" s="241"/>
      <c r="N47" s="242">
        <v>12</v>
      </c>
    </row>
    <row r="48" spans="1:15" ht="17.25">
      <c r="B48" s="143" t="s">
        <v>68</v>
      </c>
      <c r="C48" s="248">
        <f t="shared" si="1"/>
        <v>0</v>
      </c>
      <c r="D48" s="143"/>
      <c r="E48" s="144"/>
      <c r="F48" s="144"/>
      <c r="G48" s="143"/>
      <c r="H48" s="243"/>
      <c r="J48" s="290" t="s">
        <v>97</v>
      </c>
      <c r="K48" s="291"/>
      <c r="L48" s="291"/>
      <c r="M48" s="292"/>
      <c r="N48" s="242">
        <v>3000</v>
      </c>
    </row>
    <row r="49" spans="1:15" ht="17.25">
      <c r="B49" s="143" t="s">
        <v>70</v>
      </c>
      <c r="C49" s="248">
        <f t="shared" si="1"/>
        <v>0</v>
      </c>
      <c r="D49" s="143"/>
      <c r="E49" s="143"/>
      <c r="F49" s="143"/>
      <c r="G49" s="143"/>
      <c r="H49" s="244"/>
      <c r="J49" s="290" t="str">
        <f>"Value after " &amp;TEXT(N46,"##") &amp; " years"</f>
        <v>Value after 15 years</v>
      </c>
      <c r="K49" s="291"/>
      <c r="L49" s="291"/>
      <c r="M49" s="292"/>
      <c r="N49" s="234">
        <f>FV(N45/N47,N46*N47,-N48,-N44)</f>
        <v>1744424.3448821043</v>
      </c>
    </row>
    <row r="50" spans="1:15" ht="17.25">
      <c r="B50" s="143"/>
      <c r="C50" s="248">
        <f t="shared" si="1"/>
        <v>0</v>
      </c>
      <c r="D50" s="143"/>
      <c r="E50" s="143"/>
      <c r="F50" s="143"/>
      <c r="G50" s="143"/>
      <c r="H50" s="143"/>
      <c r="J50" s="290" t="s">
        <v>99</v>
      </c>
      <c r="K50" s="291"/>
      <c r="L50" s="291"/>
      <c r="M50" s="292"/>
      <c r="N50" s="247">
        <f>N49/(N44+N48*N47*N46)</f>
        <v>3.2304154534853784</v>
      </c>
    </row>
    <row r="51" spans="1:15">
      <c r="B51" s="143" t="s">
        <v>71</v>
      </c>
      <c r="C51" s="248">
        <f t="shared" si="1"/>
        <v>0</v>
      </c>
      <c r="D51" s="143"/>
      <c r="E51" s="143"/>
      <c r="F51" s="143"/>
      <c r="G51" s="143"/>
      <c r="H51" s="143"/>
    </row>
    <row r="52" spans="1:15">
      <c r="B52" s="143" t="s">
        <v>73</v>
      </c>
      <c r="C52" s="248">
        <f t="shared" si="1"/>
        <v>0</v>
      </c>
      <c r="D52" s="143"/>
      <c r="E52" s="143"/>
      <c r="F52" s="143"/>
      <c r="G52" s="143"/>
      <c r="H52" s="143"/>
      <c r="J52" s="321" t="s">
        <v>100</v>
      </c>
      <c r="K52" s="321"/>
      <c r="L52" s="321"/>
      <c r="M52" s="321"/>
      <c r="N52" s="321"/>
    </row>
    <row r="53" spans="1:15" ht="17.25">
      <c r="B53" s="143" t="s">
        <v>76</v>
      </c>
      <c r="C53" s="248">
        <f t="shared" si="1"/>
        <v>0</v>
      </c>
      <c r="D53" s="143"/>
      <c r="E53" s="143"/>
      <c r="F53" s="143"/>
      <c r="G53" s="143"/>
      <c r="H53" s="143"/>
      <c r="J53" s="327" t="s">
        <v>101</v>
      </c>
      <c r="K53" s="328"/>
      <c r="L53" s="328"/>
      <c r="M53" s="328"/>
      <c r="N53" s="245">
        <v>1744424</v>
      </c>
      <c r="O53" s="229"/>
    </row>
    <row r="54" spans="1:15" ht="17.25">
      <c r="A54" s="120">
        <v>20</v>
      </c>
      <c r="B54" s="143" t="s">
        <v>78</v>
      </c>
      <c r="C54" s="248">
        <f t="shared" si="1"/>
        <v>0</v>
      </c>
      <c r="D54" s="143"/>
      <c r="E54" s="143"/>
      <c r="F54" s="143"/>
      <c r="G54" s="143"/>
      <c r="H54" s="143"/>
      <c r="J54" s="318" t="s">
        <v>94</v>
      </c>
      <c r="K54" s="319"/>
      <c r="L54" s="319"/>
      <c r="M54" s="326"/>
      <c r="N54" s="238">
        <v>0.1</v>
      </c>
      <c r="O54" s="249"/>
    </row>
    <row r="55" spans="1:15" ht="17.25">
      <c r="B55" s="143" t="s">
        <v>80</v>
      </c>
      <c r="C55" s="248">
        <f t="shared" si="1"/>
        <v>0</v>
      </c>
      <c r="D55" s="143"/>
      <c r="E55" s="143"/>
      <c r="F55" s="143"/>
      <c r="G55" s="143"/>
      <c r="H55" s="143"/>
      <c r="J55" s="318" t="s">
        <v>95</v>
      </c>
      <c r="K55" s="319"/>
      <c r="L55" s="319"/>
      <c r="M55" s="320"/>
      <c r="N55" s="237">
        <v>10</v>
      </c>
      <c r="O55" s="230"/>
    </row>
    <row r="56" spans="1:15" ht="17.25">
      <c r="B56" s="143" t="s">
        <v>82</v>
      </c>
      <c r="C56" s="248">
        <f t="shared" si="1"/>
        <v>0</v>
      </c>
      <c r="D56" s="143"/>
      <c r="E56" s="143"/>
      <c r="F56" s="143"/>
      <c r="G56" s="143"/>
      <c r="H56" s="143"/>
      <c r="J56" s="290" t="str">
        <f>"Value after " &amp;TEXT(N55,"##") &amp; " years"</f>
        <v>Value after 10 years</v>
      </c>
      <c r="K56" s="291"/>
      <c r="L56" s="291"/>
      <c r="M56" s="292"/>
      <c r="N56" s="246">
        <f>N53*(1+N54)^N55</f>
        <v>4524586.5972174853</v>
      </c>
      <c r="O56" s="249"/>
    </row>
    <row r="57" spans="1:15" ht="17.25">
      <c r="B57" s="143"/>
      <c r="C57" s="248">
        <f t="shared" si="1"/>
        <v>0</v>
      </c>
      <c r="D57" s="143"/>
      <c r="E57" s="143"/>
      <c r="F57" s="143"/>
      <c r="G57" s="143"/>
      <c r="H57" s="143"/>
      <c r="J57" s="290" t="s">
        <v>99</v>
      </c>
      <c r="K57" s="291"/>
      <c r="L57" s="291"/>
      <c r="M57" s="292"/>
      <c r="N57" s="246">
        <f>N56/N53</f>
        <v>2.5937424601000019</v>
      </c>
      <c r="O57" s="230"/>
    </row>
    <row r="58" spans="1:15">
      <c r="B58" s="156" t="s">
        <v>23</v>
      </c>
      <c r="C58" s="196">
        <f t="shared" si="1"/>
        <v>0</v>
      </c>
      <c r="D58" s="197">
        <f t="shared" si="1"/>
        <v>0</v>
      </c>
      <c r="E58" s="196">
        <f t="shared" si="1"/>
        <v>0</v>
      </c>
      <c r="F58" s="196">
        <f t="shared" si="1"/>
        <v>0</v>
      </c>
      <c r="G58" s="196">
        <f t="shared" si="1"/>
        <v>0</v>
      </c>
      <c r="H58" s="196">
        <f t="shared" si="1"/>
        <v>0</v>
      </c>
      <c r="O58" s="230"/>
    </row>
    <row r="59" spans="1:15">
      <c r="B59" s="143"/>
      <c r="C59" s="248">
        <f t="shared" si="1"/>
        <v>0</v>
      </c>
      <c r="D59" s="143"/>
      <c r="E59" s="143"/>
      <c r="F59" s="143"/>
      <c r="G59" s="143"/>
      <c r="H59" s="143"/>
    </row>
    <row r="60" spans="1:15">
      <c r="B60" s="143"/>
      <c r="C60" s="143"/>
      <c r="D60" s="143"/>
      <c r="E60" s="143"/>
      <c r="F60" s="143"/>
      <c r="G60" s="143"/>
      <c r="H60" s="143"/>
    </row>
    <row r="62" spans="1:15">
      <c r="O62" s="194"/>
    </row>
    <row r="64" spans="1:15">
      <c r="O64" s="194"/>
    </row>
    <row r="65" spans="17:21">
      <c r="Q65" s="232"/>
      <c r="R65" s="232"/>
      <c r="S65" s="232"/>
      <c r="T65" s="232"/>
      <c r="U65" s="233"/>
    </row>
    <row r="66" spans="17:21">
      <c r="Q66" s="232"/>
      <c r="R66" s="232"/>
      <c r="S66" s="232"/>
      <c r="T66" s="232"/>
      <c r="U66" s="233"/>
    </row>
    <row r="67" spans="17:21">
      <c r="Q67" s="232"/>
      <c r="R67" s="232"/>
      <c r="S67" s="232"/>
      <c r="T67" s="232"/>
      <c r="U67" s="233"/>
    </row>
  </sheetData>
  <sheetProtection algorithmName="SHA-512" hashValue="QDek7ZyZYnwXu1bIo5MZyfW5Y/n/bxaC0+T1akDPkvCr4dF3u+ZANkIXptaX+qRisgHG84cyLdyf2+peoNI2uQ==" saltValue="atIaVO7HKLjqe0nUbYyeXw==" spinCount="100000" sheet="1" selectLockedCells="1"/>
  <mergeCells count="20">
    <mergeCell ref="J53:M53"/>
    <mergeCell ref="J54:M54"/>
    <mergeCell ref="J55:M55"/>
    <mergeCell ref="J56:M56"/>
    <mergeCell ref="J57:M57"/>
    <mergeCell ref="J52:N52"/>
    <mergeCell ref="J43:N43"/>
    <mergeCell ref="J44:M44"/>
    <mergeCell ref="J45:M45"/>
    <mergeCell ref="J46:M46"/>
    <mergeCell ref="J48:M48"/>
    <mergeCell ref="J49:M49"/>
    <mergeCell ref="J50:M50"/>
    <mergeCell ref="J31:L32"/>
    <mergeCell ref="J29:L30"/>
    <mergeCell ref="M29:M30"/>
    <mergeCell ref="M31:M32"/>
    <mergeCell ref="J16:M16"/>
    <mergeCell ref="J25:L26"/>
    <mergeCell ref="M25:M26"/>
  </mergeCells>
  <conditionalFormatting sqref="M6:M14">
    <cfRule type="iconSet" priority="4">
      <iconSet iconSet="3Signs">
        <cfvo type="percent" val="0"/>
        <cfvo type="num" val="-20"/>
        <cfvo type="num" val="0"/>
      </iconSet>
    </cfRule>
  </conditionalFormatting>
  <conditionalFormatting sqref="N6:O14">
    <cfRule type="iconSet" priority="3">
      <iconSet iconSet="3Signs">
        <cfvo type="percent" val="0"/>
        <cfvo type="num" val="-20"/>
        <cfvo type="num" val="0"/>
      </iconSet>
    </cfRule>
  </conditionalFormatting>
  <conditionalFormatting sqref="N18:O18">
    <cfRule type="iconSet" priority="2">
      <iconSet iconSet="3Signs">
        <cfvo type="percent" val="0"/>
        <cfvo type="num" val="-20"/>
        <cfvo type="num" val="0"/>
      </iconSet>
    </cfRule>
  </conditionalFormatting>
  <conditionalFormatting sqref="F23:G23 G20:G22 F19:F22">
    <cfRule type="iconSet" priority="27">
      <iconSet iconSet="3Signs">
        <cfvo type="percent" val="0"/>
        <cfvo type="num" val="-20"/>
        <cfvo type="num" val="0"/>
      </iconSet>
    </cfRule>
  </conditionalFormatting>
  <conditionalFormatting sqref="G19:H19 H20:H23">
    <cfRule type="iconSet" priority="30">
      <iconSet iconSet="3Signs">
        <cfvo type="percent" val="0"/>
        <cfvo type="num" val="-20"/>
        <cfvo type="num" val="0"/>
      </iconSet>
    </cfRule>
  </conditionalFormatting>
  <conditionalFormatting sqref="E19:E23 M18:M20 E6:H16">
    <cfRule type="iconSet" priority="5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59" orientation="portrait" horizontalDpi="4294967292" r:id="rId1"/>
  <headerFooter alignWithMargins="0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ECF7-E6DD-4911-8CFF-71C6C1D26D54}">
  <dimension ref="A2:I41"/>
  <sheetViews>
    <sheetView workbookViewId="0">
      <selection activeCell="Q51" sqref="Q51"/>
    </sheetView>
  </sheetViews>
  <sheetFormatPr defaultRowHeight="12.75"/>
  <cols>
    <col min="1" max="1" width="45.5703125" bestFit="1" customWidth="1"/>
    <col min="2" max="2" width="15.85546875" hidden="1" customWidth="1"/>
    <col min="3" max="3" width="13.140625" bestFit="1" customWidth="1"/>
    <col min="4" max="4" width="12.5703125" hidden="1" customWidth="1"/>
    <col min="5" max="5" width="8.42578125" hidden="1" customWidth="1"/>
    <col min="6" max="6" width="7.85546875" hidden="1" customWidth="1"/>
    <col min="7" max="7" width="11" bestFit="1" customWidth="1"/>
  </cols>
  <sheetData>
    <row r="2" spans="1:9" ht="37.5">
      <c r="A2" s="275" t="s">
        <v>142</v>
      </c>
      <c r="C2" s="275"/>
      <c r="D2" s="275"/>
      <c r="E2" s="275"/>
      <c r="F2" s="275"/>
      <c r="G2" s="275"/>
      <c r="H2" s="275"/>
      <c r="I2" s="275"/>
    </row>
    <row r="4" spans="1:9" ht="15">
      <c r="A4" s="131" t="s">
        <v>143</v>
      </c>
      <c r="B4" t="s">
        <v>60</v>
      </c>
      <c r="C4" s="131" t="s">
        <v>3</v>
      </c>
      <c r="D4" s="131" t="s">
        <v>144</v>
      </c>
      <c r="E4" t="s">
        <v>59</v>
      </c>
      <c r="F4" s="131" t="s">
        <v>145</v>
      </c>
      <c r="G4" s="131" t="s">
        <v>75</v>
      </c>
    </row>
    <row r="5" spans="1:9" ht="15">
      <c r="A5" s="148" t="s">
        <v>146</v>
      </c>
      <c r="C5" s="145">
        <v>6000</v>
      </c>
      <c r="D5" s="146"/>
      <c r="E5" s="147"/>
      <c r="F5" s="154"/>
      <c r="G5" s="154">
        <f>Table12714173123[[#This Row],[Actual Cost]]</f>
        <v>6000</v>
      </c>
    </row>
    <row r="6" spans="1:9" ht="15">
      <c r="A6" s="190" t="s">
        <v>147</v>
      </c>
      <c r="C6" s="264">
        <v>500</v>
      </c>
      <c r="D6" s="265"/>
      <c r="E6" s="147"/>
      <c r="F6" s="154"/>
      <c r="G6" s="154">
        <f>Table12714173123[[#This Row],[Actual Cost]]</f>
        <v>500</v>
      </c>
    </row>
    <row r="7" spans="1:9" ht="15">
      <c r="A7" s="148"/>
      <c r="C7" s="264"/>
      <c r="D7" s="265"/>
      <c r="E7" s="147"/>
      <c r="F7" s="154"/>
      <c r="G7" s="154">
        <f>Table12714173123[[#This Row],[Actual Cost]]</f>
        <v>0</v>
      </c>
    </row>
    <row r="8" spans="1:9" ht="15">
      <c r="A8" s="148"/>
      <c r="C8" s="145"/>
      <c r="D8" s="146"/>
      <c r="E8" s="147"/>
      <c r="F8" s="154"/>
      <c r="G8" s="154">
        <f>Table12714173123[[#This Row],[Actual Cost]]</f>
        <v>0</v>
      </c>
    </row>
    <row r="9" spans="1:9" ht="15">
      <c r="A9" s="148"/>
      <c r="C9" s="145"/>
      <c r="D9" s="146"/>
      <c r="E9" s="147"/>
      <c r="F9" s="154"/>
      <c r="G9" s="154">
        <f>Table12714173123[[#This Row],[Actual Cost]]</f>
        <v>0</v>
      </c>
    </row>
    <row r="10" spans="1:9" ht="15">
      <c r="A10" s="130" t="s">
        <v>23</v>
      </c>
      <c r="C10" s="134"/>
      <c r="D10" s="136"/>
      <c r="E10" s="137"/>
      <c r="F10" s="236"/>
      <c r="G10" s="236">
        <f>SUBTOTAL(109,Table12714173123[Value])</f>
        <v>6500</v>
      </c>
    </row>
    <row r="12" spans="1:9" ht="15">
      <c r="A12" s="131" t="s">
        <v>148</v>
      </c>
      <c r="B12" t="s">
        <v>60</v>
      </c>
      <c r="C12" s="131" t="s">
        <v>3</v>
      </c>
      <c r="D12" s="131" t="s">
        <v>144</v>
      </c>
      <c r="E12" t="s">
        <v>59</v>
      </c>
      <c r="F12" s="131" t="s">
        <v>145</v>
      </c>
      <c r="G12" s="131" t="s">
        <v>75</v>
      </c>
    </row>
    <row r="13" spans="1:9" ht="15">
      <c r="A13" s="148" t="s">
        <v>149</v>
      </c>
      <c r="C13" s="264">
        <v>1000</v>
      </c>
      <c r="D13" s="265"/>
      <c r="E13" s="143"/>
      <c r="F13" s="263"/>
      <c r="G13" s="263">
        <f>Table1271417312330[[#This Row],[Actual Cost]]</f>
        <v>1000</v>
      </c>
    </row>
    <row r="14" spans="1:9" ht="15">
      <c r="A14" s="148" t="s">
        <v>150</v>
      </c>
      <c r="C14" s="145">
        <v>2000</v>
      </c>
      <c r="D14" s="146"/>
      <c r="E14" s="147"/>
      <c r="F14" s="154"/>
      <c r="G14" s="154">
        <f>Table1271417312330[[#This Row],[Actual Cost]]</f>
        <v>2000</v>
      </c>
    </row>
    <row r="15" spans="1:9" ht="15">
      <c r="A15" s="148" t="s">
        <v>151</v>
      </c>
      <c r="C15" s="264">
        <v>1000</v>
      </c>
      <c r="D15" s="265"/>
      <c r="E15" s="147"/>
      <c r="F15" s="154"/>
      <c r="G15" s="154">
        <f>Table1271417312330[[#This Row],[Actual Cost]]</f>
        <v>1000</v>
      </c>
    </row>
    <row r="16" spans="1:9" ht="15">
      <c r="A16" s="148" t="s">
        <v>152</v>
      </c>
      <c r="C16" s="264"/>
      <c r="D16" s="265"/>
      <c r="E16" s="147"/>
      <c r="F16" s="154"/>
      <c r="G16" s="154">
        <f>Table1271417312330[[#This Row],[Actual Cost]]</f>
        <v>0</v>
      </c>
    </row>
    <row r="17" spans="1:7" ht="15">
      <c r="A17" s="148" t="s">
        <v>153</v>
      </c>
      <c r="C17" s="145"/>
      <c r="D17" s="146"/>
      <c r="E17" s="147"/>
      <c r="F17" s="154"/>
      <c r="G17" s="154">
        <f>Table1271417312330[[#This Row],[Actual Cost]]</f>
        <v>0</v>
      </c>
    </row>
    <row r="18" spans="1:7" ht="15">
      <c r="A18" s="148" t="s">
        <v>154</v>
      </c>
      <c r="C18" s="145"/>
      <c r="D18" s="146"/>
      <c r="E18" s="147"/>
      <c r="F18" s="154"/>
      <c r="G18" s="154">
        <f>Table1271417312330[[#This Row],[Actual Cost]]</f>
        <v>0</v>
      </c>
    </row>
    <row r="19" spans="1:7" ht="15">
      <c r="A19" s="130" t="s">
        <v>23</v>
      </c>
      <c r="D19" s="136"/>
      <c r="E19" s="137"/>
      <c r="F19" s="236"/>
      <c r="G19" s="236">
        <f>SUBTOTAL(109,Table1271417312330[Value])</f>
        <v>4000</v>
      </c>
    </row>
    <row r="21" spans="1:7" ht="15">
      <c r="A21" s="131" t="s">
        <v>155</v>
      </c>
      <c r="B21" t="s">
        <v>60</v>
      </c>
      <c r="C21" s="131" t="s">
        <v>3</v>
      </c>
      <c r="D21" s="131" t="s">
        <v>144</v>
      </c>
      <c r="E21" t="s">
        <v>59</v>
      </c>
      <c r="F21" s="131" t="s">
        <v>145</v>
      </c>
      <c r="G21" s="131" t="s">
        <v>75</v>
      </c>
    </row>
    <row r="22" spans="1:7" ht="15">
      <c r="A22" s="148" t="s">
        <v>156</v>
      </c>
      <c r="C22" s="145">
        <v>1200</v>
      </c>
      <c r="D22" s="146"/>
      <c r="E22" s="147"/>
      <c r="F22" s="154"/>
      <c r="G22" s="154">
        <f>Table127141731233037[[#This Row],[Actual Cost]]</f>
        <v>1200</v>
      </c>
    </row>
    <row r="23" spans="1:7" ht="15">
      <c r="A23" s="148"/>
      <c r="C23" s="145"/>
      <c r="D23" s="146"/>
      <c r="E23" s="147"/>
      <c r="F23" s="154"/>
      <c r="G23" s="154">
        <f>Table127141731233037[[#This Row],[Actual Cost]]</f>
        <v>0</v>
      </c>
    </row>
    <row r="24" spans="1:7" ht="15">
      <c r="A24" s="148"/>
      <c r="C24" s="145">
        <f t="shared" ref="C24" si="0">0.3*C7</f>
        <v>0</v>
      </c>
      <c r="D24" s="146"/>
      <c r="E24" s="147"/>
      <c r="F24" s="154"/>
      <c r="G24" s="154">
        <f>Table127141731233037[[#This Row],[Actual Cost]]</f>
        <v>0</v>
      </c>
    </row>
    <row r="25" spans="1:7" ht="15">
      <c r="A25" s="130" t="s">
        <v>23</v>
      </c>
      <c r="C25" s="134"/>
      <c r="D25" s="136"/>
      <c r="E25" s="137"/>
      <c r="F25" s="236"/>
      <c r="G25" s="236">
        <f>SUBTOTAL(109,Table127141731233037[Value])</f>
        <v>1200</v>
      </c>
    </row>
    <row r="27" spans="1:7" ht="15">
      <c r="A27" s="131" t="s">
        <v>157</v>
      </c>
      <c r="B27" t="s">
        <v>60</v>
      </c>
      <c r="C27" s="131" t="s">
        <v>3</v>
      </c>
      <c r="D27" s="131" t="s">
        <v>144</v>
      </c>
      <c r="E27" t="s">
        <v>59</v>
      </c>
      <c r="F27" s="131" t="s">
        <v>145</v>
      </c>
      <c r="G27" s="131" t="s">
        <v>7</v>
      </c>
    </row>
    <row r="28" spans="1:7" ht="15">
      <c r="A28" s="148" t="s">
        <v>158</v>
      </c>
      <c r="C28" s="145"/>
      <c r="D28" s="146"/>
      <c r="E28" s="147"/>
      <c r="F28" s="154"/>
      <c r="G28" s="154">
        <f>Table12714173123303738[[#This Row],[Actual Cost]]</f>
        <v>0</v>
      </c>
    </row>
    <row r="29" spans="1:7" ht="15">
      <c r="A29" s="148" t="s">
        <v>159</v>
      </c>
      <c r="C29" s="145"/>
      <c r="D29" s="146"/>
      <c r="E29" s="147"/>
      <c r="F29" s="154"/>
      <c r="G29" s="154">
        <f>Table12714173123303738[[#This Row],[Actual Cost]]</f>
        <v>0</v>
      </c>
    </row>
    <row r="30" spans="1:7" ht="15">
      <c r="A30" s="148"/>
      <c r="C30" s="145"/>
      <c r="D30" s="146"/>
      <c r="E30" s="147"/>
      <c r="F30" s="154"/>
      <c r="G30" s="154">
        <f>Table12714173123303738[[#This Row],[Actual Cost]]</f>
        <v>0</v>
      </c>
    </row>
    <row r="31" spans="1:7" ht="15">
      <c r="A31" s="130" t="s">
        <v>23</v>
      </c>
      <c r="C31" s="134"/>
      <c r="D31" s="136"/>
      <c r="E31" s="137"/>
      <c r="F31" s="236"/>
      <c r="G31" s="236">
        <f>SUBTOTAL(109,Table12714173123303738[Cash])/2</f>
        <v>0</v>
      </c>
    </row>
    <row r="33" spans="1:7" ht="15">
      <c r="A33" s="157" t="s">
        <v>160</v>
      </c>
      <c r="B33" s="157"/>
      <c r="C33" s="158"/>
      <c r="G33" s="158"/>
    </row>
    <row r="34" spans="1:7" ht="12.75" customHeight="1">
      <c r="A34" s="302" t="s">
        <v>161</v>
      </c>
      <c r="B34" s="303"/>
      <c r="C34" s="308"/>
      <c r="G34" s="316">
        <f>Table12714173123[[#Totals],[Value]]+Table1271417312330[[#Totals],[Value]]-Table127141731233037[[#Totals],[Value]]+Table12714173123303738[[#Totals],[Cash]]</f>
        <v>9300</v>
      </c>
    </row>
    <row r="35" spans="1:7" ht="12.75" customHeight="1">
      <c r="A35" s="304"/>
      <c r="B35" s="305"/>
      <c r="C35" s="309"/>
      <c r="G35" s="311"/>
    </row>
    <row r="36" spans="1:7" ht="15" customHeight="1">
      <c r="A36" s="302" t="s">
        <v>162</v>
      </c>
      <c r="B36" s="303"/>
      <c r="C36" s="308"/>
      <c r="G36" s="316">
        <f>12*G34</f>
        <v>111600</v>
      </c>
    </row>
    <row r="37" spans="1:7" ht="15" customHeight="1">
      <c r="A37" s="304"/>
      <c r="B37" s="305"/>
      <c r="C37" s="309"/>
      <c r="G37" s="317"/>
    </row>
    <row r="38" spans="1:7" ht="12.75" customHeight="1">
      <c r="A38" s="302" t="s">
        <v>51</v>
      </c>
      <c r="B38" s="303"/>
      <c r="C38" s="329"/>
      <c r="G38" s="306">
        <v>25</v>
      </c>
    </row>
    <row r="39" spans="1:7" ht="12.75" customHeight="1">
      <c r="A39" s="304"/>
      <c r="B39" s="305"/>
      <c r="C39" s="330"/>
      <c r="G39" s="307"/>
    </row>
    <row r="40" spans="1:7" ht="12.75" customHeight="1">
      <c r="A40" s="302" t="s">
        <v>163</v>
      </c>
      <c r="B40" s="303"/>
      <c r="C40" s="308"/>
      <c r="G40" s="310">
        <f>G36*G38</f>
        <v>2790000</v>
      </c>
    </row>
    <row r="41" spans="1:7" ht="12.75" customHeight="1">
      <c r="A41" s="304"/>
      <c r="B41" s="305"/>
      <c r="C41" s="309"/>
      <c r="G41" s="311"/>
    </row>
  </sheetData>
  <mergeCells count="8">
    <mergeCell ref="G40:G41"/>
    <mergeCell ref="G36:G37"/>
    <mergeCell ref="A34:C35"/>
    <mergeCell ref="A36:C37"/>
    <mergeCell ref="A38:C39"/>
    <mergeCell ref="A40:C41"/>
    <mergeCell ref="G34:G35"/>
    <mergeCell ref="G38:G39"/>
  </mergeCells>
  <phoneticPr fontId="51" type="noConversion"/>
  <conditionalFormatting sqref="D5:G10">
    <cfRule type="iconSet" priority="4">
      <iconSet iconSet="3Signs">
        <cfvo type="percent" val="0"/>
        <cfvo type="num" val="-20"/>
        <cfvo type="num" val="0"/>
      </iconSet>
    </cfRule>
  </conditionalFormatting>
  <conditionalFormatting sqref="D13:G19">
    <cfRule type="iconSet" priority="3">
      <iconSet iconSet="3Signs">
        <cfvo type="percent" val="0"/>
        <cfvo type="num" val="-20"/>
        <cfvo type="num" val="0"/>
      </iconSet>
    </cfRule>
  </conditionalFormatting>
  <conditionalFormatting sqref="D22:G25">
    <cfRule type="iconSet" priority="2">
      <iconSet iconSet="3Signs">
        <cfvo type="percent" val="0"/>
        <cfvo type="num" val="-20"/>
        <cfvo type="num" val="0"/>
      </iconSet>
    </cfRule>
  </conditionalFormatting>
  <conditionalFormatting sqref="D28:G31">
    <cfRule type="iconSet" priority="1">
      <iconSet iconSet="3Signs">
        <cfvo type="percent" val="0"/>
        <cfvo type="num" val="-20"/>
        <cfvo type="num" val="0"/>
      </iconSet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F344-EE16-41CA-B04E-7AB73E66D792}">
  <sheetPr>
    <pageSetUpPr autoPageBreaks="0" fitToPage="1"/>
  </sheetPr>
  <dimension ref="A1:U67"/>
  <sheetViews>
    <sheetView showGridLines="0" view="pageBreakPreview" topLeftCell="A19" zoomScaleNormal="100" zoomScaleSheetLayoutView="100" workbookViewId="0"/>
  </sheetViews>
  <sheetFormatPr defaultRowHeight="15"/>
  <cols>
    <col min="1" max="1" width="1.7109375" style="123" customWidth="1"/>
    <col min="2" max="2" width="31.5703125" style="123" customWidth="1"/>
    <col min="3" max="3" width="16.5703125" style="123" customWidth="1"/>
    <col min="4" max="4" width="13.42578125" style="123" hidden="1" customWidth="1"/>
    <col min="5" max="5" width="12.5703125" style="123" hidden="1" customWidth="1"/>
    <col min="6" max="8" width="12.5703125" style="123" customWidth="1"/>
    <col min="9" max="9" width="2.85546875" style="123" customWidth="1"/>
    <col min="10" max="10" width="32.85546875" style="123" customWidth="1"/>
    <col min="11" max="11" width="15.85546875" style="123" bestFit="1" customWidth="1"/>
    <col min="12" max="12" width="13.42578125" style="123" hidden="1" customWidth="1"/>
    <col min="13" max="13" width="18.5703125" style="123" customWidth="1"/>
    <col min="14" max="14" width="18.7109375" style="123" bestFit="1" customWidth="1"/>
    <col min="15" max="15" width="11.28515625" style="123" bestFit="1" customWidth="1"/>
    <col min="16" max="16384" width="9.140625" style="123"/>
  </cols>
  <sheetData>
    <row r="1" spans="1:15" ht="8.1" customHeight="1">
      <c r="A1" s="259"/>
      <c r="B1" s="121"/>
      <c r="C1" s="121"/>
      <c r="D1" s="258"/>
      <c r="E1" s="121"/>
      <c r="F1" s="121"/>
      <c r="G1" s="121"/>
      <c r="H1" s="121"/>
      <c r="I1" s="121"/>
      <c r="J1" s="121"/>
      <c r="K1" s="121"/>
      <c r="L1" s="121"/>
      <c r="M1" s="122"/>
    </row>
    <row r="2" spans="1:15" ht="51.95" customHeight="1">
      <c r="A2" s="259"/>
      <c r="B2" s="275" t="s">
        <v>164</v>
      </c>
      <c r="C2" s="275"/>
      <c r="D2" s="275"/>
      <c r="E2" s="275"/>
      <c r="F2" s="275"/>
      <c r="G2" s="124"/>
      <c r="H2" s="124"/>
      <c r="I2" s="124"/>
      <c r="J2" s="124"/>
      <c r="K2" s="124"/>
      <c r="L2" s="124"/>
      <c r="M2" s="124"/>
    </row>
    <row r="3" spans="1:15" ht="8.1" customHeight="1">
      <c r="A3" s="122"/>
      <c r="B3" s="150"/>
      <c r="C3" s="122"/>
      <c r="D3" s="122"/>
      <c r="E3" s="122"/>
      <c r="F3" s="122"/>
      <c r="G3" s="122"/>
      <c r="H3" s="122"/>
      <c r="I3" s="260"/>
      <c r="J3" s="122"/>
      <c r="K3" s="125"/>
      <c r="L3" s="126"/>
      <c r="M3" s="127"/>
    </row>
    <row r="4" spans="1:15" ht="15.95" customHeight="1">
      <c r="A4" s="122"/>
      <c r="B4" s="150"/>
      <c r="C4" s="150"/>
      <c r="D4" s="122"/>
      <c r="E4" s="261"/>
      <c r="F4" s="261"/>
      <c r="G4" s="261"/>
      <c r="H4" s="261"/>
      <c r="I4" s="260"/>
      <c r="J4" s="128"/>
      <c r="K4" s="128"/>
      <c r="L4" s="128"/>
      <c r="M4" s="129"/>
    </row>
    <row r="5" spans="1:15" ht="15.95" customHeight="1">
      <c r="A5" s="122"/>
      <c r="B5" s="131" t="s">
        <v>165</v>
      </c>
      <c r="C5" s="131" t="s">
        <v>2</v>
      </c>
      <c r="D5" s="131" t="s">
        <v>3</v>
      </c>
      <c r="E5" s="132" t="s">
        <v>4</v>
      </c>
      <c r="F5" s="132" t="s">
        <v>5</v>
      </c>
      <c r="G5" s="123" t="s">
        <v>6</v>
      </c>
      <c r="H5" s="123" t="s">
        <v>7</v>
      </c>
      <c r="I5" s="133"/>
      <c r="J5" s="131" t="s">
        <v>166</v>
      </c>
      <c r="K5" s="131" t="s">
        <v>2</v>
      </c>
      <c r="L5" s="131" t="s">
        <v>3</v>
      </c>
      <c r="M5" s="132" t="s">
        <v>9</v>
      </c>
      <c r="N5" s="123" t="s">
        <v>6</v>
      </c>
      <c r="O5" s="123" t="s">
        <v>7</v>
      </c>
    </row>
    <row r="6" spans="1:15" ht="15.75" customHeight="1">
      <c r="A6" s="122"/>
      <c r="B6" s="148"/>
      <c r="C6" s="145"/>
      <c r="D6" s="145"/>
      <c r="E6" s="146"/>
      <c r="F6" s="147" t="s">
        <v>11</v>
      </c>
      <c r="G6" s="154">
        <f>IF(Table127141731[[#This Row],[Form ]]= "Bank", Table127141731[[#This Row],[Projected Cost]],0)</f>
        <v>0</v>
      </c>
      <c r="H6" s="154">
        <f>IF(Table127141731[[#This Row],[Form ]]="Cash", Table127141731[[#This Row],[Projected Cost]],0)</f>
        <v>0</v>
      </c>
      <c r="I6" s="151"/>
      <c r="J6" s="148"/>
      <c r="K6" s="145"/>
      <c r="L6" s="145">
        <v>10</v>
      </c>
      <c r="M6" s="147" t="s">
        <v>7</v>
      </c>
      <c r="N6" s="154">
        <f>IF(Table238252734[[#This Row],[Form]]= "Bank", Table238252734[[#This Row],[Projected Cost]],0)</f>
        <v>0</v>
      </c>
      <c r="O6" s="154">
        <f>IF(Table238252734[[#This Row],[Form]]="Cash", Table238252734[[#This Row],[Projected Cost]],0)</f>
        <v>0</v>
      </c>
    </row>
    <row r="7" spans="1:15" ht="15.75" customHeight="1">
      <c r="A7" s="122"/>
      <c r="B7" s="148"/>
      <c r="C7" s="145"/>
      <c r="D7" s="145"/>
      <c r="E7" s="146"/>
      <c r="F7" s="147" t="s">
        <v>11</v>
      </c>
      <c r="G7" s="154">
        <f>IF(Table127141731[[#This Row],[Form ]]= "Bank", Table127141731[[#This Row],[Projected Cost]],0)</f>
        <v>0</v>
      </c>
      <c r="H7" s="154">
        <f>IF(Table127141731[[#This Row],[Form ]]="Cash", Table127141731[[#This Row],[Projected Cost]],0)</f>
        <v>0</v>
      </c>
      <c r="I7" s="151"/>
      <c r="J7" s="148"/>
      <c r="K7" s="145">
        <f t="shared" ref="K7" si="0">6000*5%</f>
        <v>300</v>
      </c>
      <c r="L7" s="145"/>
      <c r="M7" s="147" t="s">
        <v>7</v>
      </c>
      <c r="N7" s="154">
        <f>IF(Table238252734[[#This Row],[Form]]= "Bank", Table238252734[[#This Row],[Projected Cost]],0)</f>
        <v>0</v>
      </c>
      <c r="O7" s="154">
        <f>IF(Table238252734[[#This Row],[Form]]="Cash", Table238252734[[#This Row],[Projected Cost]],0)</f>
        <v>300</v>
      </c>
    </row>
    <row r="8" spans="1:15" ht="15.75" customHeight="1">
      <c r="A8" s="122"/>
      <c r="B8" s="148"/>
      <c r="C8" s="145"/>
      <c r="D8" s="145"/>
      <c r="E8" s="146"/>
      <c r="F8" s="147" t="s">
        <v>11</v>
      </c>
      <c r="G8" s="154">
        <f>IF(Table127141731[[#This Row],[Form ]]= "Bank", Table127141731[[#This Row],[Projected Cost]],0)</f>
        <v>0</v>
      </c>
      <c r="H8" s="154">
        <f>IF(Table127141731[[#This Row],[Form ]]="Cash", Table127141731[[#This Row],[Projected Cost]],0)</f>
        <v>0</v>
      </c>
      <c r="I8" s="151"/>
      <c r="J8" s="148"/>
      <c r="K8" s="145">
        <f>K7/12</f>
        <v>25</v>
      </c>
      <c r="L8" s="145">
        <v>20</v>
      </c>
      <c r="M8" s="147" t="s">
        <v>7</v>
      </c>
      <c r="N8" s="154">
        <f>IF(Table238252734[[#This Row],[Form]]= "Bank", Table238252734[[#This Row],[Projected Cost]],0)</f>
        <v>0</v>
      </c>
      <c r="O8" s="154">
        <f>IF(Table238252734[[#This Row],[Form]]="Cash", Table238252734[[#This Row],[Projected Cost]],0)</f>
        <v>25</v>
      </c>
    </row>
    <row r="9" spans="1:15" ht="15.75" customHeight="1">
      <c r="A9" s="122"/>
      <c r="B9" s="130" t="s">
        <v>23</v>
      </c>
      <c r="C9" s="134">
        <f>SUBTOTAL(109,Table127141731[Projected Cost])</f>
        <v>0</v>
      </c>
      <c r="D9" s="134"/>
      <c r="E9" s="136"/>
      <c r="F9" s="137"/>
      <c r="G9" s="236">
        <f>SUBTOTAL(109,Table127141731[Bank])</f>
        <v>0</v>
      </c>
      <c r="H9" s="236">
        <f>SUBTOTAL(109,Table127141731[Cash])</f>
        <v>0</v>
      </c>
      <c r="I9" s="151"/>
      <c r="J9" s="130" t="s">
        <v>23</v>
      </c>
      <c r="K9" s="135">
        <f>SUBTOTAL(109,Table238252734[Projected Cost])</f>
        <v>325</v>
      </c>
      <c r="L9" s="135">
        <f>SUBTOTAL(109,Table238252734[Actual Cost])</f>
        <v>30</v>
      </c>
      <c r="M9" s="135">
        <f>SUBTOTAL(109,Table238252734[Form])</f>
        <v>0</v>
      </c>
      <c r="N9" s="135">
        <f>SUBTOTAL(109,Table238252734[Bank])</f>
        <v>0</v>
      </c>
      <c r="O9" s="135">
        <f>SUBTOTAL(109,Table238252734[Cash])</f>
        <v>325</v>
      </c>
    </row>
    <row r="10" spans="1:15" ht="15.75" customHeight="1">
      <c r="A10" s="122"/>
      <c r="B10" s="151"/>
      <c r="C10" s="151"/>
      <c r="D10" s="151"/>
      <c r="E10" s="151"/>
      <c r="F10" s="151"/>
      <c r="G10" s="151"/>
      <c r="H10" s="151"/>
      <c r="I10" s="151"/>
      <c r="J10" s="315"/>
      <c r="K10" s="315"/>
      <c r="L10" s="315"/>
      <c r="M10" s="315"/>
    </row>
    <row r="11" spans="1:15" ht="15.75" customHeight="1">
      <c r="A11" s="122"/>
      <c r="B11" s="149" t="s">
        <v>167</v>
      </c>
      <c r="C11" s="152" t="s">
        <v>2</v>
      </c>
      <c r="D11" s="152" t="s">
        <v>3</v>
      </c>
      <c r="E11" s="153" t="s">
        <v>4</v>
      </c>
      <c r="F11" s="152" t="s">
        <v>5</v>
      </c>
      <c r="G11" s="131" t="s">
        <v>6</v>
      </c>
      <c r="H11" s="131" t="s">
        <v>7</v>
      </c>
      <c r="I11" s="151"/>
      <c r="J11" s="149" t="s">
        <v>142</v>
      </c>
      <c r="K11" s="131" t="s">
        <v>2</v>
      </c>
      <c r="L11" s="131" t="s">
        <v>3</v>
      </c>
      <c r="M11" s="132" t="s">
        <v>9</v>
      </c>
      <c r="N11" s="123" t="s">
        <v>6</v>
      </c>
      <c r="O11" s="123" t="s">
        <v>7</v>
      </c>
    </row>
    <row r="12" spans="1:15" ht="15.75" customHeight="1">
      <c r="A12" s="122"/>
      <c r="B12" s="273"/>
      <c r="C12" s="145"/>
      <c r="D12" s="145">
        <v>0</v>
      </c>
      <c r="E12" s="146">
        <f>Table334212233[[#This Row],[Projected Cost]]-Table334212233[[#This Row],[Actual Cost]]</f>
        <v>0</v>
      </c>
      <c r="F12" s="147" t="s">
        <v>6</v>
      </c>
      <c r="G12" s="154">
        <f>IF(Table334212233[[#This Row],[Form ]]= "Bank", Table334212233[[#This Row],[Projected Cost]],0)</f>
        <v>0</v>
      </c>
      <c r="H12" s="154">
        <f>IF(Table334212233[[#This Row],[Form ]]="Cash", Table334212233[[#This Row],[Projected Cost]],0)</f>
        <v>0</v>
      </c>
      <c r="I12" s="151"/>
      <c r="J12" s="148" t="s">
        <v>168</v>
      </c>
      <c r="K12" s="145">
        <f>'Financial Independence'!G34</f>
        <v>9300</v>
      </c>
      <c r="L12" s="145">
        <v>60</v>
      </c>
      <c r="M12" s="146" t="s">
        <v>7</v>
      </c>
      <c r="N12" s="154">
        <f>IF(Table532191832[[#This Row],[Form]]= "Bank", Table532191832[[#This Row],[Projected Cost]],0)</f>
        <v>0</v>
      </c>
      <c r="O12" s="154">
        <f>IF(Table532191832[[#This Row],[Form]]="Cash", Table532191832[[#This Row],[Projected Cost]],0)</f>
        <v>9300</v>
      </c>
    </row>
    <row r="13" spans="1:15" ht="15.75" customHeight="1">
      <c r="A13" s="122"/>
      <c r="B13" s="273"/>
      <c r="C13" s="145"/>
      <c r="D13" s="145">
        <v>30</v>
      </c>
      <c r="E13" s="146">
        <f>Table334212233[[#This Row],[Projected Cost]]-Table334212233[[#This Row],[Actual Cost]]</f>
        <v>-30</v>
      </c>
      <c r="F13" s="147" t="s">
        <v>6</v>
      </c>
      <c r="G13" s="154">
        <f>IF(Table334212233[[#This Row],[Form ]]= "Bank", Table334212233[[#This Row],[Projected Cost]],0)</f>
        <v>0</v>
      </c>
      <c r="H13" s="154">
        <f>IF(Table334212233[[#This Row],[Form ]]="Cash", Table334212233[[#This Row],[Projected Cost]],0)</f>
        <v>0</v>
      </c>
      <c r="I13" s="151"/>
      <c r="J13" s="190"/>
      <c r="K13" s="145">
        <f>'Financial Independence'!G35</f>
        <v>0</v>
      </c>
      <c r="L13" s="145">
        <v>20</v>
      </c>
      <c r="M13" s="146" t="s">
        <v>6</v>
      </c>
      <c r="N13" s="155">
        <f>IF(Table532191832[[#This Row],[Form]]= "Bank", Table532191832[[#This Row],[Projected Cost]],0)</f>
        <v>0</v>
      </c>
      <c r="O13" s="155">
        <f>IF(Table532191832[[#This Row],[Form]]="Cash", Table532191832[[#This Row],[Projected Cost]],0)</f>
        <v>0</v>
      </c>
    </row>
    <row r="14" spans="1:15" ht="15.75" customHeight="1">
      <c r="A14" s="122"/>
      <c r="B14" s="273"/>
      <c r="C14" s="145"/>
      <c r="D14" s="145"/>
      <c r="E14" s="146">
        <f>Table334212233[[#This Row],[Projected Cost]]-Table334212233[[#This Row],[Actual Cost]]</f>
        <v>0</v>
      </c>
      <c r="F14" s="147" t="s">
        <v>6</v>
      </c>
      <c r="G14" s="154">
        <f>IF(Table334212233[[#This Row],[Form ]]= "Bank", Table334212233[[#This Row],[Projected Cost]],0)</f>
        <v>0</v>
      </c>
      <c r="H14" s="154">
        <f>IF(Table334212233[[#This Row],[Form ]]="Cash", Table334212233[[#This Row],[Projected Cost]],0)</f>
        <v>0</v>
      </c>
      <c r="I14" s="151"/>
      <c r="J14" s="130" t="s">
        <v>23</v>
      </c>
      <c r="K14" s="134">
        <f>SUBTOTAL(109,Table532191832[Projected Cost])</f>
        <v>9300</v>
      </c>
      <c r="L14" s="134">
        <f>SUBTOTAL(109,Table532191832[Actual Cost])</f>
        <v>80</v>
      </c>
      <c r="M14" s="134">
        <f>SUBTOTAL(109,Table532191832[Form])</f>
        <v>0</v>
      </c>
      <c r="N14" s="134">
        <f>SUBTOTAL(109,Table532191832[Bank])</f>
        <v>0</v>
      </c>
      <c r="O14" s="134">
        <f>SUBTOTAL(109,Table532191832[Cash])</f>
        <v>9300</v>
      </c>
    </row>
    <row r="15" spans="1:15" ht="15.75" customHeight="1">
      <c r="A15" s="122"/>
      <c r="B15" s="273"/>
      <c r="C15" s="145"/>
      <c r="D15" s="264"/>
      <c r="E15" s="265">
        <f>Table334212233[[#This Row],[Projected Cost]]-Table334212233[[#This Row],[Actual Cost]]</f>
        <v>0</v>
      </c>
      <c r="F15" s="147"/>
      <c r="G15" s="154">
        <f>IF(Table334212233[[#This Row],[Form ]]= "Bank", Table334212233[[#This Row],[Projected Cost]],0)</f>
        <v>0</v>
      </c>
      <c r="H15" s="154">
        <f>IF(Table334212233[[#This Row],[Form ]]="Cash", Table334212233[[#This Row],[Projected Cost]],0)</f>
        <v>0</v>
      </c>
      <c r="I15" s="151"/>
      <c r="J15" s="262"/>
      <c r="K15" s="263"/>
      <c r="L15" s="263"/>
      <c r="M15" s="263"/>
      <c r="N15" s="263"/>
      <c r="O15" s="263"/>
    </row>
    <row r="16" spans="1:15" ht="15.75" customHeight="1">
      <c r="A16" s="122"/>
      <c r="B16" s="273"/>
      <c r="C16" s="145"/>
      <c r="D16" s="145">
        <v>20</v>
      </c>
      <c r="E16" s="146">
        <f>Table334212233[[#This Row],[Projected Cost]]-Table334212233[[#This Row],[Actual Cost]]</f>
        <v>-20</v>
      </c>
      <c r="F16" s="146" t="s">
        <v>7</v>
      </c>
      <c r="G16" s="154">
        <f>IF(Table334212233[[#This Row],[Form ]]= "Bank", Table334212233[[#This Row],[Projected Cost]],0)</f>
        <v>0</v>
      </c>
      <c r="H16" s="154">
        <f>IF(Table334212233[[#This Row],[Form ]]="Cash", Table334212233[[#This Row],[Projected Cost]],0)</f>
        <v>0</v>
      </c>
      <c r="I16" s="151"/>
      <c r="J16" s="222"/>
      <c r="K16" s="223"/>
      <c r="L16" s="223"/>
      <c r="M16" s="224"/>
      <c r="N16" s="220"/>
      <c r="O16" s="220"/>
    </row>
    <row r="17" spans="1:15" ht="15.75" customHeight="1">
      <c r="A17" s="122"/>
      <c r="B17" s="130" t="s">
        <v>23</v>
      </c>
      <c r="C17" s="134">
        <f>SUBTOTAL(109,Table334212233[Projected Cost])</f>
        <v>0</v>
      </c>
      <c r="D17" s="134">
        <f>SUBTOTAL(109,Table334212233[Actual Cost])</f>
        <v>50</v>
      </c>
      <c r="E17" s="134">
        <f>SUBTOTAL(109,Table334212233[Difference])</f>
        <v>-50</v>
      </c>
      <c r="F17" s="134">
        <f>SUBTOTAL(109,Table334212233[[Form ]])</f>
        <v>0</v>
      </c>
      <c r="G17" s="134">
        <f>SUBTOTAL(109,Table334212233[Bank])</f>
        <v>0</v>
      </c>
      <c r="H17" s="134">
        <f>SUBTOTAL(109,Table334212233[Cash])</f>
        <v>0</v>
      </c>
      <c r="I17" s="151"/>
      <c r="J17" s="222"/>
      <c r="K17" s="223"/>
      <c r="L17" s="223"/>
      <c r="M17" s="224"/>
      <c r="N17" s="220"/>
      <c r="O17" s="220"/>
    </row>
    <row r="18" spans="1:15" ht="15.75" customHeight="1">
      <c r="A18" s="122"/>
      <c r="B18" s="151"/>
      <c r="C18" s="151"/>
      <c r="D18" s="151"/>
      <c r="E18" s="151"/>
      <c r="F18" s="151"/>
      <c r="G18" s="151"/>
      <c r="H18" s="151"/>
      <c r="I18" s="151"/>
      <c r="J18" s="219"/>
      <c r="K18" s="225"/>
      <c r="L18" s="225"/>
      <c r="M18" s="225"/>
      <c r="N18" s="225"/>
      <c r="O18" s="225"/>
    </row>
    <row r="19" spans="1:15" ht="15.75" customHeight="1">
      <c r="A19" s="122"/>
      <c r="I19" s="151"/>
    </row>
    <row r="20" spans="1:15" ht="15.75" customHeight="1">
      <c r="A20" s="122"/>
      <c r="I20" s="151"/>
      <c r="J20" s="157" t="s">
        <v>169</v>
      </c>
      <c r="K20" s="157"/>
      <c r="L20" s="158"/>
      <c r="M20" s="158"/>
    </row>
    <row r="21" spans="1:15" ht="15.75" customHeight="1">
      <c r="A21" s="122"/>
      <c r="I21" s="151"/>
      <c r="J21" s="302" t="s">
        <v>170</v>
      </c>
      <c r="K21" s="303"/>
      <c r="L21" s="308"/>
      <c r="M21" s="316">
        <f>Table334212233[[#Totals],[Projected Cost]]+Table532191832[[#Totals],[Projected Cost]]+Table238252734[[#Totals],[Projected Cost]]+Table127141731[[#Totals],[Projected Cost]]</f>
        <v>9625</v>
      </c>
    </row>
    <row r="22" spans="1:15" ht="15.75" customHeight="1">
      <c r="A22" s="122"/>
      <c r="I22" s="151"/>
      <c r="J22" s="304"/>
      <c r="K22" s="305"/>
      <c r="L22" s="309"/>
      <c r="M22" s="311"/>
    </row>
    <row r="23" spans="1:15" ht="15.75" customHeight="1">
      <c r="A23" s="122"/>
      <c r="I23" s="151"/>
      <c r="J23" s="250" t="s">
        <v>171</v>
      </c>
      <c r="K23" s="251"/>
      <c r="L23" s="252"/>
      <c r="M23" s="256">
        <f>12*M21</f>
        <v>115500</v>
      </c>
    </row>
    <row r="24" spans="1:15" ht="15.75" customHeight="1">
      <c r="A24" s="122"/>
      <c r="I24" s="151"/>
      <c r="J24" s="253"/>
      <c r="K24" s="254"/>
      <c r="L24" s="255"/>
      <c r="M24" s="257"/>
      <c r="N24" s="191"/>
    </row>
    <row r="25" spans="1:15" ht="15.75" customHeight="1">
      <c r="A25" s="122"/>
      <c r="I25" s="151"/>
      <c r="J25" s="302" t="s">
        <v>51</v>
      </c>
      <c r="K25" s="303"/>
      <c r="L25" s="329"/>
      <c r="M25" s="306">
        <v>25</v>
      </c>
    </row>
    <row r="26" spans="1:15" ht="15.75" customHeight="1">
      <c r="A26" s="122"/>
      <c r="I26" s="151"/>
      <c r="J26" s="304"/>
      <c r="K26" s="305"/>
      <c r="L26" s="330"/>
      <c r="M26" s="307"/>
    </row>
    <row r="27" spans="1:15" ht="15.75" customHeight="1">
      <c r="A27" s="122"/>
      <c r="I27" s="151"/>
      <c r="J27" s="302" t="s">
        <v>163</v>
      </c>
      <c r="K27" s="303"/>
      <c r="L27" s="308"/>
      <c r="M27" s="310">
        <f>M23*M25</f>
        <v>2887500</v>
      </c>
    </row>
    <row r="28" spans="1:15" ht="15.75" customHeight="1">
      <c r="A28" s="122"/>
      <c r="I28" s="151"/>
      <c r="J28" s="304"/>
      <c r="K28" s="305"/>
      <c r="L28" s="309"/>
      <c r="M28" s="311"/>
      <c r="N28" s="138"/>
      <c r="O28" s="195"/>
    </row>
    <row r="29" spans="1:15" ht="15.75" customHeight="1">
      <c r="A29" s="122"/>
      <c r="I29" s="151"/>
      <c r="N29" s="138"/>
      <c r="O29" s="195"/>
    </row>
    <row r="30" spans="1:15" ht="15.75" customHeight="1">
      <c r="A30" s="122"/>
      <c r="I30" s="151"/>
      <c r="N30" s="138"/>
      <c r="O30" s="198"/>
    </row>
    <row r="31" spans="1:15" ht="15.75" customHeight="1">
      <c r="A31" s="122"/>
      <c r="I31" s="151"/>
      <c r="N31" s="138"/>
      <c r="O31" s="195"/>
    </row>
    <row r="32" spans="1:15" ht="15.75" customHeight="1">
      <c r="A32" s="122"/>
      <c r="I32" s="151"/>
      <c r="N32" s="138"/>
      <c r="O32" s="195"/>
    </row>
    <row r="33" spans="1:14" ht="15.75" customHeight="1">
      <c r="A33" s="122"/>
      <c r="B33" s="166" t="s">
        <v>55</v>
      </c>
      <c r="C33" s="120" t="s">
        <v>172</v>
      </c>
      <c r="I33" s="151"/>
      <c r="M33" s="138"/>
    </row>
    <row r="34" spans="1:14" ht="15.75" customHeight="1">
      <c r="A34" s="122"/>
      <c r="B34" s="156" t="s">
        <v>57</v>
      </c>
      <c r="C34" s="143" t="s">
        <v>58</v>
      </c>
      <c r="D34" s="143" t="s">
        <v>59</v>
      </c>
      <c r="E34" s="143" t="s">
        <v>60</v>
      </c>
      <c r="F34" s="143" t="s">
        <v>61</v>
      </c>
      <c r="G34" s="143" t="s">
        <v>62</v>
      </c>
      <c r="H34" s="143" t="s">
        <v>63</v>
      </c>
      <c r="I34" s="151"/>
      <c r="J34" s="157" t="s">
        <v>173</v>
      </c>
      <c r="K34" s="157"/>
      <c r="L34" s="158"/>
      <c r="M34" s="157"/>
      <c r="N34" s="157"/>
    </row>
    <row r="35" spans="1:14">
      <c r="B35" s="143" t="s">
        <v>64</v>
      </c>
      <c r="C35" s="143"/>
      <c r="D35" s="143"/>
      <c r="E35" s="143"/>
      <c r="F35" s="143"/>
      <c r="G35" s="143"/>
      <c r="H35" s="143"/>
      <c r="J35" s="120" t="s">
        <v>174</v>
      </c>
      <c r="K35" s="159"/>
      <c r="L35" s="159"/>
      <c r="M35" s="159"/>
      <c r="N35" s="159"/>
    </row>
    <row r="36" spans="1:14">
      <c r="B36" s="143" t="s">
        <v>65</v>
      </c>
      <c r="C36" s="143"/>
      <c r="D36" s="143"/>
      <c r="E36" s="143"/>
      <c r="F36" s="143"/>
      <c r="G36" s="143"/>
      <c r="H36" s="143"/>
      <c r="J36" s="186" t="str">
        <f>Table127141731[[#Headers],[LUXURY ITEM 1]]</f>
        <v>LUXURY ITEM 1</v>
      </c>
      <c r="K36" s="187"/>
      <c r="L36" s="160"/>
      <c r="M36" s="161">
        <f>Table127141731[[#Totals],[Projected Cost]]</f>
        <v>0</v>
      </c>
      <c r="N36" s="162">
        <f>M36/$M$41</f>
        <v>0</v>
      </c>
    </row>
    <row r="37" spans="1:14">
      <c r="B37" s="143" t="s">
        <v>66</v>
      </c>
      <c r="C37" s="143"/>
      <c r="D37" s="143"/>
      <c r="E37" s="143"/>
      <c r="F37" s="143"/>
      <c r="G37" s="143"/>
      <c r="H37" s="143"/>
      <c r="J37" s="186" t="str">
        <f>Table334212233[[#Headers],[DONATIONS/ PAY IT FORWARD]]</f>
        <v>DONATIONS/ PAY IT FORWARD</v>
      </c>
      <c r="K37" s="187"/>
      <c r="L37" s="160"/>
      <c r="M37" s="161">
        <f>Table334212233[[#Totals],[Projected Cost]]</f>
        <v>0</v>
      </c>
      <c r="N37" s="162">
        <f>M37/$M$41</f>
        <v>0</v>
      </c>
    </row>
    <row r="38" spans="1:14">
      <c r="B38" s="143" t="s">
        <v>67</v>
      </c>
      <c r="C38" s="143"/>
      <c r="D38" s="143"/>
      <c r="E38" s="143"/>
      <c r="F38" s="143"/>
      <c r="G38" s="143"/>
      <c r="H38" s="143"/>
      <c r="J38" s="186" t="str">
        <f>Table238252734[[#Headers],[LUXURY ITEM 2]]</f>
        <v>LUXURY ITEM 2</v>
      </c>
      <c r="K38" s="187"/>
      <c r="L38" s="160"/>
      <c r="M38" s="161">
        <f>Table238252734[[#Totals],[Projected Cost]]</f>
        <v>325</v>
      </c>
      <c r="N38" s="162">
        <f>M38/$M$41</f>
        <v>3.3766233766233764E-2</v>
      </c>
    </row>
    <row r="39" spans="1:14">
      <c r="B39" s="143" t="s">
        <v>68</v>
      </c>
      <c r="C39" s="143"/>
      <c r="D39" s="143"/>
      <c r="E39" s="143"/>
      <c r="F39" s="143"/>
      <c r="G39" s="143"/>
      <c r="H39" s="143"/>
      <c r="J39" s="186" t="str">
        <f>Table532191832[[#Headers],[FINANCIAL INDEPENDENCE]]</f>
        <v>FINANCIAL INDEPENDENCE</v>
      </c>
      <c r="K39" s="187"/>
      <c r="L39" s="160"/>
      <c r="M39" s="161">
        <f>Table532191832[[#Totals],[Projected Cost]]</f>
        <v>9300</v>
      </c>
      <c r="N39" s="162">
        <f>M39/$M$41</f>
        <v>0.96623376623376622</v>
      </c>
    </row>
    <row r="40" spans="1:14">
      <c r="B40" s="143" t="s">
        <v>70</v>
      </c>
      <c r="C40" s="143"/>
      <c r="D40" s="143"/>
      <c r="E40" s="143"/>
      <c r="F40" s="143"/>
      <c r="G40" s="143"/>
      <c r="H40" s="143"/>
      <c r="J40" s="186"/>
      <c r="K40" s="187"/>
      <c r="L40" s="160"/>
      <c r="M40" s="161"/>
      <c r="N40" s="162"/>
    </row>
    <row r="41" spans="1:14" ht="18">
      <c r="B41" s="143" t="s">
        <v>71</v>
      </c>
      <c r="C41" s="143"/>
      <c r="D41" s="143"/>
      <c r="E41" s="143"/>
      <c r="F41" s="143"/>
      <c r="G41" s="143"/>
      <c r="H41" s="143"/>
      <c r="J41" s="188" t="s">
        <v>69</v>
      </c>
      <c r="K41" s="189"/>
      <c r="L41" s="165"/>
      <c r="M41" s="163">
        <f>SUM(M36:M40)</f>
        <v>9625</v>
      </c>
      <c r="N41" s="164">
        <f>M41/$M$41</f>
        <v>1</v>
      </c>
    </row>
    <row r="42" spans="1:14">
      <c r="B42" s="143" t="s">
        <v>73</v>
      </c>
      <c r="C42" s="143"/>
      <c r="D42" s="143"/>
      <c r="E42" s="143"/>
      <c r="F42" s="143"/>
      <c r="G42" s="143"/>
      <c r="H42" s="143"/>
    </row>
    <row r="43" spans="1:14">
      <c r="B43" s="143" t="s">
        <v>76</v>
      </c>
      <c r="C43" s="143"/>
      <c r="D43" s="143"/>
      <c r="E43" s="143"/>
      <c r="F43" s="143"/>
      <c r="G43" s="143"/>
      <c r="H43" s="143"/>
      <c r="J43" s="331"/>
      <c r="K43" s="331"/>
      <c r="L43" s="331"/>
      <c r="M43" s="331"/>
      <c r="N43" s="331"/>
    </row>
    <row r="44" spans="1:14">
      <c r="B44" s="143" t="s">
        <v>78</v>
      </c>
      <c r="C44" s="143"/>
      <c r="D44" s="143"/>
      <c r="E44" s="143"/>
      <c r="F44" s="143"/>
      <c r="G44" s="143"/>
      <c r="H44" s="143"/>
      <c r="J44" s="268"/>
      <c r="K44" s="268"/>
      <c r="L44" s="219"/>
      <c r="M44" s="332"/>
      <c r="N44" s="332"/>
    </row>
    <row r="45" spans="1:14">
      <c r="B45" s="143" t="s">
        <v>80</v>
      </c>
      <c r="C45" s="143"/>
      <c r="D45" s="143"/>
      <c r="E45" s="143"/>
      <c r="F45" s="143"/>
      <c r="G45" s="143"/>
      <c r="H45" s="143"/>
      <c r="J45" s="333"/>
      <c r="K45" s="333"/>
      <c r="L45" s="219"/>
      <c r="M45" s="334"/>
      <c r="N45" s="334"/>
    </row>
    <row r="46" spans="1:14">
      <c r="B46" s="143" t="s">
        <v>82</v>
      </c>
      <c r="C46" s="143"/>
      <c r="D46" s="143"/>
      <c r="E46" s="143"/>
      <c r="F46" s="143"/>
      <c r="G46" s="143"/>
      <c r="H46" s="143"/>
      <c r="J46" s="268"/>
      <c r="K46" s="268"/>
      <c r="L46" s="269"/>
      <c r="M46" s="335"/>
      <c r="N46" s="335"/>
    </row>
    <row r="47" spans="1:14">
      <c r="B47" s="156" t="s">
        <v>23</v>
      </c>
      <c r="C47" s="156">
        <f>SUM(C35:C46)</f>
        <v>0</v>
      </c>
      <c r="D47" s="156">
        <f t="shared" ref="D47:H47" si="1">SUM(D35:D46)</f>
        <v>0</v>
      </c>
      <c r="E47" s="156">
        <f t="shared" si="1"/>
        <v>0</v>
      </c>
      <c r="F47" s="156">
        <f t="shared" si="1"/>
        <v>0</v>
      </c>
      <c r="G47" s="156">
        <f t="shared" si="1"/>
        <v>0</v>
      </c>
      <c r="H47" s="156">
        <f t="shared" si="1"/>
        <v>0</v>
      </c>
      <c r="J47" s="333"/>
      <c r="K47" s="333"/>
      <c r="L47" s="269"/>
      <c r="M47" s="270"/>
      <c r="N47" s="270"/>
    </row>
    <row r="48" spans="1:14">
      <c r="B48" s="143"/>
      <c r="C48" s="143"/>
      <c r="D48" s="143"/>
      <c r="E48" s="144"/>
      <c r="F48" s="144"/>
      <c r="G48" s="143"/>
      <c r="H48" s="143"/>
      <c r="J48" s="268"/>
      <c r="K48" s="268"/>
      <c r="L48" s="269"/>
      <c r="M48" s="336"/>
      <c r="N48" s="336"/>
    </row>
    <row r="49" spans="1:15">
      <c r="B49" s="156" t="s">
        <v>57</v>
      </c>
      <c r="C49" s="143" t="s">
        <v>88</v>
      </c>
      <c r="D49" s="143" t="s">
        <v>60</v>
      </c>
      <c r="E49" s="143" t="s">
        <v>59</v>
      </c>
      <c r="F49" s="143" t="s">
        <v>89</v>
      </c>
      <c r="G49" s="143" t="s">
        <v>90</v>
      </c>
      <c r="H49" s="143" t="s">
        <v>91</v>
      </c>
      <c r="J49" s="268"/>
      <c r="K49" s="268"/>
      <c r="L49" s="269"/>
      <c r="M49" s="337"/>
      <c r="N49" s="337"/>
    </row>
    <row r="50" spans="1:15" ht="18">
      <c r="B50" s="143" t="s">
        <v>64</v>
      </c>
      <c r="C50" s="248">
        <f t="shared" ref="C50:H65" si="2">SUM(C36:C49)</f>
        <v>0</v>
      </c>
      <c r="D50" s="143"/>
      <c r="E50" s="144"/>
      <c r="F50" s="144"/>
      <c r="G50" s="143"/>
      <c r="H50" s="143"/>
      <c r="J50" s="338"/>
      <c r="K50" s="339"/>
      <c r="L50" s="340"/>
      <c r="M50" s="266"/>
      <c r="N50" s="267"/>
    </row>
    <row r="51" spans="1:15">
      <c r="B51" s="143" t="s">
        <v>65</v>
      </c>
      <c r="C51" s="248">
        <f t="shared" si="2"/>
        <v>0</v>
      </c>
      <c r="D51" s="143"/>
      <c r="E51" s="144"/>
      <c r="F51" s="144"/>
      <c r="G51" s="143"/>
      <c r="H51" s="143"/>
      <c r="J51" s="322" t="s">
        <v>92</v>
      </c>
      <c r="K51" s="322"/>
      <c r="L51" s="322"/>
      <c r="M51" s="322"/>
      <c r="N51" s="322"/>
    </row>
    <row r="52" spans="1:15" ht="17.25">
      <c r="B52" s="143" t="s">
        <v>66</v>
      </c>
      <c r="C52" s="248">
        <f t="shared" si="2"/>
        <v>0</v>
      </c>
      <c r="D52" s="143"/>
      <c r="E52" s="144"/>
      <c r="F52" s="144"/>
      <c r="G52" s="143"/>
      <c r="H52" s="143"/>
      <c r="J52" s="323" t="s">
        <v>93</v>
      </c>
      <c r="K52" s="324"/>
      <c r="L52" s="324"/>
      <c r="M52" s="325"/>
      <c r="N52" s="245">
        <v>0</v>
      </c>
    </row>
    <row r="53" spans="1:15" ht="17.25">
      <c r="B53" s="143" t="s">
        <v>67</v>
      </c>
      <c r="C53" s="248">
        <f t="shared" si="2"/>
        <v>0</v>
      </c>
      <c r="D53" s="143"/>
      <c r="E53" s="144"/>
      <c r="F53" s="144"/>
      <c r="G53" s="143"/>
      <c r="H53" s="143"/>
      <c r="J53" s="318" t="s">
        <v>94</v>
      </c>
      <c r="K53" s="319"/>
      <c r="L53" s="319"/>
      <c r="M53" s="326"/>
      <c r="N53" s="238">
        <v>0.1</v>
      </c>
      <c r="O53" s="229"/>
    </row>
    <row r="54" spans="1:15" ht="17.25">
      <c r="A54" s="120">
        <v>20</v>
      </c>
      <c r="B54" s="143" t="s">
        <v>68</v>
      </c>
      <c r="C54" s="248">
        <f t="shared" si="2"/>
        <v>0</v>
      </c>
      <c r="D54" s="143"/>
      <c r="E54" s="144"/>
      <c r="F54" s="144"/>
      <c r="G54" s="143"/>
      <c r="H54" s="243"/>
      <c r="J54" s="318" t="s">
        <v>95</v>
      </c>
      <c r="K54" s="319"/>
      <c r="L54" s="319"/>
      <c r="M54" s="320"/>
      <c r="N54" s="242">
        <v>30</v>
      </c>
      <c r="O54" s="249"/>
    </row>
    <row r="55" spans="1:15" ht="17.25">
      <c r="B55" s="143" t="s">
        <v>70</v>
      </c>
      <c r="C55" s="248">
        <f t="shared" si="2"/>
        <v>0</v>
      </c>
      <c r="D55" s="143"/>
      <c r="E55" s="143"/>
      <c r="F55" s="143"/>
      <c r="G55" s="143"/>
      <c r="H55" s="244"/>
      <c r="J55" s="239" t="s">
        <v>96</v>
      </c>
      <c r="K55" s="240"/>
      <c r="L55" s="240"/>
      <c r="M55" s="241"/>
      <c r="N55" s="242">
        <v>12</v>
      </c>
      <c r="O55" s="230"/>
    </row>
    <row r="56" spans="1:15" ht="17.25">
      <c r="B56" s="143"/>
      <c r="C56" s="248">
        <f t="shared" si="2"/>
        <v>0</v>
      </c>
      <c r="D56" s="143"/>
      <c r="E56" s="143"/>
      <c r="F56" s="143"/>
      <c r="G56" s="143"/>
      <c r="H56" s="244"/>
      <c r="J56" s="290" t="s">
        <v>97</v>
      </c>
      <c r="K56" s="291"/>
      <c r="L56" s="291"/>
      <c r="M56" s="292"/>
      <c r="N56" s="274">
        <v>10000</v>
      </c>
      <c r="O56" s="230"/>
    </row>
    <row r="57" spans="1:15" ht="17.25">
      <c r="B57" s="143" t="s">
        <v>71</v>
      </c>
      <c r="C57" s="248">
        <f t="shared" si="2"/>
        <v>0</v>
      </c>
      <c r="D57" s="143"/>
      <c r="E57" s="143"/>
      <c r="F57" s="143"/>
      <c r="G57" s="143"/>
      <c r="H57" s="143"/>
      <c r="J57" s="290" t="str">
        <f>"Value after " &amp;TEXT(N54,"##") &amp; " years"</f>
        <v>Value after 30 years</v>
      </c>
      <c r="K57" s="291"/>
      <c r="L57" s="291"/>
      <c r="M57" s="292"/>
      <c r="N57" s="234">
        <f>FV(N53/N55,N54*N55,-N56,-N52)</f>
        <v>22604879.24796053</v>
      </c>
      <c r="O57" s="230"/>
    </row>
    <row r="58" spans="1:15" ht="17.25">
      <c r="B58" s="143" t="s">
        <v>73</v>
      </c>
      <c r="C58" s="248">
        <f t="shared" si="2"/>
        <v>0</v>
      </c>
      <c r="D58" s="143"/>
      <c r="E58" s="143"/>
      <c r="F58" s="143"/>
      <c r="G58" s="143"/>
      <c r="H58" s="143"/>
      <c r="J58" s="290" t="s">
        <v>99</v>
      </c>
      <c r="K58" s="291"/>
      <c r="L58" s="291"/>
      <c r="M58" s="292"/>
      <c r="N58" s="247">
        <f>N57/(N52+N56*N55*N54)</f>
        <v>6.2791331244334803</v>
      </c>
      <c r="O58" s="230"/>
    </row>
    <row r="59" spans="1:15">
      <c r="B59" s="143" t="s">
        <v>76</v>
      </c>
      <c r="C59" s="248">
        <f t="shared" si="2"/>
        <v>0</v>
      </c>
      <c r="D59" s="143"/>
      <c r="E59" s="143"/>
      <c r="F59" s="143"/>
      <c r="G59" s="143"/>
      <c r="H59" s="143"/>
      <c r="O59" s="230"/>
    </row>
    <row r="60" spans="1:15">
      <c r="B60" s="143" t="s">
        <v>78</v>
      </c>
      <c r="C60" s="248">
        <f t="shared" si="2"/>
        <v>0</v>
      </c>
      <c r="D60" s="143"/>
      <c r="E60" s="143"/>
      <c r="F60" s="143"/>
      <c r="G60" s="143"/>
      <c r="H60" s="143"/>
      <c r="J60" s="321" t="s">
        <v>100</v>
      </c>
      <c r="K60" s="321"/>
      <c r="L60" s="321"/>
      <c r="M60" s="321"/>
      <c r="N60" s="321"/>
      <c r="O60" s="230"/>
    </row>
    <row r="61" spans="1:15" ht="17.25">
      <c r="B61" s="143" t="s">
        <v>80</v>
      </c>
      <c r="C61" s="248">
        <f t="shared" si="2"/>
        <v>0</v>
      </c>
      <c r="D61" s="143"/>
      <c r="E61" s="143"/>
      <c r="F61" s="143"/>
      <c r="G61" s="143"/>
      <c r="H61" s="143"/>
      <c r="J61" s="327" t="s">
        <v>101</v>
      </c>
      <c r="K61" s="328"/>
      <c r="L61" s="328"/>
      <c r="M61" s="328"/>
      <c r="N61" s="245">
        <v>0</v>
      </c>
      <c r="O61" s="231"/>
    </row>
    <row r="62" spans="1:15" ht="17.25">
      <c r="B62" s="143" t="s">
        <v>82</v>
      </c>
      <c r="C62" s="248">
        <f t="shared" si="2"/>
        <v>0</v>
      </c>
      <c r="D62" s="143"/>
      <c r="E62" s="143"/>
      <c r="F62" s="143"/>
      <c r="G62" s="143"/>
      <c r="H62" s="143"/>
      <c r="J62" s="318" t="s">
        <v>94</v>
      </c>
      <c r="K62" s="319"/>
      <c r="L62" s="319"/>
      <c r="M62" s="326"/>
      <c r="N62" s="238">
        <v>0.05</v>
      </c>
      <c r="O62" s="194"/>
    </row>
    <row r="63" spans="1:15" ht="17.25">
      <c r="B63" s="143"/>
      <c r="C63" s="248">
        <f t="shared" si="2"/>
        <v>0</v>
      </c>
      <c r="D63" s="143"/>
      <c r="E63" s="143"/>
      <c r="F63" s="143"/>
      <c r="G63" s="143"/>
      <c r="H63" s="143"/>
      <c r="J63" s="318" t="s">
        <v>95</v>
      </c>
      <c r="K63" s="319"/>
      <c r="L63" s="319"/>
      <c r="M63" s="320"/>
      <c r="N63" s="237">
        <v>10</v>
      </c>
    </row>
    <row r="64" spans="1:15" ht="17.25">
      <c r="B64" s="156" t="s">
        <v>23</v>
      </c>
      <c r="C64" s="196">
        <f t="shared" si="2"/>
        <v>0</v>
      </c>
      <c r="D64" s="197">
        <f t="shared" si="2"/>
        <v>0</v>
      </c>
      <c r="E64" s="196">
        <f t="shared" si="2"/>
        <v>0</v>
      </c>
      <c r="F64" s="196">
        <f t="shared" si="2"/>
        <v>0</v>
      </c>
      <c r="G64" s="196">
        <f t="shared" si="2"/>
        <v>0</v>
      </c>
      <c r="H64" s="196">
        <f t="shared" si="2"/>
        <v>0</v>
      </c>
      <c r="J64" s="290" t="str">
        <f>"Value after " &amp;TEXT(N63,"##") &amp; " years"</f>
        <v>Value after 10 years</v>
      </c>
      <c r="K64" s="291"/>
      <c r="L64" s="291"/>
      <c r="M64" s="292"/>
      <c r="N64" s="246">
        <f>N61*(1+N62)^N63</f>
        <v>0</v>
      </c>
      <c r="O64" s="194"/>
    </row>
    <row r="65" spans="2:21" ht="17.25">
      <c r="B65" s="143"/>
      <c r="C65" s="248">
        <f t="shared" si="2"/>
        <v>0</v>
      </c>
      <c r="D65" s="143"/>
      <c r="E65" s="143"/>
      <c r="F65" s="143"/>
      <c r="G65" s="143"/>
      <c r="H65" s="143"/>
      <c r="J65" s="290" t="s">
        <v>99</v>
      </c>
      <c r="K65" s="291"/>
      <c r="L65" s="291"/>
      <c r="M65" s="292"/>
      <c r="N65" s="246" t="e">
        <f>N64/N61</f>
        <v>#DIV/0!</v>
      </c>
      <c r="Q65" s="232"/>
      <c r="R65" s="232"/>
      <c r="S65" s="232"/>
      <c r="T65" s="232"/>
      <c r="U65" s="233"/>
    </row>
    <row r="66" spans="2:21">
      <c r="B66" s="143"/>
      <c r="C66" s="143"/>
      <c r="D66" s="143"/>
      <c r="E66" s="143"/>
      <c r="F66" s="143"/>
      <c r="G66" s="143"/>
      <c r="H66" s="143"/>
      <c r="Q66" s="232"/>
      <c r="R66" s="232"/>
      <c r="S66" s="232"/>
      <c r="T66" s="232"/>
      <c r="U66" s="233"/>
    </row>
    <row r="67" spans="2:21">
      <c r="Q67" s="232"/>
      <c r="R67" s="232"/>
      <c r="S67" s="232"/>
      <c r="T67" s="232"/>
      <c r="U67" s="233"/>
    </row>
  </sheetData>
  <sheetProtection selectLockedCells="1"/>
  <mergeCells count="29">
    <mergeCell ref="J62:M62"/>
    <mergeCell ref="J63:M63"/>
    <mergeCell ref="J64:M64"/>
    <mergeCell ref="J65:M65"/>
    <mergeCell ref="J54:M54"/>
    <mergeCell ref="J56:M56"/>
    <mergeCell ref="J57:M57"/>
    <mergeCell ref="J58:M58"/>
    <mergeCell ref="J60:N60"/>
    <mergeCell ref="J61:M61"/>
    <mergeCell ref="J53:M53"/>
    <mergeCell ref="J43:N43"/>
    <mergeCell ref="M44:N44"/>
    <mergeCell ref="J45:K45"/>
    <mergeCell ref="M45:N45"/>
    <mergeCell ref="M46:N46"/>
    <mergeCell ref="J47:K47"/>
    <mergeCell ref="M48:N48"/>
    <mergeCell ref="M49:N49"/>
    <mergeCell ref="J50:L50"/>
    <mergeCell ref="J51:N51"/>
    <mergeCell ref="J52:M52"/>
    <mergeCell ref="J27:L28"/>
    <mergeCell ref="M27:M28"/>
    <mergeCell ref="J10:M10"/>
    <mergeCell ref="J21:L22"/>
    <mergeCell ref="M21:M22"/>
    <mergeCell ref="J25:L26"/>
    <mergeCell ref="M25:M26"/>
  </mergeCells>
  <conditionalFormatting sqref="M16:M17 E12:E16 M12:M13 E6:H9">
    <cfRule type="iconSet" priority="4">
      <iconSet iconSet="3Signs">
        <cfvo type="percent" val="0"/>
        <cfvo type="num" val="-20"/>
        <cfvo type="num" val="0"/>
      </iconSet>
    </cfRule>
  </conditionalFormatting>
  <conditionalFormatting sqref="N12:O12">
    <cfRule type="iconSet" priority="1">
      <iconSet iconSet="3Signs">
        <cfvo type="percent" val="0"/>
        <cfvo type="num" val="-20"/>
        <cfvo type="num" val="0"/>
      </iconSet>
    </cfRule>
  </conditionalFormatting>
  <conditionalFormatting sqref="F16:G16 G13:G15">
    <cfRule type="iconSet" priority="5">
      <iconSet iconSet="3Signs">
        <cfvo type="percent" val="0"/>
        <cfvo type="num" val="-20"/>
        <cfvo type="num" val="0"/>
      </iconSet>
    </cfRule>
  </conditionalFormatting>
  <conditionalFormatting sqref="F12:F15">
    <cfRule type="iconSet" priority="6">
      <iconSet iconSet="3Signs">
        <cfvo type="percent" val="0"/>
        <cfvo type="num" val="-20"/>
        <cfvo type="num" val="0"/>
      </iconSet>
    </cfRule>
  </conditionalFormatting>
  <conditionalFormatting sqref="G12:H12 H13:H16">
    <cfRule type="iconSet" priority="7">
      <iconSet iconSet="3Signs">
        <cfvo type="percent" val="0"/>
        <cfvo type="num" val="-20"/>
        <cfvo type="num" val="0"/>
      </iconSet>
    </cfRule>
  </conditionalFormatting>
  <conditionalFormatting sqref="N16:O17">
    <cfRule type="iconSet" priority="8">
      <iconSet iconSet="3Signs">
        <cfvo type="percent" val="0"/>
        <cfvo type="num" val="-20"/>
        <cfvo type="num" val="0"/>
      </iconSet>
    </cfRule>
  </conditionalFormatting>
  <conditionalFormatting sqref="M6:M8">
    <cfRule type="iconSet" priority="49">
      <iconSet iconSet="3Signs">
        <cfvo type="percent" val="0"/>
        <cfvo type="num" val="-20"/>
        <cfvo type="num" val="0"/>
      </iconSet>
    </cfRule>
  </conditionalFormatting>
  <conditionalFormatting sqref="N6:O8">
    <cfRule type="iconSet" priority="50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56" orientation="portrait" horizontalDpi="4294967292" r:id="rId1"/>
  <headerFooter alignWithMargins="0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7102-2748-4803-B56A-AA8915B88263}">
  <dimension ref="A1:K60"/>
  <sheetViews>
    <sheetView workbookViewId="0">
      <selection activeCell="C1" sqref="C1"/>
    </sheetView>
  </sheetViews>
  <sheetFormatPr defaultRowHeight="12.75"/>
  <cols>
    <col min="2" max="2" width="19.28515625" customWidth="1"/>
    <col min="6" max="6" width="25.5703125" bestFit="1" customWidth="1"/>
    <col min="7" max="7" width="9.85546875" bestFit="1" customWidth="1"/>
  </cols>
  <sheetData>
    <row r="1" spans="1:11" ht="15.75">
      <c r="A1" s="70"/>
      <c r="B1" t="s">
        <v>175</v>
      </c>
    </row>
    <row r="2" spans="1:11" ht="15.75">
      <c r="A2" s="70"/>
      <c r="B2" t="s">
        <v>176</v>
      </c>
    </row>
    <row r="3" spans="1:11" ht="15.75">
      <c r="A3" s="70"/>
      <c r="B3" t="s">
        <v>177</v>
      </c>
    </row>
    <row r="4" spans="1:11" ht="15.75">
      <c r="A4" s="70"/>
      <c r="B4" t="s">
        <v>178</v>
      </c>
    </row>
    <row r="5" spans="1:11" ht="15.75">
      <c r="A5" s="70"/>
      <c r="B5" t="s">
        <v>179</v>
      </c>
    </row>
    <row r="6" spans="1:11" ht="15.75">
      <c r="A6" s="70"/>
      <c r="B6" t="s">
        <v>180</v>
      </c>
    </row>
    <row r="7" spans="1:11" ht="15.75">
      <c r="A7" s="70"/>
      <c r="F7" s="71"/>
    </row>
    <row r="9" spans="1:11" ht="15.75">
      <c r="A9" s="72" t="s">
        <v>181</v>
      </c>
      <c r="B9" s="73"/>
      <c r="C9" s="73"/>
      <c r="D9" s="73"/>
      <c r="E9" s="73"/>
      <c r="F9" s="73"/>
      <c r="G9" s="73"/>
      <c r="H9" s="73"/>
    </row>
    <row r="10" spans="1:11">
      <c r="A10" s="73"/>
      <c r="B10" s="73"/>
      <c r="C10" s="73"/>
      <c r="D10" s="73"/>
      <c r="E10" s="73"/>
      <c r="F10" s="73"/>
      <c r="G10" s="73"/>
      <c r="H10" s="73"/>
    </row>
    <row r="11" spans="1:11">
      <c r="A11" s="74" t="s">
        <v>182</v>
      </c>
      <c r="B11" s="73"/>
      <c r="C11" s="73"/>
      <c r="D11" s="73"/>
      <c r="E11" s="74" t="s">
        <v>183</v>
      </c>
      <c r="F11" s="73"/>
      <c r="G11" s="73"/>
      <c r="H11" s="73"/>
      <c r="J11" s="113">
        <f>9%*(1-0.167)+2%*(1-0.15)</f>
        <v>9.1969999999999996E-2</v>
      </c>
    </row>
    <row r="12" spans="1:11">
      <c r="A12" s="73"/>
      <c r="B12" s="73"/>
      <c r="C12" s="73"/>
      <c r="D12" s="73"/>
      <c r="E12" s="75" t="s">
        <v>184</v>
      </c>
      <c r="F12" s="73"/>
      <c r="G12" s="73"/>
      <c r="H12" s="73"/>
    </row>
    <row r="13" spans="1:11">
      <c r="A13" s="73"/>
      <c r="B13" s="73" t="s">
        <v>185</v>
      </c>
      <c r="C13" s="76">
        <v>5000</v>
      </c>
      <c r="D13" s="73"/>
      <c r="E13" s="73"/>
      <c r="F13" s="73" t="s">
        <v>186</v>
      </c>
      <c r="G13" s="76">
        <v>1000</v>
      </c>
      <c r="H13" s="73"/>
    </row>
    <row r="14" spans="1:11">
      <c r="A14" s="73"/>
      <c r="B14" s="73" t="s">
        <v>187</v>
      </c>
      <c r="C14" s="77">
        <v>0.12</v>
      </c>
      <c r="D14" s="73"/>
      <c r="E14" s="73"/>
      <c r="F14" s="73" t="s">
        <v>187</v>
      </c>
      <c r="G14" s="77">
        <v>0.06</v>
      </c>
      <c r="H14" s="74"/>
      <c r="J14" s="78" t="s">
        <v>188</v>
      </c>
    </row>
    <row r="15" spans="1:11">
      <c r="A15" s="73"/>
      <c r="B15" s="73" t="s">
        <v>189</v>
      </c>
      <c r="C15" s="79">
        <v>15</v>
      </c>
      <c r="D15" s="73"/>
      <c r="E15" s="73"/>
      <c r="F15" s="73" t="s">
        <v>189</v>
      </c>
      <c r="G15" s="79">
        <v>30</v>
      </c>
      <c r="H15" s="73"/>
    </row>
    <row r="16" spans="1:11">
      <c r="A16" s="73"/>
      <c r="B16" s="73"/>
      <c r="C16" s="73"/>
      <c r="D16" s="73"/>
      <c r="E16" s="73"/>
      <c r="F16" s="73"/>
      <c r="G16" s="73"/>
      <c r="H16" s="73"/>
      <c r="K16" s="80"/>
    </row>
    <row r="17" spans="1:10">
      <c r="A17" s="73"/>
      <c r="B17" s="74" t="str">
        <f>"Value after " &amp;TEXT(C15,"##") &amp; " years"</f>
        <v>Value after 15 years</v>
      </c>
      <c r="C17" s="81">
        <f>Init01*(1+_Int01)^Yrs01</f>
        <v>27367.828796285216</v>
      </c>
      <c r="D17" s="73"/>
      <c r="E17" s="73"/>
      <c r="F17" s="74" t="str">
        <f>"Value after " &amp;TEXT(G15,"##") &amp; " years"</f>
        <v>Value after 30 years</v>
      </c>
      <c r="G17" s="81">
        <f>(Init02*((1+_Int02)^Yrs02-1)/(1-1/(1+_Int02)))</f>
        <v>83801.677388134092</v>
      </c>
      <c r="H17" s="73"/>
      <c r="J17" s="110">
        <f>8%-J18</f>
        <v>3.1E-2</v>
      </c>
    </row>
    <row r="18" spans="1:10">
      <c r="A18" s="73"/>
      <c r="B18" s="73"/>
      <c r="C18" s="73"/>
      <c r="D18" s="73"/>
      <c r="E18" s="73"/>
      <c r="F18" s="73"/>
      <c r="G18" s="73"/>
      <c r="H18" s="73"/>
      <c r="J18" s="110">
        <f>7%/5+1%+2.5%</f>
        <v>4.9000000000000002E-2</v>
      </c>
    </row>
    <row r="20" spans="1:10" ht="15.75">
      <c r="A20" s="93" t="s">
        <v>190</v>
      </c>
      <c r="B20" s="94"/>
      <c r="C20" s="94"/>
      <c r="D20" s="94"/>
      <c r="E20" s="94"/>
      <c r="F20" s="94"/>
      <c r="G20" s="94"/>
      <c r="H20" s="94"/>
    </row>
    <row r="21" spans="1:10">
      <c r="A21" s="94"/>
      <c r="B21" s="94"/>
      <c r="C21" s="94"/>
      <c r="D21" s="94"/>
      <c r="E21" s="94"/>
      <c r="F21" s="94"/>
      <c r="G21" s="94"/>
      <c r="H21" s="94"/>
    </row>
    <row r="22" spans="1:10">
      <c r="A22" s="95" t="s">
        <v>182</v>
      </c>
      <c r="B22" s="94"/>
      <c r="C22" s="94"/>
      <c r="D22" s="94"/>
      <c r="E22" s="95" t="s">
        <v>183</v>
      </c>
      <c r="F22" s="94"/>
      <c r="G22" s="94"/>
      <c r="H22" s="94"/>
    </row>
    <row r="23" spans="1:10">
      <c r="A23" s="94"/>
      <c r="B23" s="94"/>
      <c r="C23" s="94"/>
      <c r="D23" s="94"/>
      <c r="E23" s="96" t="s">
        <v>184</v>
      </c>
      <c r="F23" s="94"/>
      <c r="G23" s="94"/>
      <c r="H23" s="94"/>
    </row>
    <row r="24" spans="1:10">
      <c r="A24" s="94"/>
      <c r="B24" s="94" t="s">
        <v>191</v>
      </c>
      <c r="C24" s="97">
        <v>100000</v>
      </c>
      <c r="D24" s="94"/>
      <c r="E24" s="94"/>
      <c r="F24" s="94" t="s">
        <v>191</v>
      </c>
      <c r="G24" s="101">
        <v>43865</v>
      </c>
      <c r="H24" s="94"/>
    </row>
    <row r="25" spans="1:10">
      <c r="A25" s="94"/>
      <c r="B25" s="94" t="s">
        <v>187</v>
      </c>
      <c r="C25" s="98">
        <v>0.08</v>
      </c>
      <c r="D25" s="94"/>
      <c r="E25" s="94"/>
      <c r="F25" s="94" t="s">
        <v>187</v>
      </c>
      <c r="G25" s="102">
        <v>7.0000000000000007E-2</v>
      </c>
      <c r="H25" s="94"/>
    </row>
    <row r="26" spans="1:10">
      <c r="A26" s="94"/>
      <c r="B26" s="94" t="s">
        <v>189</v>
      </c>
      <c r="C26" s="99">
        <v>20</v>
      </c>
      <c r="D26" s="94"/>
      <c r="E26" s="94"/>
      <c r="F26" s="94" t="s">
        <v>189</v>
      </c>
      <c r="G26" s="103">
        <v>20</v>
      </c>
      <c r="H26" s="94"/>
      <c r="J26" t="s">
        <v>192</v>
      </c>
    </row>
    <row r="27" spans="1:10">
      <c r="A27" s="94"/>
      <c r="B27" s="94"/>
      <c r="C27" s="94"/>
      <c r="D27" s="94"/>
      <c r="E27" s="94"/>
      <c r="F27" s="94"/>
      <c r="G27" s="94"/>
      <c r="H27" s="94"/>
    </row>
    <row r="28" spans="1:10">
      <c r="A28" s="94"/>
      <c r="B28" s="95" t="s">
        <v>193</v>
      </c>
      <c r="C28" s="100">
        <f>Accum03/(1+_Int03)^Yrs03</f>
        <v>21454.820740405656</v>
      </c>
      <c r="D28" s="94"/>
      <c r="E28" s="94"/>
      <c r="F28" s="95" t="s">
        <v>194</v>
      </c>
      <c r="G28" s="100">
        <f>Accum04*(1-(1/(1+_Int04)))/((1+_Int04)^Yrs04-1)</f>
        <v>999.99596983916922</v>
      </c>
      <c r="H28" s="94"/>
    </row>
    <row r="29" spans="1:10">
      <c r="A29" s="94"/>
      <c r="B29" s="94"/>
      <c r="C29" s="94"/>
      <c r="D29" s="94"/>
      <c r="E29" s="94"/>
      <c r="F29" s="94"/>
      <c r="G29" s="94"/>
      <c r="H29" s="94"/>
    </row>
    <row r="31" spans="1:10" ht="15.75">
      <c r="A31" s="82" t="s">
        <v>195</v>
      </c>
      <c r="B31" s="83"/>
      <c r="C31" s="83"/>
      <c r="D31" s="83"/>
      <c r="E31" s="83"/>
      <c r="F31" s="83"/>
      <c r="G31" s="83"/>
      <c r="H31" s="83"/>
    </row>
    <row r="32" spans="1:10">
      <c r="A32" s="83"/>
      <c r="B32" s="83"/>
      <c r="C32" s="83"/>
      <c r="D32" s="83"/>
      <c r="E32" s="83"/>
      <c r="F32" s="83"/>
      <c r="G32" s="83"/>
      <c r="H32" s="83"/>
    </row>
    <row r="33" spans="1:10">
      <c r="A33" s="84" t="s">
        <v>182</v>
      </c>
      <c r="B33" s="83"/>
      <c r="C33" s="83"/>
      <c r="D33" s="83"/>
      <c r="E33" s="84" t="s">
        <v>183</v>
      </c>
      <c r="F33" s="83"/>
      <c r="G33" s="83"/>
      <c r="H33" s="83"/>
    </row>
    <row r="34" spans="1:10">
      <c r="A34" s="83"/>
      <c r="B34" s="83"/>
      <c r="C34" s="83"/>
      <c r="D34" s="83"/>
      <c r="E34" s="85" t="s">
        <v>184</v>
      </c>
      <c r="F34" s="83"/>
      <c r="G34" s="83"/>
      <c r="H34" s="83"/>
    </row>
    <row r="35" spans="1:10">
      <c r="A35" s="83"/>
      <c r="B35" s="83" t="s">
        <v>185</v>
      </c>
      <c r="C35" s="76">
        <v>25000</v>
      </c>
      <c r="D35" s="83"/>
      <c r="E35" s="83"/>
      <c r="F35" s="83" t="s">
        <v>196</v>
      </c>
      <c r="G35" s="76">
        <v>1000</v>
      </c>
      <c r="H35" s="83"/>
    </row>
    <row r="36" spans="1:10">
      <c r="A36" s="83"/>
      <c r="B36" s="83" t="s">
        <v>187</v>
      </c>
      <c r="C36" s="77">
        <v>7.5130000000000002E-2</v>
      </c>
      <c r="D36" s="83"/>
      <c r="E36" s="83"/>
      <c r="F36" s="83" t="s">
        <v>187</v>
      </c>
      <c r="G36" s="77">
        <v>7.5130000000000002E-2</v>
      </c>
      <c r="H36" s="83"/>
      <c r="J36">
        <f>11%*(1-0.15-0.167)</f>
        <v>7.5129999999999988E-2</v>
      </c>
    </row>
    <row r="37" spans="1:10">
      <c r="A37" s="83"/>
      <c r="B37" s="83" t="s">
        <v>191</v>
      </c>
      <c r="C37" s="76">
        <v>77394</v>
      </c>
      <c r="D37" s="83"/>
      <c r="E37" s="83"/>
      <c r="F37" s="83" t="s">
        <v>191</v>
      </c>
      <c r="G37" s="76">
        <v>43865</v>
      </c>
      <c r="H37" s="83"/>
    </row>
    <row r="38" spans="1:10">
      <c r="A38" s="83"/>
      <c r="B38" s="83"/>
      <c r="C38" s="83"/>
      <c r="D38" s="83"/>
      <c r="E38" s="83"/>
      <c r="F38" s="83"/>
      <c r="G38" s="83"/>
      <c r="H38" s="83"/>
    </row>
    <row r="39" spans="1:10">
      <c r="A39" s="83"/>
      <c r="B39" s="84" t="s">
        <v>197</v>
      </c>
      <c r="C39" s="86">
        <f>LN(Accum05/Init05)/LN(1+_Int05)</f>
        <v>15.599236835187254</v>
      </c>
      <c r="D39" s="83"/>
      <c r="E39" s="83"/>
      <c r="F39" s="84" t="s">
        <v>197</v>
      </c>
      <c r="G39" s="86">
        <f>LN((Accum06/Init06)*(_Int06/(1+_Int06))+1)/LN(1+_Int06)</f>
        <v>19.360196343612653</v>
      </c>
      <c r="H39" s="83"/>
    </row>
    <row r="40" spans="1:10">
      <c r="A40" s="83"/>
      <c r="B40" s="83"/>
      <c r="C40" s="87"/>
      <c r="D40" s="83"/>
      <c r="E40" s="83"/>
      <c r="F40" s="83"/>
      <c r="G40" s="83"/>
      <c r="H40" s="83"/>
    </row>
    <row r="42" spans="1:10" ht="15.75">
      <c r="A42" s="104" t="s">
        <v>198</v>
      </c>
      <c r="B42" s="105"/>
      <c r="C42" s="105"/>
      <c r="D42" s="105"/>
      <c r="E42" s="105"/>
      <c r="F42" s="105"/>
      <c r="G42" s="105"/>
      <c r="H42" s="105"/>
    </row>
    <row r="43" spans="1:10">
      <c r="A43" s="105"/>
      <c r="B43" s="105"/>
      <c r="C43" s="105"/>
      <c r="D43" s="105"/>
      <c r="E43" s="105"/>
      <c r="F43" s="105"/>
      <c r="G43" s="105"/>
      <c r="H43" s="105"/>
    </row>
    <row r="44" spans="1:10">
      <c r="A44" s="106" t="s">
        <v>182</v>
      </c>
      <c r="B44" s="105"/>
      <c r="C44" s="105"/>
      <c r="D44" s="105"/>
      <c r="E44" s="106" t="s">
        <v>183</v>
      </c>
      <c r="F44" s="105"/>
      <c r="G44" s="105"/>
      <c r="H44" s="105"/>
    </row>
    <row r="45" spans="1:10">
      <c r="A45" s="105"/>
      <c r="B45" s="105"/>
      <c r="C45" s="105"/>
      <c r="D45" s="105"/>
      <c r="E45" s="107" t="s">
        <v>184</v>
      </c>
      <c r="F45" s="105"/>
      <c r="G45" s="105"/>
      <c r="H45" s="105"/>
    </row>
    <row r="46" spans="1:10">
      <c r="A46" s="105"/>
      <c r="B46" s="105" t="s">
        <v>185</v>
      </c>
      <c r="C46" s="97">
        <v>20000</v>
      </c>
      <c r="D46" s="105"/>
      <c r="E46" s="105"/>
      <c r="F46" s="105" t="s">
        <v>185</v>
      </c>
      <c r="G46" s="97">
        <v>1000</v>
      </c>
      <c r="H46" s="105"/>
    </row>
    <row r="47" spans="1:10">
      <c r="A47" s="105"/>
      <c r="B47" s="105" t="s">
        <v>189</v>
      </c>
      <c r="C47" s="99">
        <v>20</v>
      </c>
      <c r="D47" s="105"/>
      <c r="E47" s="105"/>
      <c r="F47" s="105" t="s">
        <v>189</v>
      </c>
      <c r="G47" s="99">
        <v>20</v>
      </c>
      <c r="H47" s="105"/>
    </row>
    <row r="48" spans="1:10">
      <c r="A48" s="105"/>
      <c r="B48" s="105" t="s">
        <v>191</v>
      </c>
      <c r="C48" s="97">
        <v>200000</v>
      </c>
      <c r="D48" s="105"/>
      <c r="E48" s="105"/>
      <c r="F48" s="105" t="s">
        <v>191</v>
      </c>
      <c r="G48" s="97">
        <v>43865</v>
      </c>
      <c r="H48" s="105"/>
    </row>
    <row r="49" spans="1:8">
      <c r="A49" s="105"/>
      <c r="B49" s="105"/>
      <c r="C49" s="105"/>
      <c r="D49" s="105"/>
      <c r="E49" s="105"/>
      <c r="F49" s="105"/>
      <c r="G49" s="105"/>
      <c r="H49" s="105"/>
    </row>
    <row r="50" spans="1:8">
      <c r="A50" s="105"/>
      <c r="B50" s="106" t="s">
        <v>199</v>
      </c>
      <c r="C50" s="109">
        <f>(Accum07/Init07)^(1/Yrs07)-1</f>
        <v>0.12201845430196356</v>
      </c>
      <c r="D50" s="105"/>
      <c r="E50" s="105"/>
      <c r="F50" s="106" t="s">
        <v>199</v>
      </c>
      <c r="G50" s="109">
        <f>RATE(Yrs08,Init08,0,-Accum08,1)</f>
        <v>6.9999660013711162E-2</v>
      </c>
      <c r="H50" s="105"/>
    </row>
    <row r="51" spans="1:8">
      <c r="A51" s="105"/>
      <c r="B51" s="105"/>
      <c r="C51" s="108"/>
      <c r="D51" s="105"/>
      <c r="E51" s="105"/>
      <c r="F51" s="105"/>
      <c r="G51" s="105"/>
      <c r="H51" s="105"/>
    </row>
    <row r="53" spans="1:8" ht="15.75" hidden="1">
      <c r="A53" s="89" t="s">
        <v>200</v>
      </c>
      <c r="B53" s="90"/>
      <c r="C53" s="90"/>
      <c r="D53" s="90"/>
      <c r="E53" s="90"/>
      <c r="F53" s="90"/>
      <c r="G53" s="90"/>
      <c r="H53" s="90"/>
    </row>
    <row r="54" spans="1:8" hidden="1">
      <c r="A54" s="90"/>
      <c r="B54" s="90"/>
      <c r="C54" s="90"/>
      <c r="D54" s="90"/>
      <c r="E54" s="90"/>
      <c r="F54" s="90"/>
      <c r="G54" s="90"/>
      <c r="H54" s="90"/>
    </row>
    <row r="55" spans="1:8" hidden="1">
      <c r="A55" s="90"/>
      <c r="B55" s="90" t="s">
        <v>201</v>
      </c>
      <c r="C55" s="77">
        <v>0.01</v>
      </c>
      <c r="D55" s="90"/>
      <c r="E55" s="90"/>
      <c r="F55" s="90" t="s">
        <v>202</v>
      </c>
      <c r="G55" s="77">
        <v>0.05</v>
      </c>
      <c r="H55" s="90"/>
    </row>
    <row r="56" spans="1:8" hidden="1">
      <c r="A56" s="90"/>
      <c r="B56" s="90" t="s">
        <v>203</v>
      </c>
      <c r="C56" s="91" t="s">
        <v>204</v>
      </c>
      <c r="D56" s="90"/>
      <c r="E56" s="90"/>
      <c r="F56" s="90" t="s">
        <v>205</v>
      </c>
      <c r="G56" s="91" t="s">
        <v>206</v>
      </c>
      <c r="H56" s="90"/>
    </row>
    <row r="57" spans="1:8" hidden="1">
      <c r="A57" s="90"/>
      <c r="B57" s="90"/>
      <c r="C57" s="90"/>
      <c r="D57" s="90"/>
      <c r="E57" s="90"/>
      <c r="F57" s="90"/>
      <c r="G57" s="90"/>
      <c r="H57" s="90"/>
    </row>
    <row r="58" spans="1:8" hidden="1">
      <c r="A58" s="90"/>
      <c r="B58" s="92" t="s">
        <v>207</v>
      </c>
      <c r="C58" s="88">
        <f>(1+Conrate)^VLOOKUP(Conper,Per_table,2)-1</f>
        <v>0.12682503013196977</v>
      </c>
      <c r="D58" s="90"/>
      <c r="E58" s="90"/>
      <c r="F58" s="92" t="str">
        <f>TEXT(Annper,"")&amp;" rate"</f>
        <v>Daily rate</v>
      </c>
      <c r="G58" s="88">
        <f>(1+Annrate)^(1/VLOOKUP(Annper,Per_table,2))-1</f>
        <v>1.3358911160632481E-4</v>
      </c>
      <c r="H58" s="90"/>
    </row>
    <row r="59" spans="1:8" hidden="1">
      <c r="A59" s="90"/>
      <c r="B59" s="90"/>
      <c r="C59" s="90"/>
      <c r="D59" s="90"/>
      <c r="E59" s="90"/>
      <c r="F59" s="90"/>
      <c r="G59" s="90"/>
      <c r="H59" s="90"/>
    </row>
    <row r="60" spans="1:8" hidden="1"/>
  </sheetData>
  <dataValidations count="1">
    <dataValidation type="list" allowBlank="1" showInputMessage="1" showErrorMessage="1" sqref="G56 C56" xr:uid="{3A06701D-FAE0-4F0E-997C-803F2ADDCD82}">
      <formula1>Periods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M88"/>
  <sheetViews>
    <sheetView showGridLines="0" topLeftCell="C28" workbookViewId="0">
      <selection activeCell="H28" sqref="H28"/>
    </sheetView>
  </sheetViews>
  <sheetFormatPr defaultRowHeight="12.75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5" customWidth="1"/>
    <col min="7" max="7" width="29.28515625" customWidth="1"/>
    <col min="8" max="8" width="16.5703125" customWidth="1"/>
    <col min="9" max="9" width="13.42578125" customWidth="1"/>
    <col min="10" max="10" width="12.5703125" customWidth="1"/>
    <col min="11" max="11" width="20.28515625" bestFit="1" customWidth="1"/>
    <col min="12" max="12" width="22.85546875" bestFit="1" customWidth="1"/>
  </cols>
  <sheetData>
    <row r="1" spans="1:10" ht="8.1" customHeight="1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>
      <c r="A2" s="3"/>
      <c r="B2" s="347" t="s">
        <v>208</v>
      </c>
      <c r="C2" s="347"/>
      <c r="D2" s="347"/>
      <c r="E2" s="347"/>
      <c r="F2" s="347"/>
      <c r="G2" s="347"/>
      <c r="H2" s="347"/>
      <c r="I2" s="347"/>
      <c r="J2" s="347"/>
    </row>
    <row r="3" spans="1:10" ht="8.1" customHeight="1">
      <c r="A3" s="2"/>
      <c r="B3" s="353"/>
      <c r="C3" s="353"/>
      <c r="D3" s="353"/>
      <c r="E3" s="2"/>
      <c r="F3" s="4"/>
      <c r="G3" s="2"/>
      <c r="H3" s="5"/>
      <c r="I3" s="6"/>
      <c r="J3" s="7"/>
    </row>
    <row r="4" spans="1:10" ht="15.95" customHeight="1">
      <c r="A4" s="2"/>
      <c r="B4" s="350" t="s">
        <v>209</v>
      </c>
      <c r="C4" s="341" t="s">
        <v>210</v>
      </c>
      <c r="D4" s="342"/>
      <c r="E4" s="16">
        <v>500</v>
      </c>
      <c r="F4" s="4"/>
      <c r="G4" s="345" t="s">
        <v>211</v>
      </c>
      <c r="H4" s="345"/>
      <c r="I4" s="345"/>
      <c r="J4" s="344">
        <f>E10-J67</f>
        <v>284</v>
      </c>
    </row>
    <row r="5" spans="1:10" ht="15.95" customHeight="1">
      <c r="A5" s="2"/>
      <c r="B5" s="351"/>
      <c r="C5" s="341" t="s">
        <v>210</v>
      </c>
      <c r="D5" s="342"/>
      <c r="E5" s="16">
        <v>200</v>
      </c>
      <c r="F5" s="4"/>
      <c r="G5" s="345"/>
      <c r="H5" s="345"/>
      <c r="I5" s="345"/>
      <c r="J5" s="344"/>
    </row>
    <row r="6" spans="1:10" ht="15.95" customHeight="1">
      <c r="A6" s="2"/>
      <c r="B6" s="351"/>
      <c r="C6" s="341" t="s">
        <v>212</v>
      </c>
      <c r="D6" s="342"/>
      <c r="E6" s="16">
        <v>500</v>
      </c>
      <c r="F6" s="4"/>
      <c r="G6" s="345"/>
      <c r="H6" s="345"/>
      <c r="I6" s="345"/>
      <c r="J6" s="344"/>
    </row>
    <row r="7" spans="1:10" ht="15.95" customHeight="1">
      <c r="A7" s="2"/>
      <c r="B7" s="351"/>
      <c r="C7" s="25" t="s">
        <v>213</v>
      </c>
      <c r="D7" s="26"/>
      <c r="E7" s="16">
        <v>0</v>
      </c>
      <c r="F7" s="4"/>
      <c r="G7" s="27"/>
      <c r="H7" s="27"/>
      <c r="I7" s="27"/>
      <c r="J7" s="15"/>
    </row>
    <row r="8" spans="1:10" ht="15.95" customHeight="1">
      <c r="A8" s="2"/>
      <c r="B8" s="351"/>
      <c r="C8" s="341" t="s">
        <v>214</v>
      </c>
      <c r="D8" s="342"/>
      <c r="E8" s="16">
        <v>227</v>
      </c>
      <c r="F8" s="4"/>
      <c r="G8" s="27"/>
      <c r="H8" s="27"/>
      <c r="I8" s="27"/>
      <c r="J8" s="15"/>
    </row>
    <row r="9" spans="1:10" ht="15.95" customHeight="1">
      <c r="A9" s="2"/>
      <c r="B9" s="351"/>
      <c r="C9" s="25" t="s">
        <v>215</v>
      </c>
      <c r="D9" s="26"/>
      <c r="E9" s="16"/>
      <c r="F9" s="4"/>
      <c r="G9" s="27"/>
      <c r="H9" s="27"/>
      <c r="I9" s="27"/>
      <c r="J9" s="15"/>
    </row>
    <row r="10" spans="1:10" ht="15.95" customHeight="1">
      <c r="A10" s="2"/>
      <c r="B10" s="352"/>
      <c r="C10" s="348" t="s">
        <v>216</v>
      </c>
      <c r="D10" s="349"/>
      <c r="E10" s="15">
        <f>SUM(E4:E8)</f>
        <v>1427</v>
      </c>
      <c r="F10" s="4"/>
      <c r="G10" s="345" t="s">
        <v>217</v>
      </c>
      <c r="H10" s="345"/>
      <c r="I10" s="345"/>
      <c r="J10" s="344">
        <f>E17-J69</f>
        <v>1234</v>
      </c>
    </row>
    <row r="11" spans="1:10" ht="15.95" customHeight="1">
      <c r="A11" s="2"/>
      <c r="B11" s="350" t="s">
        <v>218</v>
      </c>
      <c r="C11" s="341" t="s">
        <v>210</v>
      </c>
      <c r="D11" s="342"/>
      <c r="E11" s="16">
        <v>500</v>
      </c>
      <c r="F11" s="4"/>
      <c r="G11" s="345"/>
      <c r="H11" s="345"/>
      <c r="I11" s="345"/>
      <c r="J11" s="344"/>
    </row>
    <row r="12" spans="1:10" ht="15.95" customHeight="1">
      <c r="A12" s="2"/>
      <c r="B12" s="351"/>
      <c r="C12" s="341" t="s">
        <v>210</v>
      </c>
      <c r="D12" s="342"/>
      <c r="E12" s="16">
        <v>500</v>
      </c>
      <c r="F12" s="4"/>
      <c r="G12" s="27"/>
      <c r="H12" s="27"/>
      <c r="I12" s="27"/>
      <c r="J12" s="15"/>
    </row>
    <row r="13" spans="1:10" ht="15.95" customHeight="1">
      <c r="A13" s="2"/>
      <c r="B13" s="351"/>
      <c r="C13" s="341" t="s">
        <v>212</v>
      </c>
      <c r="D13" s="342"/>
      <c r="E13" s="16">
        <v>500</v>
      </c>
      <c r="F13" s="4"/>
      <c r="G13" s="27"/>
      <c r="H13" s="27"/>
      <c r="I13" s="27"/>
      <c r="J13" s="15"/>
    </row>
    <row r="14" spans="1:10" ht="15.95" customHeight="1">
      <c r="A14" s="2"/>
      <c r="B14" s="351"/>
      <c r="C14" s="25" t="s">
        <v>213</v>
      </c>
      <c r="D14" s="26"/>
      <c r="E14" s="16"/>
      <c r="F14" s="4"/>
      <c r="G14" s="27"/>
      <c r="H14" s="27"/>
      <c r="I14" s="27"/>
      <c r="J14" s="15"/>
    </row>
    <row r="15" spans="1:10" ht="15.95" customHeight="1">
      <c r="A15" s="2"/>
      <c r="B15" s="351"/>
      <c r="C15" s="341" t="s">
        <v>214</v>
      </c>
      <c r="D15" s="342"/>
      <c r="E15" s="16">
        <v>227</v>
      </c>
      <c r="F15" s="4"/>
      <c r="G15" s="27"/>
      <c r="H15" s="27"/>
      <c r="I15" s="27"/>
      <c r="J15" s="15"/>
    </row>
    <row r="16" spans="1:10" ht="15.95" customHeight="1">
      <c r="A16" s="2"/>
      <c r="B16" s="351"/>
      <c r="C16" s="25" t="s">
        <v>215</v>
      </c>
      <c r="D16" s="26"/>
      <c r="E16" s="16">
        <v>0</v>
      </c>
      <c r="F16" s="4"/>
      <c r="G16" s="345" t="s">
        <v>219</v>
      </c>
      <c r="H16" s="345"/>
      <c r="I16" s="345"/>
      <c r="J16" s="344">
        <f>J10-J4</f>
        <v>950</v>
      </c>
    </row>
    <row r="17" spans="1:10" ht="15.95" customHeight="1">
      <c r="A17" s="2"/>
      <c r="B17" s="352"/>
      <c r="C17" s="348" t="s">
        <v>216</v>
      </c>
      <c r="D17" s="349"/>
      <c r="E17" s="15">
        <f>SUM(E11:E16)</f>
        <v>1727</v>
      </c>
      <c r="F17" s="4"/>
      <c r="G17" s="345"/>
      <c r="H17" s="345"/>
      <c r="I17" s="345"/>
      <c r="J17" s="344"/>
    </row>
    <row r="18" spans="1:10" ht="15.95" customHeight="1">
      <c r="A18" s="2"/>
      <c r="B18" s="8"/>
      <c r="C18" s="8"/>
      <c r="D18" s="9"/>
      <c r="E18" s="10"/>
      <c r="F18" s="4"/>
      <c r="G18" s="11"/>
      <c r="H18" s="11"/>
      <c r="I18" s="11"/>
      <c r="J18" s="12"/>
    </row>
    <row r="19" spans="1:10" ht="15.95" customHeight="1">
      <c r="A19" s="2"/>
      <c r="B19" s="17" t="s">
        <v>220</v>
      </c>
      <c r="C19" s="18" t="s">
        <v>2</v>
      </c>
      <c r="D19" s="18" t="s">
        <v>3</v>
      </c>
      <c r="E19" s="19" t="s">
        <v>4</v>
      </c>
      <c r="F19" s="14"/>
      <c r="G19" s="17" t="s">
        <v>221</v>
      </c>
      <c r="H19" s="18" t="s">
        <v>2</v>
      </c>
      <c r="I19" s="18" t="s">
        <v>3</v>
      </c>
      <c r="J19" s="19" t="s">
        <v>4</v>
      </c>
    </row>
    <row r="20" spans="1:10" ht="15.75" customHeight="1">
      <c r="A20" s="2"/>
      <c r="B20" s="24" t="s">
        <v>222</v>
      </c>
      <c r="C20" s="20">
        <v>0</v>
      </c>
      <c r="D20" s="20">
        <v>0</v>
      </c>
      <c r="E20" s="21">
        <f>Table1[[#This Row],[Projected Cost]]-Table1[[#This Row],[Actual Cost]]</f>
        <v>0</v>
      </c>
      <c r="F20" s="13"/>
      <c r="G20" s="24" t="s">
        <v>223</v>
      </c>
      <c r="H20" s="20">
        <v>0</v>
      </c>
      <c r="I20" s="20">
        <v>0</v>
      </c>
      <c r="J20" s="21">
        <f>Table2[[#This Row],[Projected Cost]]-Table2[[#This Row],[Actual Cost]]</f>
        <v>0</v>
      </c>
    </row>
    <row r="21" spans="1:10" ht="15.75" customHeight="1">
      <c r="A21" s="2"/>
      <c r="B21" s="24" t="s">
        <v>224</v>
      </c>
      <c r="C21" s="20">
        <v>60</v>
      </c>
      <c r="D21" s="20">
        <v>0</v>
      </c>
      <c r="E21" s="21">
        <f>Table1[[#This Row],[Projected Cost]]-Table1[[#This Row],[Actual Cost]]</f>
        <v>60</v>
      </c>
      <c r="F21" s="13"/>
      <c r="G21" s="24" t="s">
        <v>225</v>
      </c>
      <c r="H21" s="20"/>
      <c r="I21" s="20"/>
      <c r="J21" s="21">
        <f>Table2[[#This Row],[Projected Cost]]-Table2[[#This Row],[Actual Cost]]</f>
        <v>0</v>
      </c>
    </row>
    <row r="22" spans="1:10" ht="15.75" customHeight="1">
      <c r="A22" s="2"/>
      <c r="B22" s="24" t="s">
        <v>226</v>
      </c>
      <c r="C22" s="20">
        <v>30</v>
      </c>
      <c r="D22" s="20">
        <v>30</v>
      </c>
      <c r="E22" s="21">
        <f>Table1[[#This Row],[Projected Cost]]-Table1[[#This Row],[Actual Cost]]</f>
        <v>0</v>
      </c>
      <c r="F22" s="13"/>
      <c r="G22" s="24" t="s">
        <v>227</v>
      </c>
      <c r="H22" s="20"/>
      <c r="I22" s="20"/>
      <c r="J22" s="21">
        <f>Table2[[#This Row],[Projected Cost]]-Table2[[#This Row],[Actual Cost]]</f>
        <v>0</v>
      </c>
    </row>
    <row r="23" spans="1:10" ht="15.75" customHeight="1">
      <c r="A23" s="2"/>
      <c r="B23" s="24" t="s">
        <v>228</v>
      </c>
      <c r="C23" s="20">
        <v>0</v>
      </c>
      <c r="D23" s="20">
        <v>0</v>
      </c>
      <c r="E23" s="21">
        <f>Table1[[#This Row],[Projected Cost]]-Table1[[#This Row],[Actual Cost]]</f>
        <v>0</v>
      </c>
      <c r="F23" s="13"/>
      <c r="G23" s="24" t="s">
        <v>229</v>
      </c>
      <c r="H23" s="20">
        <v>0</v>
      </c>
      <c r="I23" s="20">
        <v>32</v>
      </c>
      <c r="J23" s="21">
        <f>Table2[[#This Row],[Projected Cost]]-Table2[[#This Row],[Actual Cost]]</f>
        <v>-32</v>
      </c>
    </row>
    <row r="24" spans="1:10" ht="15.75" customHeight="1">
      <c r="A24" s="2"/>
      <c r="B24" s="24" t="s">
        <v>230</v>
      </c>
      <c r="C24" s="20">
        <v>17</v>
      </c>
      <c r="D24" s="20">
        <v>17</v>
      </c>
      <c r="E24" s="21">
        <f>Table1[[#This Row],[Projected Cost]]-Table1[[#This Row],[Actual Cost]]</f>
        <v>0</v>
      </c>
      <c r="F24" s="13"/>
      <c r="G24" s="24" t="s">
        <v>231</v>
      </c>
      <c r="H24" s="20"/>
      <c r="I24" s="20"/>
      <c r="J24" s="21">
        <f>Table2[[#This Row],[Projected Cost]]-Table2[[#This Row],[Actual Cost]]</f>
        <v>0</v>
      </c>
    </row>
    <row r="25" spans="1:10" ht="15.75" customHeight="1">
      <c r="A25" s="2"/>
      <c r="B25" s="24" t="s">
        <v>232</v>
      </c>
      <c r="C25" s="20">
        <v>0</v>
      </c>
      <c r="D25" s="20"/>
      <c r="E25" s="21">
        <f>Table1[[#This Row],[Projected Cost]]-Table1[[#This Row],[Actual Cost]]</f>
        <v>0</v>
      </c>
      <c r="F25" s="13"/>
      <c r="G25" s="24" t="s">
        <v>233</v>
      </c>
      <c r="H25" s="20"/>
      <c r="I25" s="20"/>
      <c r="J25" s="21">
        <f>Table2[[#This Row],[Projected Cost]]-Table2[[#This Row],[Actual Cost]]</f>
        <v>0</v>
      </c>
    </row>
    <row r="26" spans="1:10" ht="15.75" customHeight="1">
      <c r="A26" s="2"/>
      <c r="B26" s="24" t="s">
        <v>234</v>
      </c>
      <c r="C26" s="20">
        <v>0</v>
      </c>
      <c r="D26" s="20">
        <v>0</v>
      </c>
      <c r="E26" s="21">
        <f>Table1[[#This Row],[Projected Cost]]-Table1[[#This Row],[Actual Cost]]</f>
        <v>0</v>
      </c>
      <c r="F26" s="13"/>
      <c r="G26" s="24" t="s">
        <v>235</v>
      </c>
      <c r="H26" s="20">
        <v>0</v>
      </c>
      <c r="I26" s="20">
        <v>300</v>
      </c>
      <c r="J26" s="21">
        <f>Table2[[#This Row],[Projected Cost]]-Table2[[#This Row],[Actual Cost]]</f>
        <v>-300</v>
      </c>
    </row>
    <row r="27" spans="1:10" ht="15.75" customHeight="1">
      <c r="A27" s="2"/>
      <c r="B27" s="24" t="s">
        <v>236</v>
      </c>
      <c r="C27" s="20">
        <v>0</v>
      </c>
      <c r="D27" s="20"/>
      <c r="E27" s="21">
        <f>Table1[[#This Row],[Projected Cost]]-Table1[[#This Row],[Actual Cost]]</f>
        <v>0</v>
      </c>
      <c r="F27" s="13"/>
      <c r="G27" s="24" t="s">
        <v>237</v>
      </c>
      <c r="H27" s="20">
        <f>13+18+9+33</f>
        <v>73</v>
      </c>
      <c r="I27" s="20">
        <v>73</v>
      </c>
      <c r="J27" s="21">
        <f>Table2[[#This Row],[Projected Cost]]-Table2[[#This Row],[Actual Cost]]</f>
        <v>0</v>
      </c>
    </row>
    <row r="28" spans="1:10" ht="15.75" customHeight="1">
      <c r="A28" s="2"/>
      <c r="B28" s="24" t="s">
        <v>238</v>
      </c>
      <c r="C28" s="20">
        <v>0</v>
      </c>
      <c r="D28" s="20"/>
      <c r="E28" s="21">
        <f>Table1[[#This Row],[Projected Cost]]-Table1[[#This Row],[Actual Cost]]</f>
        <v>0</v>
      </c>
      <c r="F28" s="13"/>
      <c r="G28" s="24" t="s">
        <v>239</v>
      </c>
      <c r="H28" s="20"/>
      <c r="I28" s="20"/>
      <c r="J28" s="21">
        <f>Table2[[#This Row],[Projected Cost]]-Table2[[#This Row],[Actual Cost]]</f>
        <v>0</v>
      </c>
    </row>
    <row r="29" spans="1:10" ht="15.75" customHeight="1">
      <c r="A29" s="2"/>
      <c r="B29" s="24" t="s">
        <v>240</v>
      </c>
      <c r="C29" s="67">
        <v>0</v>
      </c>
      <c r="D29" s="20">
        <v>0</v>
      </c>
      <c r="E29" s="21">
        <f>Table1[[#This Row],[Projected Cost]]-Table1[[#This Row],[Actual Cost]]</f>
        <v>0</v>
      </c>
      <c r="F29" s="13"/>
      <c r="G29" s="17" t="s">
        <v>23</v>
      </c>
      <c r="H29" s="22">
        <f>SUBTOTAL(109,Table2[Projected Cost])</f>
        <v>73</v>
      </c>
      <c r="I29" s="20">
        <f>SUBTOTAL(109,Table2[Actual Cost])</f>
        <v>405</v>
      </c>
      <c r="J29" s="23">
        <f>SUBTOTAL(109,Table2[Difference])</f>
        <v>-332</v>
      </c>
    </row>
    <row r="30" spans="1:10" ht="15.75" customHeight="1">
      <c r="A30" s="2"/>
      <c r="B30" s="17" t="s">
        <v>23</v>
      </c>
      <c r="C30" s="20">
        <f>SUBTOTAL(109,Table1[Projected Cost])</f>
        <v>107</v>
      </c>
      <c r="D30" s="20">
        <f>SUBTOTAL(109,Table1[Actual Cost])</f>
        <v>47</v>
      </c>
      <c r="E30" s="23">
        <f>SUBTOTAL(109,Table1[Difference])</f>
        <v>60</v>
      </c>
      <c r="F30" s="13"/>
      <c r="G30" s="343"/>
      <c r="H30" s="343"/>
      <c r="I30" s="343"/>
      <c r="J30" s="343"/>
    </row>
    <row r="31" spans="1:10" ht="15.75" customHeight="1">
      <c r="A31" s="2"/>
      <c r="B31" s="343"/>
      <c r="C31" s="343"/>
      <c r="D31" s="343"/>
      <c r="E31" s="343"/>
      <c r="F31" s="13"/>
      <c r="G31" s="17" t="s">
        <v>241</v>
      </c>
      <c r="H31" s="18" t="s">
        <v>2</v>
      </c>
      <c r="I31" s="18" t="s">
        <v>3</v>
      </c>
      <c r="J31" s="19" t="s">
        <v>4</v>
      </c>
    </row>
    <row r="32" spans="1:10" ht="15.75" customHeight="1">
      <c r="A32" s="2"/>
      <c r="B32" s="17" t="s">
        <v>8</v>
      </c>
      <c r="C32" s="18" t="s">
        <v>2</v>
      </c>
      <c r="D32" s="18" t="s">
        <v>3</v>
      </c>
      <c r="E32" s="19" t="s">
        <v>4</v>
      </c>
      <c r="F32" s="13"/>
      <c r="G32" s="24" t="s">
        <v>242</v>
      </c>
      <c r="H32" s="20"/>
      <c r="I32" s="20"/>
      <c r="J32" s="21">
        <f>Table8[[#This Row],[Projected Cost]]-Table8[[#This Row],[Actual Cost]]</f>
        <v>0</v>
      </c>
    </row>
    <row r="33" spans="1:10" ht="15.75" customHeight="1">
      <c r="A33" s="2"/>
      <c r="B33" s="24" t="s">
        <v>243</v>
      </c>
      <c r="C33" s="20">
        <v>0</v>
      </c>
      <c r="D33" s="20">
        <v>0</v>
      </c>
      <c r="E33" s="21">
        <f>Table3[[#This Row],[Projected Cost]]-Table3[[#This Row],[Actual Cost]]</f>
        <v>0</v>
      </c>
      <c r="F33" s="13"/>
      <c r="G33" s="24" t="s">
        <v>244</v>
      </c>
      <c r="H33" s="20"/>
      <c r="I33" s="20"/>
      <c r="J33" s="21">
        <f>Table8[[#This Row],[Projected Cost]]-Table8[[#This Row],[Actual Cost]]</f>
        <v>0</v>
      </c>
    </row>
    <row r="34" spans="1:10" ht="15.75" customHeight="1">
      <c r="A34" s="2"/>
      <c r="B34" s="24" t="s">
        <v>245</v>
      </c>
      <c r="C34" s="20">
        <v>30</v>
      </c>
      <c r="D34" s="20"/>
      <c r="E34" s="21">
        <f>Table3[[#This Row],[Projected Cost]]-Table3[[#This Row],[Actual Cost]]</f>
        <v>30</v>
      </c>
      <c r="F34" s="13"/>
      <c r="G34" s="24" t="s">
        <v>246</v>
      </c>
      <c r="H34" s="20"/>
      <c r="I34" s="20"/>
      <c r="J34" s="21">
        <f>Table8[[#This Row],[Projected Cost]]-Table8[[#This Row],[Actual Cost]]</f>
        <v>0</v>
      </c>
    </row>
    <row r="35" spans="1:10" ht="15.75" customHeight="1">
      <c r="A35" s="2"/>
      <c r="B35" s="24" t="s">
        <v>247</v>
      </c>
      <c r="C35" s="20"/>
      <c r="D35" s="20"/>
      <c r="E35" s="21">
        <f>Table3[[#This Row],[Projected Cost]]-Table3[[#This Row],[Actual Cost]]</f>
        <v>0</v>
      </c>
      <c r="F35" s="13"/>
      <c r="G35" s="24" t="s">
        <v>246</v>
      </c>
      <c r="H35" s="20"/>
      <c r="I35" s="20"/>
      <c r="J35" s="21">
        <f>Table8[[#This Row],[Projected Cost]]-Table8[[#This Row],[Actual Cost]]</f>
        <v>0</v>
      </c>
    </row>
    <row r="36" spans="1:10" ht="15.75" customHeight="1">
      <c r="A36" s="2"/>
      <c r="B36" s="24" t="s">
        <v>248</v>
      </c>
      <c r="C36" s="20"/>
      <c r="D36" s="20"/>
      <c r="E36" s="21">
        <f>Table3[[#This Row],[Projected Cost]]-Table3[[#This Row],[Actual Cost]]</f>
        <v>0</v>
      </c>
      <c r="F36" s="13"/>
      <c r="G36" s="24" t="s">
        <v>246</v>
      </c>
      <c r="H36" s="20"/>
      <c r="I36" s="20"/>
      <c r="J36" s="21">
        <f>Table8[[#This Row],[Projected Cost]]-Table8[[#This Row],[Actual Cost]]</f>
        <v>0</v>
      </c>
    </row>
    <row r="37" spans="1:10" ht="15.75" customHeight="1">
      <c r="A37" s="2"/>
      <c r="B37" s="24" t="s">
        <v>249</v>
      </c>
      <c r="C37" s="20">
        <v>120</v>
      </c>
      <c r="D37" s="20"/>
      <c r="E37" s="21">
        <f>Table3[[#This Row],[Projected Cost]]-Table3[[#This Row],[Actual Cost]]</f>
        <v>120</v>
      </c>
      <c r="F37" s="13"/>
      <c r="G37" s="24" t="s">
        <v>239</v>
      </c>
      <c r="H37" s="20"/>
      <c r="I37" s="20"/>
      <c r="J37" s="21">
        <f>Table8[[#This Row],[Projected Cost]]-Table8[[#This Row],[Actual Cost]]</f>
        <v>0</v>
      </c>
    </row>
    <row r="38" spans="1:10" ht="15.75" customHeight="1">
      <c r="A38" s="2"/>
      <c r="B38" s="24" t="s">
        <v>250</v>
      </c>
      <c r="C38" s="20">
        <v>17</v>
      </c>
      <c r="D38" s="20"/>
      <c r="E38" s="21">
        <f>Table3[[#This Row],[Projected Cost]]-Table3[[#This Row],[Actual Cost]]</f>
        <v>17</v>
      </c>
      <c r="F38" s="13"/>
      <c r="G38" s="17" t="s">
        <v>23</v>
      </c>
      <c r="H38" s="20">
        <f>SUBTOTAL(109,Table8[Projected Cost])</f>
        <v>0</v>
      </c>
      <c r="I38" s="20">
        <f>SUBTOTAL(109,Table8[Actual Cost])</f>
        <v>0</v>
      </c>
      <c r="J38" s="23">
        <f>SUBTOTAL(109,Table8[Difference])</f>
        <v>0</v>
      </c>
    </row>
    <row r="39" spans="1:10" ht="15.75" customHeight="1">
      <c r="A39" s="2"/>
      <c r="B39" s="24" t="s">
        <v>251</v>
      </c>
      <c r="C39" s="20">
        <v>10</v>
      </c>
      <c r="D39" s="20"/>
      <c r="E39" s="21">
        <f>Table3[[#This Row],[Projected Cost]]-Table3[[#This Row],[Actual Cost]]</f>
        <v>10</v>
      </c>
      <c r="F39" s="13"/>
      <c r="G39" s="343"/>
      <c r="H39" s="343"/>
      <c r="I39" s="343"/>
      <c r="J39" s="343"/>
    </row>
    <row r="40" spans="1:10" ht="15.75" customHeight="1">
      <c r="A40" s="2"/>
      <c r="B40" s="17" t="s">
        <v>23</v>
      </c>
      <c r="C40" s="20">
        <f>SUBTOTAL(109,Table3[Projected Cost])</f>
        <v>177</v>
      </c>
      <c r="D40" s="20">
        <f>SUBTOTAL(109,Table3[Actual Cost])</f>
        <v>0</v>
      </c>
      <c r="E40" s="23">
        <f>SUBTOTAL(109,Table3[Difference])</f>
        <v>177</v>
      </c>
      <c r="F40" s="13"/>
      <c r="G40" s="17" t="s">
        <v>252</v>
      </c>
      <c r="H40" s="18" t="s">
        <v>2</v>
      </c>
      <c r="I40" s="18" t="s">
        <v>3</v>
      </c>
      <c r="J40" s="19" t="s">
        <v>4</v>
      </c>
    </row>
    <row r="41" spans="1:10" ht="15.75" customHeight="1">
      <c r="A41" s="2"/>
      <c r="B41" s="343"/>
      <c r="C41" s="343"/>
      <c r="D41" s="343"/>
      <c r="E41" s="343"/>
      <c r="F41" s="13"/>
      <c r="G41" s="24" t="s">
        <v>253</v>
      </c>
      <c r="H41" s="20"/>
      <c r="I41" s="20"/>
      <c r="J41" s="21">
        <f>Table9[[#This Row],[Projected Cost]]-Table9[[#This Row],[Actual Cost]]</f>
        <v>0</v>
      </c>
    </row>
    <row r="42" spans="1:10" ht="15.75" customHeight="1">
      <c r="A42" s="2"/>
      <c r="B42" s="17" t="s">
        <v>254</v>
      </c>
      <c r="C42" s="18" t="s">
        <v>2</v>
      </c>
      <c r="D42" s="18" t="s">
        <v>3</v>
      </c>
      <c r="E42" s="19" t="s">
        <v>4</v>
      </c>
      <c r="F42" s="13"/>
      <c r="G42" s="24" t="s">
        <v>255</v>
      </c>
      <c r="H42" s="20"/>
      <c r="I42" s="20"/>
      <c r="J42" s="21">
        <f>Table9[[#This Row],[Projected Cost]]-Table9[[#This Row],[Actual Cost]]</f>
        <v>0</v>
      </c>
    </row>
    <row r="43" spans="1:10" ht="15.75" customHeight="1">
      <c r="A43" s="2"/>
      <c r="B43" s="24" t="s">
        <v>256</v>
      </c>
      <c r="C43" s="20"/>
      <c r="D43" s="20"/>
      <c r="E43" s="21">
        <f>Table4[[#This Row],[Projected Cost]]-Table4[[#This Row],[Actual Cost]]</f>
        <v>0</v>
      </c>
      <c r="F43" s="13"/>
      <c r="G43" s="24" t="s">
        <v>257</v>
      </c>
      <c r="H43" s="20"/>
      <c r="I43" s="20"/>
      <c r="J43" s="21">
        <f>Table9[[#This Row],[Projected Cost]]-Table9[[#This Row],[Actual Cost]]</f>
        <v>0</v>
      </c>
    </row>
    <row r="44" spans="1:10" ht="15.75" customHeight="1">
      <c r="A44" s="2"/>
      <c r="B44" s="24" t="s">
        <v>258</v>
      </c>
      <c r="C44" s="20"/>
      <c r="D44" s="20"/>
      <c r="E44" s="21">
        <f>Table4[[#This Row],[Projected Cost]]-Table4[[#This Row],[Actual Cost]]</f>
        <v>0</v>
      </c>
      <c r="F44" s="13"/>
      <c r="G44" s="24" t="s">
        <v>239</v>
      </c>
      <c r="H44" s="20"/>
      <c r="I44" s="20"/>
      <c r="J44" s="21">
        <f>Table9[[#This Row],[Projected Cost]]-Table9[[#This Row],[Actual Cost]]</f>
        <v>0</v>
      </c>
    </row>
    <row r="45" spans="1:10" ht="15.75" customHeight="1">
      <c r="A45" s="2"/>
      <c r="B45" s="24" t="s">
        <v>259</v>
      </c>
      <c r="C45" s="20"/>
      <c r="D45" s="20"/>
      <c r="E45" s="21">
        <f>Table4[[#This Row],[Projected Cost]]-Table4[[#This Row],[Actual Cost]]</f>
        <v>0</v>
      </c>
      <c r="F45" s="13"/>
      <c r="G45" s="17" t="s">
        <v>23</v>
      </c>
      <c r="H45" s="20">
        <f>SUBTOTAL(109,Table9[Projected Cost])</f>
        <v>0</v>
      </c>
      <c r="I45" s="20">
        <f>SUBTOTAL(109,Table9[Actual Cost])</f>
        <v>0</v>
      </c>
      <c r="J45" s="23">
        <f>SUBTOTAL(109,Table9[Difference])</f>
        <v>0</v>
      </c>
    </row>
    <row r="46" spans="1:10" ht="15.75" customHeight="1">
      <c r="A46" s="2"/>
      <c r="B46" s="24" t="s">
        <v>239</v>
      </c>
      <c r="C46" s="20"/>
      <c r="D46" s="20"/>
      <c r="E46" s="21">
        <f>Table4[[#This Row],[Projected Cost]]-Table4[[#This Row],[Actual Cost]]</f>
        <v>0</v>
      </c>
      <c r="F46" s="13"/>
      <c r="G46" s="343"/>
      <c r="H46" s="343"/>
      <c r="I46" s="343"/>
      <c r="J46" s="343"/>
    </row>
    <row r="47" spans="1:10" ht="15.75" customHeight="1">
      <c r="A47" s="2"/>
      <c r="B47" s="17" t="s">
        <v>23</v>
      </c>
      <c r="C47" s="20">
        <f>SUBTOTAL(109,Table4[Projected Cost])</f>
        <v>0</v>
      </c>
      <c r="D47" s="20">
        <f>SUBTOTAL(109,Table4[Actual Cost])</f>
        <v>0</v>
      </c>
      <c r="E47" s="23">
        <f>SUBTOTAL(109,Table4[Difference])</f>
        <v>0</v>
      </c>
      <c r="F47" s="13"/>
      <c r="G47" s="17" t="s">
        <v>260</v>
      </c>
      <c r="H47" s="18" t="s">
        <v>2</v>
      </c>
      <c r="I47" s="18" t="s">
        <v>3</v>
      </c>
      <c r="J47" s="19" t="s">
        <v>4</v>
      </c>
    </row>
    <row r="48" spans="1:10" ht="15.75" customHeight="1">
      <c r="A48" s="2"/>
      <c r="B48" s="343"/>
      <c r="C48" s="343"/>
      <c r="D48" s="343"/>
      <c r="E48" s="343"/>
      <c r="F48" s="13"/>
      <c r="G48" s="24" t="s">
        <v>261</v>
      </c>
      <c r="H48" s="20"/>
      <c r="I48" s="20"/>
      <c r="J48" s="21">
        <f>Table10[[#This Row],[Projected Cost]]-Table10[[#This Row],[Actual Cost]]</f>
        <v>0</v>
      </c>
    </row>
    <row r="49" spans="1:10" ht="15.75" customHeight="1">
      <c r="A49" s="2"/>
      <c r="B49" s="17" t="s">
        <v>262</v>
      </c>
      <c r="C49" s="18" t="s">
        <v>2</v>
      </c>
      <c r="D49" s="18" t="s">
        <v>3</v>
      </c>
      <c r="E49" s="19" t="s">
        <v>4</v>
      </c>
      <c r="F49" s="13"/>
      <c r="G49" s="24" t="s">
        <v>263</v>
      </c>
      <c r="H49" s="20"/>
      <c r="I49" s="20"/>
      <c r="J49" s="21">
        <f>Table10[[#This Row],[Projected Cost]]-Table10[[#This Row],[Actual Cost]]</f>
        <v>0</v>
      </c>
    </row>
    <row r="50" spans="1:10" ht="15.75" customHeight="1">
      <c r="A50" s="2"/>
      <c r="B50" s="24" t="s">
        <v>264</v>
      </c>
      <c r="C50" s="20">
        <v>270</v>
      </c>
      <c r="D50" s="20"/>
      <c r="E50" s="21">
        <f>Table5[[#This Row],[Projected Cost]]-Table5[[#This Row],[Actual Cost]]</f>
        <v>270</v>
      </c>
      <c r="F50" s="13"/>
      <c r="G50" s="24" t="s">
        <v>212</v>
      </c>
      <c r="H50" s="20">
        <v>50</v>
      </c>
      <c r="I50" s="20">
        <v>0</v>
      </c>
      <c r="J50" s="21">
        <f>Table10[[#This Row],[Projected Cost]]-Table10[[#This Row],[Actual Cost]]</f>
        <v>50</v>
      </c>
    </row>
    <row r="51" spans="1:10" ht="15.75" customHeight="1">
      <c r="A51" s="2"/>
      <c r="B51" s="24" t="s">
        <v>265</v>
      </c>
      <c r="C51" s="20">
        <v>50</v>
      </c>
      <c r="D51" s="20">
        <v>41</v>
      </c>
      <c r="E51" s="21">
        <f>Table5[[#This Row],[Projected Cost]]-Table5[[#This Row],[Actual Cost]]</f>
        <v>9</v>
      </c>
      <c r="F51" s="13"/>
      <c r="G51" s="17" t="s">
        <v>23</v>
      </c>
      <c r="H51" s="20">
        <f>SUBTOTAL(109,Table10[Projected Cost])</f>
        <v>50</v>
      </c>
      <c r="I51" s="20">
        <f>SUBTOTAL(109,Table10[Actual Cost])</f>
        <v>0</v>
      </c>
      <c r="J51" s="23">
        <f>SUBTOTAL(109,Table10[Difference])</f>
        <v>50</v>
      </c>
    </row>
    <row r="52" spans="1:10" ht="15.75" customHeight="1">
      <c r="A52" s="2"/>
      <c r="B52" s="24" t="s">
        <v>239</v>
      </c>
      <c r="C52" s="20"/>
      <c r="D52" s="20"/>
      <c r="E52" s="21">
        <f>Table5[[#This Row],[Projected Cost]]-Table5[[#This Row],[Actual Cost]]</f>
        <v>0</v>
      </c>
      <c r="F52" s="13"/>
      <c r="G52" s="343"/>
      <c r="H52" s="343"/>
      <c r="I52" s="343"/>
      <c r="J52" s="343"/>
    </row>
    <row r="53" spans="1:10" ht="15.75" customHeight="1">
      <c r="A53" s="2"/>
      <c r="B53" s="17" t="s">
        <v>23</v>
      </c>
      <c r="C53" s="20">
        <f>SUBTOTAL(109,Table5[Projected Cost])</f>
        <v>320</v>
      </c>
      <c r="D53" s="20">
        <f>SUBTOTAL(109,Table5[Actual Cost])</f>
        <v>41</v>
      </c>
      <c r="E53" s="23">
        <f>SUBTOTAL(109,Table5[Difference])</f>
        <v>279</v>
      </c>
      <c r="F53" s="13"/>
      <c r="G53" s="17" t="s">
        <v>266</v>
      </c>
      <c r="H53" s="18" t="s">
        <v>2</v>
      </c>
      <c r="I53" s="18" t="s">
        <v>3</v>
      </c>
      <c r="J53" s="19" t="s">
        <v>4</v>
      </c>
    </row>
    <row r="54" spans="1:10" ht="15.75" customHeight="1">
      <c r="A54" s="2"/>
      <c r="B54" s="63"/>
      <c r="C54" s="64"/>
      <c r="D54" s="64"/>
      <c r="E54" s="64"/>
      <c r="F54" s="13"/>
      <c r="G54" s="24" t="s">
        <v>267</v>
      </c>
      <c r="H54" s="68">
        <v>50</v>
      </c>
      <c r="I54" s="65">
        <v>0</v>
      </c>
      <c r="J54" s="66">
        <f>Table11[[#This Row],[Projected Cost]]-Table11[[#This Row],[Actual Cost]]</f>
        <v>50</v>
      </c>
    </row>
    <row r="55" spans="1:10" ht="15.75" customHeight="1">
      <c r="A55" s="2"/>
      <c r="B55" s="343"/>
      <c r="C55" s="343"/>
      <c r="D55" s="343"/>
      <c r="E55" s="343"/>
      <c r="F55" s="13"/>
      <c r="G55" s="24" t="s">
        <v>268</v>
      </c>
      <c r="H55" s="20">
        <v>50</v>
      </c>
      <c r="I55" s="20"/>
      <c r="J55" s="21">
        <f>Table11[[#This Row],[Projected Cost]]-Table11[[#This Row],[Actual Cost]]</f>
        <v>50</v>
      </c>
    </row>
    <row r="56" spans="1:10" ht="15.75" customHeight="1">
      <c r="A56" s="2"/>
      <c r="B56" s="17" t="s">
        <v>269</v>
      </c>
      <c r="C56" s="18" t="s">
        <v>2</v>
      </c>
      <c r="D56" s="18" t="s">
        <v>3</v>
      </c>
      <c r="E56" s="19" t="s">
        <v>4</v>
      </c>
      <c r="F56" s="13"/>
      <c r="G56" s="24" t="s">
        <v>270</v>
      </c>
      <c r="H56" s="20">
        <v>50</v>
      </c>
      <c r="I56" s="20">
        <v>0</v>
      </c>
      <c r="J56" s="21">
        <f>Table11[[#This Row],[Projected Cost]]-Table11[[#This Row],[Actual Cost]]</f>
        <v>50</v>
      </c>
    </row>
    <row r="57" spans="1:10" ht="15.75" customHeight="1">
      <c r="A57" s="2"/>
      <c r="B57" s="24" t="s">
        <v>271</v>
      </c>
      <c r="C57" s="20">
        <v>100</v>
      </c>
      <c r="D57" s="20">
        <v>0</v>
      </c>
      <c r="E57" s="21">
        <f>Table6[[#This Row],[Projected Cost]]-Table6[[#This Row],[Actual Cost]]</f>
        <v>100</v>
      </c>
      <c r="F57" s="13"/>
      <c r="G57" s="24" t="s">
        <v>272</v>
      </c>
      <c r="H57" s="20">
        <v>10</v>
      </c>
      <c r="I57" s="20">
        <v>0</v>
      </c>
      <c r="J57" s="21">
        <f>Table11[[#This Row],[Projected Cost]]-Table11[[#This Row],[Actual Cost]]</f>
        <v>10</v>
      </c>
    </row>
    <row r="58" spans="1:10" ht="15.75" customHeight="1">
      <c r="A58" s="2"/>
      <c r="B58" s="24"/>
      <c r="C58" s="20">
        <v>0</v>
      </c>
      <c r="D58" s="20"/>
      <c r="E58" s="21">
        <f>Table6[[#This Row],[Projected Cost]]-Table6[[#This Row],[Actual Cost]]</f>
        <v>0</v>
      </c>
      <c r="F58" s="13"/>
      <c r="G58" s="17" t="s">
        <v>23</v>
      </c>
      <c r="H58" s="20">
        <f>SUBTOTAL(109,Table11[Projected Cost])</f>
        <v>160</v>
      </c>
      <c r="I58" s="20">
        <f>SUBTOTAL(109,Table11[Actual Cost])</f>
        <v>0</v>
      </c>
      <c r="J58" s="23">
        <f>SUBTOTAL(109,Table11[Difference])</f>
        <v>160</v>
      </c>
    </row>
    <row r="59" spans="1:10" ht="15.75" customHeight="1">
      <c r="A59" s="2"/>
      <c r="B59" s="24" t="s">
        <v>273</v>
      </c>
      <c r="C59" s="20"/>
      <c r="D59" s="20"/>
      <c r="E59" s="21">
        <f>Table6[[#This Row],[Projected Cost]]-Table6[[#This Row],[Actual Cost]]</f>
        <v>0</v>
      </c>
      <c r="F59" s="13"/>
      <c r="G59" s="343"/>
      <c r="H59" s="343"/>
      <c r="I59" s="343"/>
      <c r="J59" s="343"/>
    </row>
    <row r="60" spans="1:10" ht="15.75" customHeight="1">
      <c r="A60" s="2"/>
      <c r="B60" s="24" t="s">
        <v>274</v>
      </c>
      <c r="C60" s="20">
        <v>0</v>
      </c>
      <c r="D60" s="20"/>
      <c r="E60" s="21">
        <f>Table6[[#This Row],[Projected Cost]]-Table6[[#This Row],[Actual Cost]]</f>
        <v>0</v>
      </c>
      <c r="F60" s="13"/>
      <c r="G60" s="17" t="s">
        <v>275</v>
      </c>
      <c r="H60" s="18" t="s">
        <v>2</v>
      </c>
      <c r="I60" s="18" t="s">
        <v>3</v>
      </c>
      <c r="J60" s="19" t="s">
        <v>4</v>
      </c>
    </row>
    <row r="61" spans="1:10" ht="15.75" customHeight="1">
      <c r="A61" s="2"/>
      <c r="B61" s="24" t="s">
        <v>215</v>
      </c>
      <c r="C61" s="20">
        <v>0</v>
      </c>
      <c r="D61" s="20"/>
      <c r="E61" s="21">
        <f>Table6[[#This Row],[Projected Cost]]-Table6[[#This Row],[Actual Cost]]</f>
        <v>0</v>
      </c>
      <c r="F61" s="13"/>
      <c r="G61" s="24"/>
      <c r="H61" s="20"/>
      <c r="I61" s="20"/>
      <c r="J61" s="21">
        <f>Table12[[#This Row],[Projected Cost]]-Table12[[#This Row],[Actual Cost]]</f>
        <v>0</v>
      </c>
    </row>
    <row r="62" spans="1:10" ht="15.75" customHeight="1">
      <c r="A62" s="2"/>
      <c r="B62" s="17" t="s">
        <v>23</v>
      </c>
      <c r="C62" s="20">
        <f>SUBTOTAL(109,Table6[Projected Cost])</f>
        <v>100</v>
      </c>
      <c r="D62" s="20">
        <f>SUBTOTAL(109,Table6[Actual Cost])</f>
        <v>0</v>
      </c>
      <c r="E62" s="23">
        <f>SUBTOTAL(109,Table6[Difference])</f>
        <v>100</v>
      </c>
      <c r="F62" s="13"/>
      <c r="G62" s="24"/>
      <c r="H62" s="20">
        <v>0</v>
      </c>
      <c r="I62" s="20"/>
      <c r="J62" s="21">
        <f>Table12[[#This Row],[Projected Cost]]-Table12[[#This Row],[Actual Cost]]</f>
        <v>0</v>
      </c>
    </row>
    <row r="63" spans="1:10" ht="15.75" customHeight="1">
      <c r="A63" s="2"/>
      <c r="B63" s="343"/>
      <c r="C63" s="343"/>
      <c r="D63" s="343"/>
      <c r="E63" s="343"/>
      <c r="F63" s="13"/>
      <c r="G63" s="24"/>
      <c r="H63" s="20"/>
      <c r="I63" s="20"/>
      <c r="J63" s="21">
        <f>Table12[[#This Row],[Projected Cost]]-Table12[[#This Row],[Actual Cost]]</f>
        <v>0</v>
      </c>
    </row>
    <row r="64" spans="1:10" ht="15.75" customHeight="1">
      <c r="A64" s="2"/>
      <c r="B64" s="17" t="s">
        <v>109</v>
      </c>
      <c r="C64" s="18" t="s">
        <v>2</v>
      </c>
      <c r="D64" s="18" t="s">
        <v>3</v>
      </c>
      <c r="E64" s="19" t="s">
        <v>4</v>
      </c>
      <c r="F64" s="13"/>
      <c r="G64" s="24" t="s">
        <v>239</v>
      </c>
      <c r="H64" s="20"/>
      <c r="I64" s="20"/>
      <c r="J64" s="21">
        <f>Table12[[#This Row],[Projected Cost]]-Table12[[#This Row],[Actual Cost]]</f>
        <v>0</v>
      </c>
    </row>
    <row r="65" spans="1:13" ht="15.75" customHeight="1">
      <c r="A65" s="2"/>
      <c r="B65" s="24" t="s">
        <v>276</v>
      </c>
      <c r="C65" s="20">
        <v>70</v>
      </c>
      <c r="D65" s="20">
        <v>0</v>
      </c>
      <c r="E65" s="21">
        <f>Table7[[#This Row],[Projected Cost]]-Table7[[#This Row],[Actual Cost]]</f>
        <v>70</v>
      </c>
      <c r="F65" s="13"/>
      <c r="G65" s="17" t="s">
        <v>23</v>
      </c>
      <c r="H65" s="20">
        <f>SUBTOTAL(109,Table12[Projected Cost])</f>
        <v>0</v>
      </c>
      <c r="I65" s="20">
        <f>SUBTOTAL(109,Table12[Actual Cost])</f>
        <v>0</v>
      </c>
      <c r="J65" s="23">
        <f>SUBTOTAL(109,Table12[Difference])</f>
        <v>0</v>
      </c>
    </row>
    <row r="66" spans="1:13" ht="15.75" customHeight="1">
      <c r="A66" s="2"/>
      <c r="B66" s="24" t="s">
        <v>277</v>
      </c>
      <c r="C66" s="20">
        <f>15+6</f>
        <v>21</v>
      </c>
      <c r="D66" s="20">
        <v>0</v>
      </c>
      <c r="E66" s="21">
        <f>Table7[[#This Row],[Projected Cost]]-Table7[[#This Row],[Actual Cost]]</f>
        <v>21</v>
      </c>
      <c r="F66" s="2"/>
      <c r="G66" s="346"/>
      <c r="H66" s="346"/>
      <c r="I66" s="346"/>
      <c r="J66" s="346"/>
    </row>
    <row r="67" spans="1:13" ht="15.75" customHeight="1">
      <c r="A67" s="2"/>
      <c r="B67" s="24" t="s">
        <v>278</v>
      </c>
      <c r="C67" s="20"/>
      <c r="D67" s="20"/>
      <c r="E67" s="21">
        <f>Table7[[#This Row],[Projected Cost]]-Table7[[#This Row],[Actual Cost]]</f>
        <v>0</v>
      </c>
      <c r="F67" s="2"/>
      <c r="G67" s="345" t="s">
        <v>279</v>
      </c>
      <c r="H67" s="345"/>
      <c r="I67" s="345"/>
      <c r="J67" s="344">
        <f>SUM(C30,C40,C47,C53,C62,C72,H29,H38,H45,H51,H58,H65)</f>
        <v>1143</v>
      </c>
    </row>
    <row r="68" spans="1:13" ht="15.75" customHeight="1">
      <c r="A68" s="2"/>
      <c r="B68" s="24" t="s">
        <v>280</v>
      </c>
      <c r="C68" s="20">
        <v>15</v>
      </c>
      <c r="D68" s="20"/>
      <c r="E68" s="21">
        <f>Table7[[#This Row],[Projected Cost]]-Table7[[#This Row],[Actual Cost]]</f>
        <v>15</v>
      </c>
      <c r="F68" s="2"/>
      <c r="G68" s="345"/>
      <c r="H68" s="345"/>
      <c r="I68" s="345"/>
      <c r="J68" s="344"/>
    </row>
    <row r="69" spans="1:13" ht="15.75" customHeight="1">
      <c r="A69" s="2"/>
      <c r="B69" s="24" t="s">
        <v>281</v>
      </c>
      <c r="C69" s="20">
        <v>50</v>
      </c>
      <c r="D69" s="20">
        <v>0</v>
      </c>
      <c r="E69" s="21">
        <f>Table7[[#This Row],[Projected Cost]]-Table7[[#This Row],[Actual Cost]]</f>
        <v>50</v>
      </c>
      <c r="F69" s="2"/>
      <c r="G69" s="345" t="s">
        <v>282</v>
      </c>
      <c r="H69" s="345"/>
      <c r="I69" s="345"/>
      <c r="J69" s="344">
        <f>SUM(D30,D40,D47,D53,D62,D72,I29,I38,I45,I51,I58,I65)</f>
        <v>493</v>
      </c>
    </row>
    <row r="70" spans="1:13" ht="15.75" customHeight="1">
      <c r="A70" s="2"/>
      <c r="B70" s="24" t="s">
        <v>215</v>
      </c>
      <c r="C70" s="20">
        <v>0</v>
      </c>
      <c r="D70" s="20"/>
      <c r="E70" s="21">
        <f>Table7[[#This Row],[Projected Cost]]-Table7[[#This Row],[Actual Cost]]</f>
        <v>0</v>
      </c>
      <c r="F70" s="2"/>
      <c r="G70" s="345"/>
      <c r="H70" s="345"/>
      <c r="I70" s="345"/>
      <c r="J70" s="344"/>
    </row>
    <row r="71" spans="1:13" ht="15.75" customHeight="1">
      <c r="A71" s="2"/>
      <c r="B71" s="24" t="s">
        <v>215</v>
      </c>
      <c r="C71" s="20">
        <v>0</v>
      </c>
      <c r="D71" s="20"/>
      <c r="E71" s="21">
        <f>Table7[[#This Row],[Projected Cost]]-Table7[[#This Row],[Actual Cost]]</f>
        <v>0</v>
      </c>
      <c r="F71" s="2"/>
      <c r="G71" s="345" t="s">
        <v>283</v>
      </c>
      <c r="H71" s="345"/>
      <c r="I71" s="345"/>
      <c r="J71" s="344">
        <f>SUM(E30,E40,E47,E53,E62,E72,J29,J38,J45,J51,J58,J65)</f>
        <v>650</v>
      </c>
    </row>
    <row r="72" spans="1:13" ht="15.75" customHeight="1">
      <c r="A72" s="2"/>
      <c r="B72" s="17" t="s">
        <v>23</v>
      </c>
      <c r="C72" s="20">
        <f>SUBTOTAL(109,Table7[Projected Cost])</f>
        <v>156</v>
      </c>
      <c r="D72" s="20">
        <f>SUBTOTAL(109,Table7[Actual Cost])</f>
        <v>0</v>
      </c>
      <c r="E72" s="23">
        <f>SUBTOTAL(109,Table7[Difference])</f>
        <v>156</v>
      </c>
      <c r="F72" s="2"/>
      <c r="G72" s="345"/>
      <c r="H72" s="345"/>
      <c r="I72" s="345"/>
      <c r="J72" s="344"/>
    </row>
    <row r="73" spans="1:13" ht="15.75" customHeight="1"/>
    <row r="74" spans="1:13">
      <c r="G74" s="114" t="str">
        <f>G49</f>
        <v>Investment account</v>
      </c>
    </row>
    <row r="75" spans="1:13">
      <c r="G75" s="17" t="s">
        <v>284</v>
      </c>
      <c r="H75" s="18" t="s">
        <v>2</v>
      </c>
      <c r="I75" s="18" t="s">
        <v>3</v>
      </c>
      <c r="J75" s="19" t="s">
        <v>4</v>
      </c>
      <c r="K75" t="s">
        <v>285</v>
      </c>
      <c r="L75" t="s">
        <v>286</v>
      </c>
      <c r="M75" t="s">
        <v>60</v>
      </c>
    </row>
    <row r="76" spans="1:13">
      <c r="G76" s="119" t="s">
        <v>7</v>
      </c>
      <c r="H76" s="20"/>
      <c r="I76" s="20"/>
      <c r="J76" s="21">
        <f>Table726[[#This Row],[Projected Cost]]-Table726[[#This Row],[Actual Cost]]</f>
        <v>0</v>
      </c>
      <c r="K76" s="115">
        <v>0.2</v>
      </c>
      <c r="L76" s="69" t="s">
        <v>287</v>
      </c>
      <c r="M76" s="116">
        <v>0.3</v>
      </c>
    </row>
    <row r="77" spans="1:13">
      <c r="G77" s="119" t="s">
        <v>288</v>
      </c>
      <c r="H77" s="20"/>
      <c r="I77" s="20"/>
      <c r="J77" s="21">
        <f>Table726[[#This Row],[Projected Cost]]-Table726[[#This Row],[Actual Cost]]</f>
        <v>0</v>
      </c>
      <c r="K77" s="29">
        <v>0</v>
      </c>
      <c r="L77" s="69" t="s">
        <v>289</v>
      </c>
      <c r="M77" s="116">
        <v>0.4</v>
      </c>
    </row>
    <row r="78" spans="1:13">
      <c r="G78" s="119" t="s">
        <v>290</v>
      </c>
      <c r="H78" s="20"/>
      <c r="I78" s="20"/>
      <c r="J78" s="21">
        <f>Table726[[#This Row],[Projected Cost]]-Table726[[#This Row],[Actual Cost]]</f>
        <v>0</v>
      </c>
      <c r="K78" s="29">
        <v>15</v>
      </c>
      <c r="L78" s="69" t="s">
        <v>291</v>
      </c>
      <c r="M78" s="116">
        <v>0.15</v>
      </c>
    </row>
    <row r="79" spans="1:13">
      <c r="G79" s="119" t="s">
        <v>292</v>
      </c>
      <c r="H79" s="20"/>
      <c r="I79" s="20"/>
      <c r="J79" s="21">
        <f>Table726[[#This Row],[Projected Cost]]-Table726[[#This Row],[Actual Cost]]</f>
        <v>0</v>
      </c>
      <c r="K79" s="29"/>
      <c r="L79" s="69" t="s">
        <v>293</v>
      </c>
      <c r="M79" s="118">
        <v>7.4999999999999997E-2</v>
      </c>
    </row>
    <row r="80" spans="1:13">
      <c r="G80" s="119" t="s">
        <v>294</v>
      </c>
      <c r="H80" s="20"/>
      <c r="I80" s="20"/>
      <c r="J80" s="21">
        <f>Table726[[#This Row],[Projected Cost]]-Table726[[#This Row],[Actual Cost]]</f>
        <v>0</v>
      </c>
      <c r="K80" s="29"/>
      <c r="L80" s="69" t="s">
        <v>295</v>
      </c>
      <c r="M80" s="118">
        <v>7.4999999999999997E-2</v>
      </c>
    </row>
    <row r="81" spans="6:13">
      <c r="G81" s="119" t="s">
        <v>296</v>
      </c>
      <c r="H81" s="20"/>
      <c r="I81" s="20"/>
      <c r="J81" s="21">
        <f>Table726[[#This Row],[Projected Cost]]-Table726[[#This Row],[Actual Cost]]</f>
        <v>0</v>
      </c>
      <c r="K81" s="29"/>
    </row>
    <row r="82" spans="6:13">
      <c r="G82" s="119" t="s">
        <v>212</v>
      </c>
      <c r="H82" s="20"/>
      <c r="I82" s="20"/>
      <c r="J82" s="21">
        <f>Table726[[#This Row],[Projected Cost]]-Table726[[#This Row],[Actual Cost]]</f>
        <v>0</v>
      </c>
      <c r="K82" s="29"/>
    </row>
    <row r="83" spans="6:13">
      <c r="G83" s="119" t="s">
        <v>293</v>
      </c>
      <c r="H83" s="18"/>
      <c r="I83" s="65"/>
      <c r="J83" s="21">
        <f>Table726[[#This Row],[Projected Cost]]-Table726[[#This Row],[Actual Cost]]</f>
        <v>0</v>
      </c>
      <c r="K83" s="280"/>
    </row>
    <row r="84" spans="6:13">
      <c r="G84" s="119" t="s">
        <v>297</v>
      </c>
      <c r="H84" s="18"/>
      <c r="I84" s="65"/>
      <c r="J84" s="21">
        <f>Table726[[#This Row],[Projected Cost]]-Table726[[#This Row],[Actual Cost]]</f>
        <v>0</v>
      </c>
      <c r="K84" s="29"/>
    </row>
    <row r="85" spans="6:13">
      <c r="G85" s="17" t="s">
        <v>23</v>
      </c>
      <c r="H85" s="20">
        <f>SUBTOTAL(109,Table726[Projected Cost])</f>
        <v>0</v>
      </c>
      <c r="I85" s="20">
        <f>SUBTOTAL(109,Table726[Actual Cost])</f>
        <v>0</v>
      </c>
      <c r="J85" s="23">
        <f>SUBTOTAL(109,Table726[Difference])</f>
        <v>0</v>
      </c>
      <c r="K85" s="29"/>
      <c r="M85" s="117">
        <f>SUBTOTAL(109,Table726[Column1])</f>
        <v>0.99999999999999989</v>
      </c>
    </row>
    <row r="86" spans="6:13">
      <c r="H86" s="28"/>
    </row>
    <row r="87" spans="6:13">
      <c r="F87" s="112"/>
    </row>
    <row r="88" spans="6:13">
      <c r="F88" s="111"/>
    </row>
  </sheetData>
  <mergeCells count="37">
    <mergeCell ref="G30:J30"/>
    <mergeCell ref="G39:J39"/>
    <mergeCell ref="G46:J46"/>
    <mergeCell ref="G52:J52"/>
    <mergeCell ref="G59:J59"/>
    <mergeCell ref="G66:J66"/>
    <mergeCell ref="B2:J2"/>
    <mergeCell ref="G16:I17"/>
    <mergeCell ref="J16:J17"/>
    <mergeCell ref="C10:D10"/>
    <mergeCell ref="J4:J6"/>
    <mergeCell ref="C11:D11"/>
    <mergeCell ref="C17:D17"/>
    <mergeCell ref="B11:B17"/>
    <mergeCell ref="B4:B10"/>
    <mergeCell ref="B3:D3"/>
    <mergeCell ref="G10:I11"/>
    <mergeCell ref="G4:I6"/>
    <mergeCell ref="J10:J11"/>
    <mergeCell ref="C4:D4"/>
    <mergeCell ref="B63:E63"/>
    <mergeCell ref="J71:J72"/>
    <mergeCell ref="G71:I72"/>
    <mergeCell ref="J69:J70"/>
    <mergeCell ref="G69:I70"/>
    <mergeCell ref="G67:I68"/>
    <mergeCell ref="J67:J68"/>
    <mergeCell ref="C5:D5"/>
    <mergeCell ref="B31:E31"/>
    <mergeCell ref="B41:E41"/>
    <mergeCell ref="B48:E48"/>
    <mergeCell ref="B55:E55"/>
    <mergeCell ref="C6:D6"/>
    <mergeCell ref="C8:D8"/>
    <mergeCell ref="C12:D12"/>
    <mergeCell ref="C13:D13"/>
    <mergeCell ref="C15:D15"/>
  </mergeCells>
  <phoneticPr fontId="1" type="noConversion"/>
  <conditionalFormatting sqref="E20:E30 E33:E40 E43:E47 E50:E54 E57:E62 E65:E72 J20:J29 J32:J38 J41:J45 J48:J51 J54:J58 J61:J65">
    <cfRule type="iconSet" priority="2">
      <iconSet iconSet="3Signs">
        <cfvo type="percent" val="0"/>
        <cfvo type="num" val="-20"/>
        <cfvo type="num" val="0"/>
      </iconSet>
    </cfRule>
  </conditionalFormatting>
  <conditionalFormatting sqref="J76:J85">
    <cfRule type="iconSet" priority="3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939A-F703-4F0F-8108-60D80F2C244D}">
  <dimension ref="A1:J497"/>
  <sheetViews>
    <sheetView showGridLines="0" workbookViewId="0">
      <pane ySplit="17" topLeftCell="A18" activePane="bottomLeft" state="frozenSplit"/>
      <selection pane="bottomLeft" activeCell="D7" sqref="D7"/>
    </sheetView>
  </sheetViews>
  <sheetFormatPr defaultRowHeight="12.75"/>
  <cols>
    <col min="1" max="1" width="6.28515625" style="32" customWidth="1"/>
    <col min="2" max="2" width="15.7109375" style="31" customWidth="1"/>
    <col min="3" max="3" width="21.7109375" style="31" customWidth="1"/>
    <col min="4" max="8" width="14.7109375" style="31" customWidth="1"/>
    <col min="9" max="10" width="21.7109375" style="31" customWidth="1"/>
    <col min="11" max="16384" width="9.140625" style="30"/>
  </cols>
  <sheetData>
    <row r="1" spans="1:10" ht="24" customHeight="1">
      <c r="A1" s="62" t="s">
        <v>298</v>
      </c>
      <c r="B1" s="30"/>
      <c r="C1" s="30"/>
      <c r="D1" s="30"/>
      <c r="E1" s="51"/>
      <c r="F1" s="51"/>
      <c r="G1" s="51"/>
      <c r="H1" s="51"/>
      <c r="I1" s="51"/>
      <c r="J1" s="51"/>
    </row>
    <row r="2" spans="1:10" ht="3" customHeight="1">
      <c r="A2" s="47"/>
      <c r="B2" s="46"/>
      <c r="C2" s="46"/>
      <c r="D2" s="46"/>
      <c r="E2" s="46"/>
      <c r="F2" s="46"/>
      <c r="G2" s="46"/>
      <c r="H2" s="46"/>
      <c r="I2" s="46"/>
      <c r="J2" s="46"/>
    </row>
    <row r="3" spans="1:10" ht="20.25" customHeight="1">
      <c r="A3" s="51"/>
      <c r="B3" s="48"/>
      <c r="C3" s="48"/>
      <c r="D3" s="48"/>
      <c r="E3" s="48"/>
      <c r="F3" s="48"/>
      <c r="G3" s="48"/>
      <c r="H3" s="48"/>
      <c r="I3" s="48"/>
      <c r="J3" s="48"/>
    </row>
    <row r="4" spans="1:10" ht="14.25" customHeight="1">
      <c r="A4" s="51"/>
      <c r="B4" s="356" t="s">
        <v>299</v>
      </c>
      <c r="C4" s="357"/>
      <c r="D4" s="358"/>
      <c r="E4" s="51"/>
      <c r="F4" s="30"/>
      <c r="G4" s="30"/>
      <c r="H4" s="356" t="s">
        <v>300</v>
      </c>
      <c r="I4" s="357"/>
      <c r="J4" s="358"/>
    </row>
    <row r="5" spans="1:10">
      <c r="A5" s="51"/>
      <c r="B5" s="58"/>
      <c r="C5" s="57" t="s">
        <v>301</v>
      </c>
      <c r="D5" s="52">
        <v>0</v>
      </c>
      <c r="E5" s="51"/>
      <c r="F5" s="30"/>
      <c r="G5" s="30"/>
      <c r="H5" s="58"/>
      <c r="I5" s="57" t="s">
        <v>302</v>
      </c>
      <c r="J5" s="55" t="str">
        <f>IF(Values_Entered,-PMT(Interest_Rate/Num_Pmt_Per_Year,Loan_Years*Num_Pmt_Per_Year,Loan_Amount),"")</f>
        <v/>
      </c>
    </row>
    <row r="6" spans="1:10">
      <c r="A6" s="51"/>
      <c r="B6" s="58"/>
      <c r="C6" s="57" t="s">
        <v>202</v>
      </c>
      <c r="D6" s="61">
        <v>0</v>
      </c>
      <c r="E6" s="51"/>
      <c r="F6" s="30"/>
      <c r="G6" s="30"/>
      <c r="H6" s="58"/>
      <c r="I6" s="57" t="s">
        <v>303</v>
      </c>
      <c r="J6" s="60" t="str">
        <f>IF(Values_Entered,Loan_Years*Num_Pmt_Per_Year,"")</f>
        <v/>
      </c>
    </row>
    <row r="7" spans="1:10">
      <c r="A7" s="51"/>
      <c r="B7" s="58"/>
      <c r="C7" s="57" t="s">
        <v>304</v>
      </c>
      <c r="D7" s="59">
        <v>25</v>
      </c>
      <c r="E7" s="51"/>
      <c r="F7" s="30"/>
      <c r="G7" s="30"/>
      <c r="H7" s="58"/>
      <c r="I7" s="57" t="s">
        <v>305</v>
      </c>
      <c r="J7" s="60" t="str">
        <f>IF(Values_Entered,Number_of_Payments,"")</f>
        <v/>
      </c>
    </row>
    <row r="8" spans="1:10">
      <c r="A8" s="51"/>
      <c r="B8" s="58"/>
      <c r="C8" s="57" t="s">
        <v>306</v>
      </c>
      <c r="D8" s="59">
        <v>12</v>
      </c>
      <c r="E8" s="51"/>
      <c r="F8" s="30"/>
      <c r="G8" s="30"/>
      <c r="H8" s="58"/>
      <c r="I8" s="57" t="s">
        <v>307</v>
      </c>
      <c r="J8" s="55" t="str">
        <f>IF(Values_Entered,SUMIF(Beg_Bal,"&gt;0",Extra_Pay),"")</f>
        <v/>
      </c>
    </row>
    <row r="9" spans="1:10">
      <c r="A9" s="51"/>
      <c r="B9" s="58"/>
      <c r="C9" s="57" t="s">
        <v>308</v>
      </c>
      <c r="D9" s="56">
        <v>43009</v>
      </c>
      <c r="E9" s="51"/>
      <c r="F9" s="30"/>
      <c r="G9" s="30"/>
      <c r="H9" s="54"/>
      <c r="I9" s="53" t="s">
        <v>309</v>
      </c>
      <c r="J9" s="55" t="str">
        <f>IF(Values_Entered,SUMIF(Beg_Bal,"&gt;0",Int),"")</f>
        <v/>
      </c>
    </row>
    <row r="10" spans="1:10">
      <c r="A10" s="51"/>
      <c r="B10" s="54"/>
      <c r="C10" s="53" t="s">
        <v>310</v>
      </c>
      <c r="D10" s="52">
        <v>227</v>
      </c>
      <c r="E10" s="51"/>
      <c r="F10" s="48"/>
      <c r="G10" s="48"/>
      <c r="H10" s="48"/>
      <c r="I10" s="48"/>
      <c r="J10" s="51"/>
    </row>
    <row r="11" spans="1:10">
      <c r="A11" s="51"/>
      <c r="B11" s="48"/>
      <c r="C11" s="48"/>
      <c r="D11" s="48"/>
      <c r="E11" s="48"/>
      <c r="F11" s="48"/>
      <c r="G11" s="48"/>
      <c r="H11" s="48"/>
      <c r="I11" s="48"/>
      <c r="J11" s="48"/>
    </row>
    <row r="12" spans="1:10">
      <c r="A12" s="51"/>
      <c r="B12" s="50" t="s">
        <v>311</v>
      </c>
      <c r="C12" s="354"/>
      <c r="D12" s="355"/>
      <c r="E12" s="48"/>
      <c r="F12" s="48"/>
      <c r="G12" s="48"/>
      <c r="H12" s="48"/>
      <c r="I12" s="48"/>
      <c r="J12" s="48"/>
    </row>
    <row r="13" spans="1:10">
      <c r="A13" s="51"/>
      <c r="B13" s="50"/>
      <c r="C13" s="49"/>
      <c r="D13" s="49"/>
      <c r="E13" s="48"/>
      <c r="F13" s="48"/>
      <c r="G13" s="48"/>
      <c r="H13" s="48"/>
      <c r="I13" s="48"/>
      <c r="J13" s="48"/>
    </row>
    <row r="14" spans="1:10" ht="6" customHeight="1">
      <c r="A14" s="47"/>
      <c r="B14" s="46"/>
      <c r="C14" s="46"/>
      <c r="D14" s="46"/>
      <c r="E14" s="46"/>
      <c r="F14" s="46"/>
      <c r="G14" s="46"/>
      <c r="H14" s="46"/>
      <c r="I14" s="46"/>
      <c r="J14" s="46"/>
    </row>
    <row r="15" spans="1:10" ht="3.75" customHeight="1">
      <c r="A15" s="45"/>
      <c r="B15" s="44"/>
      <c r="C15" s="44"/>
      <c r="D15" s="44"/>
      <c r="E15" s="44"/>
      <c r="F15" s="44"/>
      <c r="G15" s="44"/>
      <c r="H15" s="44"/>
      <c r="I15" s="44"/>
      <c r="J15" s="44"/>
    </row>
    <row r="16" spans="1:10" s="37" customFormat="1" ht="25.5">
      <c r="A16" s="43" t="s">
        <v>312</v>
      </c>
      <c r="B16" s="42" t="s">
        <v>313</v>
      </c>
      <c r="C16" s="42" t="s">
        <v>314</v>
      </c>
      <c r="D16" s="42" t="s">
        <v>315</v>
      </c>
      <c r="E16" s="42" t="s">
        <v>316</v>
      </c>
      <c r="F16" s="42" t="s">
        <v>317</v>
      </c>
      <c r="G16" s="42" t="s">
        <v>318</v>
      </c>
      <c r="H16" s="42" t="s">
        <v>319</v>
      </c>
      <c r="I16" s="42" t="s">
        <v>320</v>
      </c>
      <c r="J16" s="41" t="s">
        <v>321</v>
      </c>
    </row>
    <row r="17" spans="1:10" s="37" customFormat="1" ht="6" customHeight="1">
      <c r="A17" s="40"/>
      <c r="B17" s="39"/>
      <c r="C17" s="39"/>
      <c r="D17" s="39"/>
      <c r="E17" s="39"/>
      <c r="F17" s="39"/>
      <c r="G17" s="39"/>
      <c r="H17" s="39"/>
      <c r="I17" s="39"/>
      <c r="J17" s="38"/>
    </row>
    <row r="18" spans="1:10" s="37" customFormat="1">
      <c r="A18" s="36" t="str">
        <f>IF(Values_Entered,1,"")</f>
        <v/>
      </c>
      <c r="B18" s="35" t="str">
        <f t="shared" ref="B18:B81" si="0">IF(Pay_Num&lt;&gt;"",DATE(YEAR(Loan_Start),MONTH(Loan_Start)+(Pay_Num)*12/Num_Pmt_Per_Year,DAY(Loan_Start)),"")</f>
        <v/>
      </c>
      <c r="C18" s="33" t="str">
        <f>IF(Values_Entered,Loan_Amount,"")</f>
        <v/>
      </c>
      <c r="D18" s="33" t="str">
        <f t="shared" ref="D18:D81" si="1">IF(Pay_Num&lt;&gt;"",Scheduled_Monthly_Payment,"")</f>
        <v/>
      </c>
      <c r="E18" s="34" t="e">
        <f t="shared" ref="E18:E81" si="2">IF(AND(Pay_Num&lt;&gt;"",Sched_Pay+Scheduled_Extra_Payments&lt;Beg_Bal),Scheduled_Extra_Payments,IF(AND(Pay_Num&lt;&gt;"",Beg_Bal-Sched_Pay&gt;0),Beg_Bal-Sched_Pay,IF(Pay_Num&lt;&gt;"",0,"")))</f>
        <v>#VALUE!</v>
      </c>
      <c r="F18" s="33" t="e">
        <f t="shared" ref="F18:F81" si="3">IF(AND(Pay_Num&lt;&gt;"",Sched_Pay+Extra_Pay&lt;Beg_Bal),Sched_Pay+Extra_Pay,IF(Pay_Num&lt;&gt;"",Beg_Bal,""))</f>
        <v>#VALUE!</v>
      </c>
      <c r="G18" s="33" t="str">
        <f t="shared" ref="G18:G81" si="4">IF(Pay_Num&lt;&gt;"",Total_Pay-Int,"")</f>
        <v/>
      </c>
      <c r="H18" s="33" t="str">
        <f>IF(Pay_Num&lt;&gt;"",Beg_Bal*(Interest_Rate/Num_Pmt_Per_Year),"")</f>
        <v/>
      </c>
      <c r="I18" s="33" t="e">
        <f t="shared" ref="I18:I81" si="5">IF(AND(Pay_Num&lt;&gt;"",Sched_Pay+Extra_Pay&lt;Beg_Bal),Beg_Bal-Princ,IF(Pay_Num&lt;&gt;"",0,""))</f>
        <v>#VALUE!</v>
      </c>
      <c r="J18" s="33">
        <f>SUM($H$18:$H18)</f>
        <v>0</v>
      </c>
    </row>
    <row r="19" spans="1:10" s="37" customFormat="1" ht="12.75" customHeight="1">
      <c r="A19" s="36" t="str">
        <f>IF(Values_Entered,A18+1,"")</f>
        <v/>
      </c>
      <c r="B19" s="35" t="str">
        <f t="shared" si="0"/>
        <v/>
      </c>
      <c r="C19" s="33" t="str">
        <f t="shared" ref="C19:C82" si="6">IF(Pay_Num&lt;&gt;"",I18,"")</f>
        <v/>
      </c>
      <c r="D19" s="33" t="str">
        <f t="shared" si="1"/>
        <v/>
      </c>
      <c r="E19" s="34" t="e">
        <f t="shared" si="2"/>
        <v>#VALUE!</v>
      </c>
      <c r="F19" s="33" t="e">
        <f t="shared" si="3"/>
        <v>#VALUE!</v>
      </c>
      <c r="G19" s="33" t="str">
        <f t="shared" si="4"/>
        <v/>
      </c>
      <c r="H19" s="33" t="str">
        <f t="shared" ref="H19:H82" si="7">IF(Pay_Num&lt;&gt;"",Beg_Bal*Interest_Rate/Num_Pmt_Per_Year,"")</f>
        <v/>
      </c>
      <c r="I19" s="33" t="e">
        <f t="shared" si="5"/>
        <v>#VALUE!</v>
      </c>
      <c r="J19" s="33">
        <f>SUM($H$18:$H19)</f>
        <v>0</v>
      </c>
    </row>
    <row r="20" spans="1:10" s="37" customFormat="1" ht="12.75" customHeight="1">
      <c r="A20" s="36" t="str">
        <f>IF(Values_Entered,A19+1,"")</f>
        <v/>
      </c>
      <c r="B20" s="35" t="str">
        <f t="shared" si="0"/>
        <v/>
      </c>
      <c r="C20" s="33" t="str">
        <f t="shared" si="6"/>
        <v/>
      </c>
      <c r="D20" s="33" t="str">
        <f t="shared" si="1"/>
        <v/>
      </c>
      <c r="E20" s="34" t="e">
        <f t="shared" si="2"/>
        <v>#VALUE!</v>
      </c>
      <c r="F20" s="33" t="e">
        <f t="shared" si="3"/>
        <v>#VALUE!</v>
      </c>
      <c r="G20" s="33" t="str">
        <f t="shared" si="4"/>
        <v/>
      </c>
      <c r="H20" s="33" t="str">
        <f t="shared" si="7"/>
        <v/>
      </c>
      <c r="I20" s="33" t="e">
        <f t="shared" si="5"/>
        <v>#VALUE!</v>
      </c>
      <c r="J20" s="33">
        <f>SUM($H$18:$H20)</f>
        <v>0</v>
      </c>
    </row>
    <row r="21" spans="1:10" s="37" customFormat="1">
      <c r="A21" s="36" t="str">
        <f>IF(Values_Entered,A20+1,"")</f>
        <v/>
      </c>
      <c r="B21" s="35" t="str">
        <f t="shared" si="0"/>
        <v/>
      </c>
      <c r="C21" s="33" t="str">
        <f t="shared" si="6"/>
        <v/>
      </c>
      <c r="D21" s="33" t="str">
        <f t="shared" si="1"/>
        <v/>
      </c>
      <c r="E21" s="34" t="e">
        <f t="shared" si="2"/>
        <v>#VALUE!</v>
      </c>
      <c r="F21" s="33" t="e">
        <f t="shared" si="3"/>
        <v>#VALUE!</v>
      </c>
      <c r="G21" s="33" t="str">
        <f t="shared" si="4"/>
        <v/>
      </c>
      <c r="H21" s="33" t="str">
        <f t="shared" si="7"/>
        <v/>
      </c>
      <c r="I21" s="33" t="e">
        <f t="shared" si="5"/>
        <v>#VALUE!</v>
      </c>
      <c r="J21" s="33">
        <f>SUM($H$18:$H21)</f>
        <v>0</v>
      </c>
    </row>
    <row r="22" spans="1:10" s="37" customFormat="1">
      <c r="A22" s="36" t="str">
        <f>IF(Values_Entered,A21+1,"")</f>
        <v/>
      </c>
      <c r="B22" s="35" t="str">
        <f t="shared" si="0"/>
        <v/>
      </c>
      <c r="C22" s="33" t="str">
        <f t="shared" si="6"/>
        <v/>
      </c>
      <c r="D22" s="33" t="str">
        <f t="shared" si="1"/>
        <v/>
      </c>
      <c r="E22" s="34" t="e">
        <f t="shared" si="2"/>
        <v>#VALUE!</v>
      </c>
      <c r="F22" s="33" t="e">
        <f t="shared" si="3"/>
        <v>#VALUE!</v>
      </c>
      <c r="G22" s="33" t="str">
        <f t="shared" si="4"/>
        <v/>
      </c>
      <c r="H22" s="33" t="str">
        <f t="shared" si="7"/>
        <v/>
      </c>
      <c r="I22" s="33" t="e">
        <f t="shared" si="5"/>
        <v>#VALUE!</v>
      </c>
      <c r="J22" s="33">
        <f>SUM($H$18:$H22)</f>
        <v>0</v>
      </c>
    </row>
    <row r="23" spans="1:10">
      <c r="A23" s="36" t="str">
        <f>IF(Values_Entered,A22+1,"")</f>
        <v/>
      </c>
      <c r="B23" s="35" t="str">
        <f t="shared" si="0"/>
        <v/>
      </c>
      <c r="C23" s="33" t="str">
        <f t="shared" si="6"/>
        <v/>
      </c>
      <c r="D23" s="33" t="str">
        <f t="shared" si="1"/>
        <v/>
      </c>
      <c r="E23" s="34" t="e">
        <f t="shared" si="2"/>
        <v>#VALUE!</v>
      </c>
      <c r="F23" s="33" t="e">
        <f t="shared" si="3"/>
        <v>#VALUE!</v>
      </c>
      <c r="G23" s="33" t="str">
        <f t="shared" si="4"/>
        <v/>
      </c>
      <c r="H23" s="33" t="str">
        <f t="shared" si="7"/>
        <v/>
      </c>
      <c r="I23" s="33" t="e">
        <f t="shared" si="5"/>
        <v>#VALUE!</v>
      </c>
      <c r="J23" s="33">
        <f>SUM($H$18:$H23)</f>
        <v>0</v>
      </c>
    </row>
    <row r="24" spans="1:10">
      <c r="A24" s="36" t="str">
        <f>IF(Values_Entered,A23+1,"")</f>
        <v/>
      </c>
      <c r="B24" s="35" t="str">
        <f t="shared" si="0"/>
        <v/>
      </c>
      <c r="C24" s="33" t="str">
        <f t="shared" si="6"/>
        <v/>
      </c>
      <c r="D24" s="33" t="str">
        <f t="shared" si="1"/>
        <v/>
      </c>
      <c r="E24" s="34" t="e">
        <f t="shared" si="2"/>
        <v>#VALUE!</v>
      </c>
      <c r="F24" s="33" t="e">
        <f t="shared" si="3"/>
        <v>#VALUE!</v>
      </c>
      <c r="G24" s="33" t="str">
        <f t="shared" si="4"/>
        <v/>
      </c>
      <c r="H24" s="33" t="str">
        <f t="shared" si="7"/>
        <v/>
      </c>
      <c r="I24" s="33" t="e">
        <f t="shared" si="5"/>
        <v>#VALUE!</v>
      </c>
      <c r="J24" s="33">
        <f>SUM($H$18:$H24)</f>
        <v>0</v>
      </c>
    </row>
    <row r="25" spans="1:10">
      <c r="A25" s="36" t="str">
        <f>IF(Values_Entered,A24+1,"")</f>
        <v/>
      </c>
      <c r="B25" s="35" t="str">
        <f t="shared" si="0"/>
        <v/>
      </c>
      <c r="C25" s="33" t="str">
        <f t="shared" si="6"/>
        <v/>
      </c>
      <c r="D25" s="33" t="str">
        <f t="shared" si="1"/>
        <v/>
      </c>
      <c r="E25" s="34" t="e">
        <f t="shared" si="2"/>
        <v>#VALUE!</v>
      </c>
      <c r="F25" s="33" t="e">
        <f t="shared" si="3"/>
        <v>#VALUE!</v>
      </c>
      <c r="G25" s="33" t="str">
        <f t="shared" si="4"/>
        <v/>
      </c>
      <c r="H25" s="33" t="str">
        <f t="shared" si="7"/>
        <v/>
      </c>
      <c r="I25" s="33" t="e">
        <f t="shared" si="5"/>
        <v>#VALUE!</v>
      </c>
      <c r="J25" s="33">
        <f>SUM($H$18:$H25)</f>
        <v>0</v>
      </c>
    </row>
    <row r="26" spans="1:10">
      <c r="A26" s="36" t="str">
        <f>IF(Values_Entered,A25+1,"")</f>
        <v/>
      </c>
      <c r="B26" s="35" t="str">
        <f t="shared" si="0"/>
        <v/>
      </c>
      <c r="C26" s="33" t="str">
        <f t="shared" si="6"/>
        <v/>
      </c>
      <c r="D26" s="33" t="str">
        <f t="shared" si="1"/>
        <v/>
      </c>
      <c r="E26" s="34" t="e">
        <f t="shared" si="2"/>
        <v>#VALUE!</v>
      </c>
      <c r="F26" s="33" t="e">
        <f t="shared" si="3"/>
        <v>#VALUE!</v>
      </c>
      <c r="G26" s="33" t="str">
        <f t="shared" si="4"/>
        <v/>
      </c>
      <c r="H26" s="33" t="str">
        <f t="shared" si="7"/>
        <v/>
      </c>
      <c r="I26" s="33" t="e">
        <f t="shared" si="5"/>
        <v>#VALUE!</v>
      </c>
      <c r="J26" s="33">
        <f>SUM($H$18:$H26)</f>
        <v>0</v>
      </c>
    </row>
    <row r="27" spans="1:10">
      <c r="A27" s="36" t="str">
        <f>IF(Values_Entered,A26+1,"")</f>
        <v/>
      </c>
      <c r="B27" s="35" t="str">
        <f t="shared" si="0"/>
        <v/>
      </c>
      <c r="C27" s="33" t="str">
        <f t="shared" si="6"/>
        <v/>
      </c>
      <c r="D27" s="33" t="str">
        <f t="shared" si="1"/>
        <v/>
      </c>
      <c r="E27" s="34" t="e">
        <f t="shared" si="2"/>
        <v>#VALUE!</v>
      </c>
      <c r="F27" s="33" t="e">
        <f t="shared" si="3"/>
        <v>#VALUE!</v>
      </c>
      <c r="G27" s="33" t="str">
        <f t="shared" si="4"/>
        <v/>
      </c>
      <c r="H27" s="33" t="str">
        <f t="shared" si="7"/>
        <v/>
      </c>
      <c r="I27" s="33" t="e">
        <f t="shared" si="5"/>
        <v>#VALUE!</v>
      </c>
      <c r="J27" s="33">
        <f>SUM($H$18:$H27)</f>
        <v>0</v>
      </c>
    </row>
    <row r="28" spans="1:10">
      <c r="A28" s="36" t="str">
        <f>IF(Values_Entered,A27+1,"")</f>
        <v/>
      </c>
      <c r="B28" s="35" t="str">
        <f t="shared" si="0"/>
        <v/>
      </c>
      <c r="C28" s="33" t="str">
        <f t="shared" si="6"/>
        <v/>
      </c>
      <c r="D28" s="33" t="str">
        <f t="shared" si="1"/>
        <v/>
      </c>
      <c r="E28" s="34" t="e">
        <f t="shared" si="2"/>
        <v>#VALUE!</v>
      </c>
      <c r="F28" s="33" t="e">
        <f t="shared" si="3"/>
        <v>#VALUE!</v>
      </c>
      <c r="G28" s="33" t="str">
        <f t="shared" si="4"/>
        <v/>
      </c>
      <c r="H28" s="33" t="str">
        <f t="shared" si="7"/>
        <v/>
      </c>
      <c r="I28" s="33" t="e">
        <f t="shared" si="5"/>
        <v>#VALUE!</v>
      </c>
      <c r="J28" s="33">
        <f>SUM($H$18:$H28)</f>
        <v>0</v>
      </c>
    </row>
    <row r="29" spans="1:10">
      <c r="A29" s="36" t="str">
        <f>IF(Values_Entered,A28+1,"")</f>
        <v/>
      </c>
      <c r="B29" s="35" t="str">
        <f t="shared" si="0"/>
        <v/>
      </c>
      <c r="C29" s="33" t="str">
        <f t="shared" si="6"/>
        <v/>
      </c>
      <c r="D29" s="33" t="str">
        <f t="shared" si="1"/>
        <v/>
      </c>
      <c r="E29" s="34" t="e">
        <f t="shared" si="2"/>
        <v>#VALUE!</v>
      </c>
      <c r="F29" s="33" t="e">
        <f t="shared" si="3"/>
        <v>#VALUE!</v>
      </c>
      <c r="G29" s="33" t="str">
        <f t="shared" si="4"/>
        <v/>
      </c>
      <c r="H29" s="33" t="str">
        <f t="shared" si="7"/>
        <v/>
      </c>
      <c r="I29" s="33" t="e">
        <f t="shared" si="5"/>
        <v>#VALUE!</v>
      </c>
      <c r="J29" s="33">
        <f>SUM($H$18:$H29)</f>
        <v>0</v>
      </c>
    </row>
    <row r="30" spans="1:10">
      <c r="A30" s="36" t="str">
        <f>IF(Values_Entered,A29+1,"")</f>
        <v/>
      </c>
      <c r="B30" s="35" t="str">
        <f t="shared" si="0"/>
        <v/>
      </c>
      <c r="C30" s="33" t="str">
        <f t="shared" si="6"/>
        <v/>
      </c>
      <c r="D30" s="33" t="str">
        <f t="shared" si="1"/>
        <v/>
      </c>
      <c r="E30" s="34" t="e">
        <f t="shared" si="2"/>
        <v>#VALUE!</v>
      </c>
      <c r="F30" s="33" t="e">
        <f t="shared" si="3"/>
        <v>#VALUE!</v>
      </c>
      <c r="G30" s="33" t="str">
        <f t="shared" si="4"/>
        <v/>
      </c>
      <c r="H30" s="33" t="str">
        <f t="shared" si="7"/>
        <v/>
      </c>
      <c r="I30" s="33" t="e">
        <f t="shared" si="5"/>
        <v>#VALUE!</v>
      </c>
      <c r="J30" s="33">
        <f>SUM($H$18:$H30)</f>
        <v>0</v>
      </c>
    </row>
    <row r="31" spans="1:10">
      <c r="A31" s="36" t="str">
        <f>IF(Values_Entered,A30+1,"")</f>
        <v/>
      </c>
      <c r="B31" s="35" t="str">
        <f t="shared" si="0"/>
        <v/>
      </c>
      <c r="C31" s="33" t="str">
        <f t="shared" si="6"/>
        <v/>
      </c>
      <c r="D31" s="33" t="str">
        <f t="shared" si="1"/>
        <v/>
      </c>
      <c r="E31" s="34" t="e">
        <f t="shared" si="2"/>
        <v>#VALUE!</v>
      </c>
      <c r="F31" s="33" t="e">
        <f t="shared" si="3"/>
        <v>#VALUE!</v>
      </c>
      <c r="G31" s="33" t="str">
        <f t="shared" si="4"/>
        <v/>
      </c>
      <c r="H31" s="33" t="str">
        <f t="shared" si="7"/>
        <v/>
      </c>
      <c r="I31" s="33" t="e">
        <f t="shared" si="5"/>
        <v>#VALUE!</v>
      </c>
      <c r="J31" s="33">
        <f>SUM($H$18:$H31)</f>
        <v>0</v>
      </c>
    </row>
    <row r="32" spans="1:10">
      <c r="A32" s="36" t="str">
        <f>IF(Values_Entered,A31+1,"")</f>
        <v/>
      </c>
      <c r="B32" s="35" t="str">
        <f t="shared" si="0"/>
        <v/>
      </c>
      <c r="C32" s="33" t="str">
        <f t="shared" si="6"/>
        <v/>
      </c>
      <c r="D32" s="33" t="str">
        <f t="shared" si="1"/>
        <v/>
      </c>
      <c r="E32" s="34" t="e">
        <f t="shared" si="2"/>
        <v>#VALUE!</v>
      </c>
      <c r="F32" s="33" t="e">
        <f t="shared" si="3"/>
        <v>#VALUE!</v>
      </c>
      <c r="G32" s="33" t="str">
        <f t="shared" si="4"/>
        <v/>
      </c>
      <c r="H32" s="33" t="str">
        <f t="shared" si="7"/>
        <v/>
      </c>
      <c r="I32" s="33" t="e">
        <f t="shared" si="5"/>
        <v>#VALUE!</v>
      </c>
      <c r="J32" s="33">
        <f>SUM($H$18:$H32)</f>
        <v>0</v>
      </c>
    </row>
    <row r="33" spans="1:10">
      <c r="A33" s="36" t="str">
        <f>IF(Values_Entered,A32+1,"")</f>
        <v/>
      </c>
      <c r="B33" s="35" t="str">
        <f t="shared" si="0"/>
        <v/>
      </c>
      <c r="C33" s="33" t="str">
        <f t="shared" si="6"/>
        <v/>
      </c>
      <c r="D33" s="33" t="str">
        <f t="shared" si="1"/>
        <v/>
      </c>
      <c r="E33" s="34" t="e">
        <f t="shared" si="2"/>
        <v>#VALUE!</v>
      </c>
      <c r="F33" s="33" t="e">
        <f t="shared" si="3"/>
        <v>#VALUE!</v>
      </c>
      <c r="G33" s="33" t="str">
        <f t="shared" si="4"/>
        <v/>
      </c>
      <c r="H33" s="33" t="str">
        <f t="shared" si="7"/>
        <v/>
      </c>
      <c r="I33" s="33" t="e">
        <f t="shared" si="5"/>
        <v>#VALUE!</v>
      </c>
      <c r="J33" s="33">
        <f>SUM($H$18:$H33)</f>
        <v>0</v>
      </c>
    </row>
    <row r="34" spans="1:10">
      <c r="A34" s="36" t="str">
        <f>IF(Values_Entered,A33+1,"")</f>
        <v/>
      </c>
      <c r="B34" s="35" t="str">
        <f t="shared" si="0"/>
        <v/>
      </c>
      <c r="C34" s="33" t="str">
        <f t="shared" si="6"/>
        <v/>
      </c>
      <c r="D34" s="33" t="str">
        <f t="shared" si="1"/>
        <v/>
      </c>
      <c r="E34" s="34" t="e">
        <f t="shared" si="2"/>
        <v>#VALUE!</v>
      </c>
      <c r="F34" s="33" t="e">
        <f t="shared" si="3"/>
        <v>#VALUE!</v>
      </c>
      <c r="G34" s="33" t="str">
        <f t="shared" si="4"/>
        <v/>
      </c>
      <c r="H34" s="33" t="str">
        <f t="shared" si="7"/>
        <v/>
      </c>
      <c r="I34" s="33" t="e">
        <f t="shared" si="5"/>
        <v>#VALUE!</v>
      </c>
      <c r="J34" s="33">
        <f>SUM($H$18:$H34)</f>
        <v>0</v>
      </c>
    </row>
    <row r="35" spans="1:10">
      <c r="A35" s="36" t="str">
        <f>IF(Values_Entered,A34+1,"")</f>
        <v/>
      </c>
      <c r="B35" s="35" t="str">
        <f t="shared" si="0"/>
        <v/>
      </c>
      <c r="C35" s="33" t="str">
        <f t="shared" si="6"/>
        <v/>
      </c>
      <c r="D35" s="33" t="str">
        <f t="shared" si="1"/>
        <v/>
      </c>
      <c r="E35" s="34" t="e">
        <f t="shared" si="2"/>
        <v>#VALUE!</v>
      </c>
      <c r="F35" s="33" t="e">
        <f t="shared" si="3"/>
        <v>#VALUE!</v>
      </c>
      <c r="G35" s="33" t="str">
        <f t="shared" si="4"/>
        <v/>
      </c>
      <c r="H35" s="33" t="str">
        <f t="shared" si="7"/>
        <v/>
      </c>
      <c r="I35" s="33" t="e">
        <f t="shared" si="5"/>
        <v>#VALUE!</v>
      </c>
      <c r="J35" s="33">
        <f>SUM($H$18:$H35)</f>
        <v>0</v>
      </c>
    </row>
    <row r="36" spans="1:10">
      <c r="A36" s="36" t="str">
        <f>IF(Values_Entered,A35+1,"")</f>
        <v/>
      </c>
      <c r="B36" s="35" t="str">
        <f t="shared" si="0"/>
        <v/>
      </c>
      <c r="C36" s="33" t="str">
        <f t="shared" si="6"/>
        <v/>
      </c>
      <c r="D36" s="33" t="str">
        <f t="shared" si="1"/>
        <v/>
      </c>
      <c r="E36" s="34" t="e">
        <f t="shared" si="2"/>
        <v>#VALUE!</v>
      </c>
      <c r="F36" s="33" t="e">
        <f t="shared" si="3"/>
        <v>#VALUE!</v>
      </c>
      <c r="G36" s="33" t="str">
        <f t="shared" si="4"/>
        <v/>
      </c>
      <c r="H36" s="33" t="str">
        <f t="shared" si="7"/>
        <v/>
      </c>
      <c r="I36" s="33" t="e">
        <f t="shared" si="5"/>
        <v>#VALUE!</v>
      </c>
      <c r="J36" s="33">
        <f>SUM($H$18:$H36)</f>
        <v>0</v>
      </c>
    </row>
    <row r="37" spans="1:10">
      <c r="A37" s="36" t="str">
        <f>IF(Values_Entered,A36+1,"")</f>
        <v/>
      </c>
      <c r="B37" s="35" t="str">
        <f t="shared" si="0"/>
        <v/>
      </c>
      <c r="C37" s="33" t="str">
        <f t="shared" si="6"/>
        <v/>
      </c>
      <c r="D37" s="33" t="str">
        <f t="shared" si="1"/>
        <v/>
      </c>
      <c r="E37" s="34" t="e">
        <f t="shared" si="2"/>
        <v>#VALUE!</v>
      </c>
      <c r="F37" s="33" t="e">
        <f t="shared" si="3"/>
        <v>#VALUE!</v>
      </c>
      <c r="G37" s="33" t="str">
        <f t="shared" si="4"/>
        <v/>
      </c>
      <c r="H37" s="33" t="str">
        <f t="shared" si="7"/>
        <v/>
      </c>
      <c r="I37" s="33" t="e">
        <f t="shared" si="5"/>
        <v>#VALUE!</v>
      </c>
      <c r="J37" s="33">
        <f>SUM($H$18:$H37)</f>
        <v>0</v>
      </c>
    </row>
    <row r="38" spans="1:10">
      <c r="A38" s="36" t="str">
        <f>IF(Values_Entered,A37+1,"")</f>
        <v/>
      </c>
      <c r="B38" s="35" t="str">
        <f t="shared" si="0"/>
        <v/>
      </c>
      <c r="C38" s="33" t="str">
        <f t="shared" si="6"/>
        <v/>
      </c>
      <c r="D38" s="33" t="str">
        <f t="shared" si="1"/>
        <v/>
      </c>
      <c r="E38" s="34" t="e">
        <f t="shared" si="2"/>
        <v>#VALUE!</v>
      </c>
      <c r="F38" s="33" t="e">
        <f t="shared" si="3"/>
        <v>#VALUE!</v>
      </c>
      <c r="G38" s="33" t="str">
        <f t="shared" si="4"/>
        <v/>
      </c>
      <c r="H38" s="33" t="str">
        <f t="shared" si="7"/>
        <v/>
      </c>
      <c r="I38" s="33" t="e">
        <f t="shared" si="5"/>
        <v>#VALUE!</v>
      </c>
      <c r="J38" s="33">
        <f>SUM($H$18:$H38)</f>
        <v>0</v>
      </c>
    </row>
    <row r="39" spans="1:10">
      <c r="A39" s="36" t="str">
        <f>IF(Values_Entered,A38+1,"")</f>
        <v/>
      </c>
      <c r="B39" s="35" t="str">
        <f t="shared" si="0"/>
        <v/>
      </c>
      <c r="C39" s="33" t="str">
        <f t="shared" si="6"/>
        <v/>
      </c>
      <c r="D39" s="33" t="str">
        <f t="shared" si="1"/>
        <v/>
      </c>
      <c r="E39" s="34" t="e">
        <f t="shared" si="2"/>
        <v>#VALUE!</v>
      </c>
      <c r="F39" s="33" t="e">
        <f t="shared" si="3"/>
        <v>#VALUE!</v>
      </c>
      <c r="G39" s="33" t="str">
        <f t="shared" si="4"/>
        <v/>
      </c>
      <c r="H39" s="33" t="str">
        <f t="shared" si="7"/>
        <v/>
      </c>
      <c r="I39" s="33" t="e">
        <f t="shared" si="5"/>
        <v>#VALUE!</v>
      </c>
      <c r="J39" s="33">
        <f>SUM($H$18:$H39)</f>
        <v>0</v>
      </c>
    </row>
    <row r="40" spans="1:10">
      <c r="A40" s="36" t="str">
        <f>IF(Values_Entered,A39+1,"")</f>
        <v/>
      </c>
      <c r="B40" s="35" t="str">
        <f t="shared" si="0"/>
        <v/>
      </c>
      <c r="C40" s="33" t="str">
        <f t="shared" si="6"/>
        <v/>
      </c>
      <c r="D40" s="33" t="str">
        <f t="shared" si="1"/>
        <v/>
      </c>
      <c r="E40" s="34" t="e">
        <f t="shared" si="2"/>
        <v>#VALUE!</v>
      </c>
      <c r="F40" s="33" t="e">
        <f t="shared" si="3"/>
        <v>#VALUE!</v>
      </c>
      <c r="G40" s="33" t="str">
        <f t="shared" si="4"/>
        <v/>
      </c>
      <c r="H40" s="33" t="str">
        <f t="shared" si="7"/>
        <v/>
      </c>
      <c r="I40" s="33" t="e">
        <f t="shared" si="5"/>
        <v>#VALUE!</v>
      </c>
      <c r="J40" s="33">
        <f>SUM($H$18:$H40)</f>
        <v>0</v>
      </c>
    </row>
    <row r="41" spans="1:10">
      <c r="A41" s="36" t="str">
        <f>IF(Values_Entered,A40+1,"")</f>
        <v/>
      </c>
      <c r="B41" s="35" t="str">
        <f t="shared" si="0"/>
        <v/>
      </c>
      <c r="C41" s="33" t="str">
        <f t="shared" si="6"/>
        <v/>
      </c>
      <c r="D41" s="33" t="str">
        <f t="shared" si="1"/>
        <v/>
      </c>
      <c r="E41" s="34" t="e">
        <f t="shared" si="2"/>
        <v>#VALUE!</v>
      </c>
      <c r="F41" s="33" t="e">
        <f t="shared" si="3"/>
        <v>#VALUE!</v>
      </c>
      <c r="G41" s="33" t="str">
        <f t="shared" si="4"/>
        <v/>
      </c>
      <c r="H41" s="33" t="str">
        <f t="shared" si="7"/>
        <v/>
      </c>
      <c r="I41" s="33" t="e">
        <f t="shared" si="5"/>
        <v>#VALUE!</v>
      </c>
      <c r="J41" s="33">
        <f>SUM($H$18:$H41)</f>
        <v>0</v>
      </c>
    </row>
    <row r="42" spans="1:10">
      <c r="A42" s="36" t="str">
        <f>IF(Values_Entered,A41+1,"")</f>
        <v/>
      </c>
      <c r="B42" s="35" t="str">
        <f t="shared" si="0"/>
        <v/>
      </c>
      <c r="C42" s="33" t="str">
        <f t="shared" si="6"/>
        <v/>
      </c>
      <c r="D42" s="33" t="str">
        <f t="shared" si="1"/>
        <v/>
      </c>
      <c r="E42" s="34" t="e">
        <f t="shared" si="2"/>
        <v>#VALUE!</v>
      </c>
      <c r="F42" s="33" t="e">
        <f t="shared" si="3"/>
        <v>#VALUE!</v>
      </c>
      <c r="G42" s="33" t="str">
        <f t="shared" si="4"/>
        <v/>
      </c>
      <c r="H42" s="33" t="str">
        <f t="shared" si="7"/>
        <v/>
      </c>
      <c r="I42" s="33" t="e">
        <f t="shared" si="5"/>
        <v>#VALUE!</v>
      </c>
      <c r="J42" s="33">
        <f>SUM($H$18:$H42)</f>
        <v>0</v>
      </c>
    </row>
    <row r="43" spans="1:10">
      <c r="A43" s="36" t="str">
        <f>IF(Values_Entered,A42+1,"")</f>
        <v/>
      </c>
      <c r="B43" s="35" t="str">
        <f t="shared" si="0"/>
        <v/>
      </c>
      <c r="C43" s="33" t="str">
        <f t="shared" si="6"/>
        <v/>
      </c>
      <c r="D43" s="33" t="str">
        <f t="shared" si="1"/>
        <v/>
      </c>
      <c r="E43" s="34" t="e">
        <f t="shared" si="2"/>
        <v>#VALUE!</v>
      </c>
      <c r="F43" s="33" t="e">
        <f t="shared" si="3"/>
        <v>#VALUE!</v>
      </c>
      <c r="G43" s="33" t="str">
        <f t="shared" si="4"/>
        <v/>
      </c>
      <c r="H43" s="33" t="str">
        <f t="shared" si="7"/>
        <v/>
      </c>
      <c r="I43" s="33" t="e">
        <f t="shared" si="5"/>
        <v>#VALUE!</v>
      </c>
      <c r="J43" s="33">
        <f>SUM($H$18:$H43)</f>
        <v>0</v>
      </c>
    </row>
    <row r="44" spans="1:10">
      <c r="A44" s="36" t="str">
        <f>IF(Values_Entered,A43+1,"")</f>
        <v/>
      </c>
      <c r="B44" s="35" t="str">
        <f t="shared" si="0"/>
        <v/>
      </c>
      <c r="C44" s="33" t="str">
        <f t="shared" si="6"/>
        <v/>
      </c>
      <c r="D44" s="33" t="str">
        <f t="shared" si="1"/>
        <v/>
      </c>
      <c r="E44" s="34" t="e">
        <f t="shared" si="2"/>
        <v>#VALUE!</v>
      </c>
      <c r="F44" s="33" t="e">
        <f t="shared" si="3"/>
        <v>#VALUE!</v>
      </c>
      <c r="G44" s="33" t="str">
        <f t="shared" si="4"/>
        <v/>
      </c>
      <c r="H44" s="33" t="str">
        <f t="shared" si="7"/>
        <v/>
      </c>
      <c r="I44" s="33" t="e">
        <f t="shared" si="5"/>
        <v>#VALUE!</v>
      </c>
      <c r="J44" s="33">
        <f>SUM($H$18:$H44)</f>
        <v>0</v>
      </c>
    </row>
    <row r="45" spans="1:10">
      <c r="A45" s="36" t="str">
        <f>IF(Values_Entered,A44+1,"")</f>
        <v/>
      </c>
      <c r="B45" s="35" t="str">
        <f t="shared" si="0"/>
        <v/>
      </c>
      <c r="C45" s="33" t="str">
        <f t="shared" si="6"/>
        <v/>
      </c>
      <c r="D45" s="33" t="str">
        <f t="shared" si="1"/>
        <v/>
      </c>
      <c r="E45" s="34" t="e">
        <f t="shared" si="2"/>
        <v>#VALUE!</v>
      </c>
      <c r="F45" s="33" t="e">
        <f t="shared" si="3"/>
        <v>#VALUE!</v>
      </c>
      <c r="G45" s="33" t="str">
        <f t="shared" si="4"/>
        <v/>
      </c>
      <c r="H45" s="33" t="str">
        <f t="shared" si="7"/>
        <v/>
      </c>
      <c r="I45" s="33" t="e">
        <f t="shared" si="5"/>
        <v>#VALUE!</v>
      </c>
      <c r="J45" s="33">
        <f>SUM($H$18:$H45)</f>
        <v>0</v>
      </c>
    </row>
    <row r="46" spans="1:10">
      <c r="A46" s="36" t="str">
        <f>IF(Values_Entered,A45+1,"")</f>
        <v/>
      </c>
      <c r="B46" s="35" t="str">
        <f t="shared" si="0"/>
        <v/>
      </c>
      <c r="C46" s="33" t="str">
        <f t="shared" si="6"/>
        <v/>
      </c>
      <c r="D46" s="33" t="str">
        <f t="shared" si="1"/>
        <v/>
      </c>
      <c r="E46" s="34" t="e">
        <f t="shared" si="2"/>
        <v>#VALUE!</v>
      </c>
      <c r="F46" s="33" t="e">
        <f t="shared" si="3"/>
        <v>#VALUE!</v>
      </c>
      <c r="G46" s="33" t="str">
        <f t="shared" si="4"/>
        <v/>
      </c>
      <c r="H46" s="33" t="str">
        <f t="shared" si="7"/>
        <v/>
      </c>
      <c r="I46" s="33" t="e">
        <f t="shared" si="5"/>
        <v>#VALUE!</v>
      </c>
      <c r="J46" s="33">
        <f>SUM($H$18:$H46)</f>
        <v>0</v>
      </c>
    </row>
    <row r="47" spans="1:10">
      <c r="A47" s="36" t="str">
        <f>IF(Values_Entered,A46+1,"")</f>
        <v/>
      </c>
      <c r="B47" s="35" t="str">
        <f t="shared" si="0"/>
        <v/>
      </c>
      <c r="C47" s="33" t="str">
        <f t="shared" si="6"/>
        <v/>
      </c>
      <c r="D47" s="33" t="str">
        <f t="shared" si="1"/>
        <v/>
      </c>
      <c r="E47" s="34" t="e">
        <f t="shared" si="2"/>
        <v>#VALUE!</v>
      </c>
      <c r="F47" s="33" t="e">
        <f t="shared" si="3"/>
        <v>#VALUE!</v>
      </c>
      <c r="G47" s="33" t="str">
        <f t="shared" si="4"/>
        <v/>
      </c>
      <c r="H47" s="33" t="str">
        <f t="shared" si="7"/>
        <v/>
      </c>
      <c r="I47" s="33" t="e">
        <f t="shared" si="5"/>
        <v>#VALUE!</v>
      </c>
      <c r="J47" s="33">
        <f>SUM($H$18:$H47)</f>
        <v>0</v>
      </c>
    </row>
    <row r="48" spans="1:10">
      <c r="A48" s="36" t="str">
        <f>IF(Values_Entered,A47+1,"")</f>
        <v/>
      </c>
      <c r="B48" s="35" t="str">
        <f t="shared" si="0"/>
        <v/>
      </c>
      <c r="C48" s="33" t="str">
        <f t="shared" si="6"/>
        <v/>
      </c>
      <c r="D48" s="33" t="str">
        <f t="shared" si="1"/>
        <v/>
      </c>
      <c r="E48" s="34" t="e">
        <f t="shared" si="2"/>
        <v>#VALUE!</v>
      </c>
      <c r="F48" s="33" t="e">
        <f t="shared" si="3"/>
        <v>#VALUE!</v>
      </c>
      <c r="G48" s="33" t="str">
        <f t="shared" si="4"/>
        <v/>
      </c>
      <c r="H48" s="33" t="str">
        <f t="shared" si="7"/>
        <v/>
      </c>
      <c r="I48" s="33" t="e">
        <f t="shared" si="5"/>
        <v>#VALUE!</v>
      </c>
      <c r="J48" s="33">
        <f>SUM($H$18:$H48)</f>
        <v>0</v>
      </c>
    </row>
    <row r="49" spans="1:10">
      <c r="A49" s="36" t="str">
        <f>IF(Values_Entered,A48+1,"")</f>
        <v/>
      </c>
      <c r="B49" s="35" t="str">
        <f t="shared" si="0"/>
        <v/>
      </c>
      <c r="C49" s="33" t="str">
        <f t="shared" si="6"/>
        <v/>
      </c>
      <c r="D49" s="33" t="str">
        <f t="shared" si="1"/>
        <v/>
      </c>
      <c r="E49" s="34" t="e">
        <f t="shared" si="2"/>
        <v>#VALUE!</v>
      </c>
      <c r="F49" s="33" t="e">
        <f t="shared" si="3"/>
        <v>#VALUE!</v>
      </c>
      <c r="G49" s="33" t="str">
        <f t="shared" si="4"/>
        <v/>
      </c>
      <c r="H49" s="33" t="str">
        <f t="shared" si="7"/>
        <v/>
      </c>
      <c r="I49" s="33" t="e">
        <f t="shared" si="5"/>
        <v>#VALUE!</v>
      </c>
      <c r="J49" s="33">
        <f>SUM($H$18:$H49)</f>
        <v>0</v>
      </c>
    </row>
    <row r="50" spans="1:10">
      <c r="A50" s="36" t="str">
        <f>IF(Values_Entered,A49+1,"")</f>
        <v/>
      </c>
      <c r="B50" s="35" t="str">
        <f t="shared" si="0"/>
        <v/>
      </c>
      <c r="C50" s="33" t="str">
        <f t="shared" si="6"/>
        <v/>
      </c>
      <c r="D50" s="33" t="str">
        <f t="shared" si="1"/>
        <v/>
      </c>
      <c r="E50" s="34" t="e">
        <f t="shared" si="2"/>
        <v>#VALUE!</v>
      </c>
      <c r="F50" s="33" t="e">
        <f t="shared" si="3"/>
        <v>#VALUE!</v>
      </c>
      <c r="G50" s="33" t="str">
        <f t="shared" si="4"/>
        <v/>
      </c>
      <c r="H50" s="33" t="str">
        <f t="shared" si="7"/>
        <v/>
      </c>
      <c r="I50" s="33" t="e">
        <f t="shared" si="5"/>
        <v>#VALUE!</v>
      </c>
      <c r="J50" s="33">
        <f>SUM($H$18:$H50)</f>
        <v>0</v>
      </c>
    </row>
    <row r="51" spans="1:10">
      <c r="A51" s="36" t="str">
        <f>IF(Values_Entered,A50+1,"")</f>
        <v/>
      </c>
      <c r="B51" s="35" t="str">
        <f t="shared" si="0"/>
        <v/>
      </c>
      <c r="C51" s="33" t="str">
        <f t="shared" si="6"/>
        <v/>
      </c>
      <c r="D51" s="33" t="str">
        <f t="shared" si="1"/>
        <v/>
      </c>
      <c r="E51" s="34" t="e">
        <f t="shared" si="2"/>
        <v>#VALUE!</v>
      </c>
      <c r="F51" s="33" t="e">
        <f t="shared" si="3"/>
        <v>#VALUE!</v>
      </c>
      <c r="G51" s="33" t="str">
        <f t="shared" si="4"/>
        <v/>
      </c>
      <c r="H51" s="33" t="str">
        <f t="shared" si="7"/>
        <v/>
      </c>
      <c r="I51" s="33" t="e">
        <f t="shared" si="5"/>
        <v>#VALUE!</v>
      </c>
      <c r="J51" s="33">
        <f>SUM($H$18:$H51)</f>
        <v>0</v>
      </c>
    </row>
    <row r="52" spans="1:10">
      <c r="A52" s="36" t="str">
        <f>IF(Values_Entered,A51+1,"")</f>
        <v/>
      </c>
      <c r="B52" s="35" t="str">
        <f t="shared" si="0"/>
        <v/>
      </c>
      <c r="C52" s="33" t="str">
        <f t="shared" si="6"/>
        <v/>
      </c>
      <c r="D52" s="33" t="str">
        <f t="shared" si="1"/>
        <v/>
      </c>
      <c r="E52" s="34" t="e">
        <f t="shared" si="2"/>
        <v>#VALUE!</v>
      </c>
      <c r="F52" s="33" t="e">
        <f t="shared" si="3"/>
        <v>#VALUE!</v>
      </c>
      <c r="G52" s="33" t="str">
        <f t="shared" si="4"/>
        <v/>
      </c>
      <c r="H52" s="33" t="str">
        <f t="shared" si="7"/>
        <v/>
      </c>
      <c r="I52" s="33" t="e">
        <f t="shared" si="5"/>
        <v>#VALUE!</v>
      </c>
      <c r="J52" s="33">
        <f>SUM($H$18:$H52)</f>
        <v>0</v>
      </c>
    </row>
    <row r="53" spans="1:10">
      <c r="A53" s="36" t="str">
        <f>IF(Values_Entered,A52+1,"")</f>
        <v/>
      </c>
      <c r="B53" s="35" t="str">
        <f t="shared" si="0"/>
        <v/>
      </c>
      <c r="C53" s="33" t="str">
        <f t="shared" si="6"/>
        <v/>
      </c>
      <c r="D53" s="33" t="str">
        <f t="shared" si="1"/>
        <v/>
      </c>
      <c r="E53" s="34" t="e">
        <f t="shared" si="2"/>
        <v>#VALUE!</v>
      </c>
      <c r="F53" s="33" t="e">
        <f t="shared" si="3"/>
        <v>#VALUE!</v>
      </c>
      <c r="G53" s="33" t="str">
        <f t="shared" si="4"/>
        <v/>
      </c>
      <c r="H53" s="33" t="str">
        <f t="shared" si="7"/>
        <v/>
      </c>
      <c r="I53" s="33" t="e">
        <f t="shared" si="5"/>
        <v>#VALUE!</v>
      </c>
      <c r="J53" s="33">
        <f>SUM($H$18:$H53)</f>
        <v>0</v>
      </c>
    </row>
    <row r="54" spans="1:10">
      <c r="A54" s="36" t="str">
        <f>IF(Values_Entered,A53+1,"")</f>
        <v/>
      </c>
      <c r="B54" s="35" t="str">
        <f t="shared" si="0"/>
        <v/>
      </c>
      <c r="C54" s="33" t="str">
        <f t="shared" si="6"/>
        <v/>
      </c>
      <c r="D54" s="33" t="str">
        <f t="shared" si="1"/>
        <v/>
      </c>
      <c r="E54" s="34" t="e">
        <f t="shared" si="2"/>
        <v>#VALUE!</v>
      </c>
      <c r="F54" s="33" t="e">
        <f t="shared" si="3"/>
        <v>#VALUE!</v>
      </c>
      <c r="G54" s="33" t="str">
        <f t="shared" si="4"/>
        <v/>
      </c>
      <c r="H54" s="33" t="str">
        <f t="shared" si="7"/>
        <v/>
      </c>
      <c r="I54" s="33" t="e">
        <f t="shared" si="5"/>
        <v>#VALUE!</v>
      </c>
      <c r="J54" s="33">
        <f>SUM($H$18:$H54)</f>
        <v>0</v>
      </c>
    </row>
    <row r="55" spans="1:10">
      <c r="A55" s="36" t="str">
        <f>IF(Values_Entered,A54+1,"")</f>
        <v/>
      </c>
      <c r="B55" s="35" t="str">
        <f t="shared" si="0"/>
        <v/>
      </c>
      <c r="C55" s="33" t="str">
        <f t="shared" si="6"/>
        <v/>
      </c>
      <c r="D55" s="33" t="str">
        <f t="shared" si="1"/>
        <v/>
      </c>
      <c r="E55" s="34" t="e">
        <f t="shared" si="2"/>
        <v>#VALUE!</v>
      </c>
      <c r="F55" s="33" t="e">
        <f t="shared" si="3"/>
        <v>#VALUE!</v>
      </c>
      <c r="G55" s="33" t="str">
        <f t="shared" si="4"/>
        <v/>
      </c>
      <c r="H55" s="33" t="str">
        <f t="shared" si="7"/>
        <v/>
      </c>
      <c r="I55" s="33" t="e">
        <f t="shared" si="5"/>
        <v>#VALUE!</v>
      </c>
      <c r="J55" s="33">
        <f>SUM($H$18:$H55)</f>
        <v>0</v>
      </c>
    </row>
    <row r="56" spans="1:10">
      <c r="A56" s="36" t="str">
        <f>IF(Values_Entered,A55+1,"")</f>
        <v/>
      </c>
      <c r="B56" s="35" t="str">
        <f t="shared" si="0"/>
        <v/>
      </c>
      <c r="C56" s="33" t="str">
        <f t="shared" si="6"/>
        <v/>
      </c>
      <c r="D56" s="33" t="str">
        <f t="shared" si="1"/>
        <v/>
      </c>
      <c r="E56" s="34" t="e">
        <f t="shared" si="2"/>
        <v>#VALUE!</v>
      </c>
      <c r="F56" s="33" t="e">
        <f t="shared" si="3"/>
        <v>#VALUE!</v>
      </c>
      <c r="G56" s="33" t="str">
        <f t="shared" si="4"/>
        <v/>
      </c>
      <c r="H56" s="33" t="str">
        <f t="shared" si="7"/>
        <v/>
      </c>
      <c r="I56" s="33" t="e">
        <f t="shared" si="5"/>
        <v>#VALUE!</v>
      </c>
      <c r="J56" s="33">
        <f>SUM($H$18:$H56)</f>
        <v>0</v>
      </c>
    </row>
    <row r="57" spans="1:10">
      <c r="A57" s="36" t="str">
        <f>IF(Values_Entered,A56+1,"")</f>
        <v/>
      </c>
      <c r="B57" s="35" t="str">
        <f t="shared" si="0"/>
        <v/>
      </c>
      <c r="C57" s="33" t="str">
        <f t="shared" si="6"/>
        <v/>
      </c>
      <c r="D57" s="33" t="str">
        <f t="shared" si="1"/>
        <v/>
      </c>
      <c r="E57" s="34" t="e">
        <f t="shared" si="2"/>
        <v>#VALUE!</v>
      </c>
      <c r="F57" s="33" t="e">
        <f t="shared" si="3"/>
        <v>#VALUE!</v>
      </c>
      <c r="G57" s="33" t="str">
        <f t="shared" si="4"/>
        <v/>
      </c>
      <c r="H57" s="33" t="str">
        <f t="shared" si="7"/>
        <v/>
      </c>
      <c r="I57" s="33" t="e">
        <f t="shared" si="5"/>
        <v>#VALUE!</v>
      </c>
      <c r="J57" s="33">
        <f>SUM($H$18:$H57)</f>
        <v>0</v>
      </c>
    </row>
    <row r="58" spans="1:10">
      <c r="A58" s="36" t="str">
        <f>IF(Values_Entered,A57+1,"")</f>
        <v/>
      </c>
      <c r="B58" s="35" t="str">
        <f t="shared" si="0"/>
        <v/>
      </c>
      <c r="C58" s="33" t="str">
        <f t="shared" si="6"/>
        <v/>
      </c>
      <c r="D58" s="33" t="str">
        <f t="shared" si="1"/>
        <v/>
      </c>
      <c r="E58" s="34" t="e">
        <f t="shared" si="2"/>
        <v>#VALUE!</v>
      </c>
      <c r="F58" s="33" t="e">
        <f t="shared" si="3"/>
        <v>#VALUE!</v>
      </c>
      <c r="G58" s="33" t="str">
        <f t="shared" si="4"/>
        <v/>
      </c>
      <c r="H58" s="33" t="str">
        <f t="shared" si="7"/>
        <v/>
      </c>
      <c r="I58" s="33" t="e">
        <f t="shared" si="5"/>
        <v>#VALUE!</v>
      </c>
      <c r="J58" s="33">
        <f>SUM($H$18:$H58)</f>
        <v>0</v>
      </c>
    </row>
    <row r="59" spans="1:10">
      <c r="A59" s="36" t="str">
        <f>IF(Values_Entered,A58+1,"")</f>
        <v/>
      </c>
      <c r="B59" s="35" t="str">
        <f t="shared" si="0"/>
        <v/>
      </c>
      <c r="C59" s="33" t="str">
        <f t="shared" si="6"/>
        <v/>
      </c>
      <c r="D59" s="33" t="str">
        <f t="shared" si="1"/>
        <v/>
      </c>
      <c r="E59" s="34" t="e">
        <f t="shared" si="2"/>
        <v>#VALUE!</v>
      </c>
      <c r="F59" s="33" t="e">
        <f t="shared" si="3"/>
        <v>#VALUE!</v>
      </c>
      <c r="G59" s="33" t="str">
        <f t="shared" si="4"/>
        <v/>
      </c>
      <c r="H59" s="33" t="str">
        <f t="shared" si="7"/>
        <v/>
      </c>
      <c r="I59" s="33" t="e">
        <f t="shared" si="5"/>
        <v>#VALUE!</v>
      </c>
      <c r="J59" s="33">
        <f>SUM($H$18:$H59)</f>
        <v>0</v>
      </c>
    </row>
    <row r="60" spans="1:10">
      <c r="A60" s="36" t="str">
        <f>IF(Values_Entered,A59+1,"")</f>
        <v/>
      </c>
      <c r="B60" s="35" t="str">
        <f t="shared" si="0"/>
        <v/>
      </c>
      <c r="C60" s="33" t="str">
        <f t="shared" si="6"/>
        <v/>
      </c>
      <c r="D60" s="33" t="str">
        <f t="shared" si="1"/>
        <v/>
      </c>
      <c r="E60" s="34" t="e">
        <f t="shared" si="2"/>
        <v>#VALUE!</v>
      </c>
      <c r="F60" s="33" t="e">
        <f t="shared" si="3"/>
        <v>#VALUE!</v>
      </c>
      <c r="G60" s="33" t="str">
        <f t="shared" si="4"/>
        <v/>
      </c>
      <c r="H60" s="33" t="str">
        <f t="shared" si="7"/>
        <v/>
      </c>
      <c r="I60" s="33" t="e">
        <f t="shared" si="5"/>
        <v>#VALUE!</v>
      </c>
      <c r="J60" s="33">
        <f>SUM($H$18:$H60)</f>
        <v>0</v>
      </c>
    </row>
    <row r="61" spans="1:10">
      <c r="A61" s="36" t="str">
        <f>IF(Values_Entered,A60+1,"")</f>
        <v/>
      </c>
      <c r="B61" s="35" t="str">
        <f t="shared" si="0"/>
        <v/>
      </c>
      <c r="C61" s="33" t="str">
        <f t="shared" si="6"/>
        <v/>
      </c>
      <c r="D61" s="33" t="str">
        <f t="shared" si="1"/>
        <v/>
      </c>
      <c r="E61" s="34" t="e">
        <f t="shared" si="2"/>
        <v>#VALUE!</v>
      </c>
      <c r="F61" s="33" t="e">
        <f t="shared" si="3"/>
        <v>#VALUE!</v>
      </c>
      <c r="G61" s="33" t="str">
        <f t="shared" si="4"/>
        <v/>
      </c>
      <c r="H61" s="33" t="str">
        <f t="shared" si="7"/>
        <v/>
      </c>
      <c r="I61" s="33" t="e">
        <f t="shared" si="5"/>
        <v>#VALUE!</v>
      </c>
      <c r="J61" s="33">
        <f>SUM($H$18:$H61)</f>
        <v>0</v>
      </c>
    </row>
    <row r="62" spans="1:10">
      <c r="A62" s="36" t="str">
        <f>IF(Values_Entered,A61+1,"")</f>
        <v/>
      </c>
      <c r="B62" s="35" t="str">
        <f t="shared" si="0"/>
        <v/>
      </c>
      <c r="C62" s="33" t="str">
        <f t="shared" si="6"/>
        <v/>
      </c>
      <c r="D62" s="33" t="str">
        <f t="shared" si="1"/>
        <v/>
      </c>
      <c r="E62" s="34" t="e">
        <f t="shared" si="2"/>
        <v>#VALUE!</v>
      </c>
      <c r="F62" s="33" t="e">
        <f t="shared" si="3"/>
        <v>#VALUE!</v>
      </c>
      <c r="G62" s="33" t="str">
        <f t="shared" si="4"/>
        <v/>
      </c>
      <c r="H62" s="33" t="str">
        <f t="shared" si="7"/>
        <v/>
      </c>
      <c r="I62" s="33" t="e">
        <f t="shared" si="5"/>
        <v>#VALUE!</v>
      </c>
      <c r="J62" s="33">
        <f>SUM($H$18:$H62)</f>
        <v>0</v>
      </c>
    </row>
    <row r="63" spans="1:10">
      <c r="A63" s="36" t="str">
        <f>IF(Values_Entered,A62+1,"")</f>
        <v/>
      </c>
      <c r="B63" s="35" t="str">
        <f t="shared" si="0"/>
        <v/>
      </c>
      <c r="C63" s="33" t="str">
        <f t="shared" si="6"/>
        <v/>
      </c>
      <c r="D63" s="33" t="str">
        <f t="shared" si="1"/>
        <v/>
      </c>
      <c r="E63" s="34" t="e">
        <f t="shared" si="2"/>
        <v>#VALUE!</v>
      </c>
      <c r="F63" s="33" t="e">
        <f t="shared" si="3"/>
        <v>#VALUE!</v>
      </c>
      <c r="G63" s="33" t="str">
        <f t="shared" si="4"/>
        <v/>
      </c>
      <c r="H63" s="33" t="str">
        <f t="shared" si="7"/>
        <v/>
      </c>
      <c r="I63" s="33" t="e">
        <f t="shared" si="5"/>
        <v>#VALUE!</v>
      </c>
      <c r="J63" s="33">
        <f>SUM($H$18:$H63)</f>
        <v>0</v>
      </c>
    </row>
    <row r="64" spans="1:10">
      <c r="A64" s="36" t="str">
        <f>IF(Values_Entered,A63+1,"")</f>
        <v/>
      </c>
      <c r="B64" s="35" t="str">
        <f t="shared" si="0"/>
        <v/>
      </c>
      <c r="C64" s="33" t="str">
        <f t="shared" si="6"/>
        <v/>
      </c>
      <c r="D64" s="33" t="str">
        <f t="shared" si="1"/>
        <v/>
      </c>
      <c r="E64" s="34" t="e">
        <f t="shared" si="2"/>
        <v>#VALUE!</v>
      </c>
      <c r="F64" s="33" t="e">
        <f t="shared" si="3"/>
        <v>#VALUE!</v>
      </c>
      <c r="G64" s="33" t="str">
        <f t="shared" si="4"/>
        <v/>
      </c>
      <c r="H64" s="33" t="str">
        <f t="shared" si="7"/>
        <v/>
      </c>
      <c r="I64" s="33" t="e">
        <f t="shared" si="5"/>
        <v>#VALUE!</v>
      </c>
      <c r="J64" s="33">
        <f>SUM($H$18:$H64)</f>
        <v>0</v>
      </c>
    </row>
    <row r="65" spans="1:10">
      <c r="A65" s="36" t="str">
        <f>IF(Values_Entered,A64+1,"")</f>
        <v/>
      </c>
      <c r="B65" s="35" t="str">
        <f t="shared" si="0"/>
        <v/>
      </c>
      <c r="C65" s="33" t="str">
        <f t="shared" si="6"/>
        <v/>
      </c>
      <c r="D65" s="33" t="str">
        <f t="shared" si="1"/>
        <v/>
      </c>
      <c r="E65" s="34" t="e">
        <f t="shared" si="2"/>
        <v>#VALUE!</v>
      </c>
      <c r="F65" s="33" t="e">
        <f t="shared" si="3"/>
        <v>#VALUE!</v>
      </c>
      <c r="G65" s="33" t="str">
        <f t="shared" si="4"/>
        <v/>
      </c>
      <c r="H65" s="33" t="str">
        <f t="shared" si="7"/>
        <v/>
      </c>
      <c r="I65" s="33" t="e">
        <f t="shared" si="5"/>
        <v>#VALUE!</v>
      </c>
      <c r="J65" s="33">
        <f>SUM($H$18:$H65)</f>
        <v>0</v>
      </c>
    </row>
    <row r="66" spans="1:10">
      <c r="A66" s="36" t="str">
        <f>IF(Values_Entered,A65+1,"")</f>
        <v/>
      </c>
      <c r="B66" s="35" t="str">
        <f t="shared" si="0"/>
        <v/>
      </c>
      <c r="C66" s="33" t="str">
        <f t="shared" si="6"/>
        <v/>
      </c>
      <c r="D66" s="33" t="str">
        <f t="shared" si="1"/>
        <v/>
      </c>
      <c r="E66" s="34" t="e">
        <f t="shared" si="2"/>
        <v>#VALUE!</v>
      </c>
      <c r="F66" s="33" t="e">
        <f t="shared" si="3"/>
        <v>#VALUE!</v>
      </c>
      <c r="G66" s="33" t="str">
        <f t="shared" si="4"/>
        <v/>
      </c>
      <c r="H66" s="33" t="str">
        <f t="shared" si="7"/>
        <v/>
      </c>
      <c r="I66" s="33" t="e">
        <f t="shared" si="5"/>
        <v>#VALUE!</v>
      </c>
      <c r="J66" s="33">
        <f>SUM($H$18:$H66)</f>
        <v>0</v>
      </c>
    </row>
    <row r="67" spans="1:10">
      <c r="A67" s="36" t="str">
        <f>IF(Values_Entered,A66+1,"")</f>
        <v/>
      </c>
      <c r="B67" s="35" t="str">
        <f t="shared" si="0"/>
        <v/>
      </c>
      <c r="C67" s="33" t="str">
        <f t="shared" si="6"/>
        <v/>
      </c>
      <c r="D67" s="33" t="str">
        <f t="shared" si="1"/>
        <v/>
      </c>
      <c r="E67" s="34" t="e">
        <f t="shared" si="2"/>
        <v>#VALUE!</v>
      </c>
      <c r="F67" s="33" t="e">
        <f t="shared" si="3"/>
        <v>#VALUE!</v>
      </c>
      <c r="G67" s="33" t="str">
        <f t="shared" si="4"/>
        <v/>
      </c>
      <c r="H67" s="33" t="str">
        <f t="shared" si="7"/>
        <v/>
      </c>
      <c r="I67" s="33" t="e">
        <f t="shared" si="5"/>
        <v>#VALUE!</v>
      </c>
      <c r="J67" s="33">
        <f>SUM($H$18:$H67)</f>
        <v>0</v>
      </c>
    </row>
    <row r="68" spans="1:10">
      <c r="A68" s="36" t="str">
        <f>IF(Values_Entered,A67+1,"")</f>
        <v/>
      </c>
      <c r="B68" s="35" t="str">
        <f t="shared" si="0"/>
        <v/>
      </c>
      <c r="C68" s="33" t="str">
        <f t="shared" si="6"/>
        <v/>
      </c>
      <c r="D68" s="33" t="str">
        <f t="shared" si="1"/>
        <v/>
      </c>
      <c r="E68" s="34" t="e">
        <f t="shared" si="2"/>
        <v>#VALUE!</v>
      </c>
      <c r="F68" s="33" t="e">
        <f t="shared" si="3"/>
        <v>#VALUE!</v>
      </c>
      <c r="G68" s="33" t="str">
        <f t="shared" si="4"/>
        <v/>
      </c>
      <c r="H68" s="33" t="str">
        <f t="shared" si="7"/>
        <v/>
      </c>
      <c r="I68" s="33" t="e">
        <f t="shared" si="5"/>
        <v>#VALUE!</v>
      </c>
      <c r="J68" s="33">
        <f>SUM($H$18:$H68)</f>
        <v>0</v>
      </c>
    </row>
    <row r="69" spans="1:10">
      <c r="A69" s="36" t="str">
        <f>IF(Values_Entered,A68+1,"")</f>
        <v/>
      </c>
      <c r="B69" s="35" t="str">
        <f t="shared" si="0"/>
        <v/>
      </c>
      <c r="C69" s="33" t="str">
        <f t="shared" si="6"/>
        <v/>
      </c>
      <c r="D69" s="33" t="str">
        <f t="shared" si="1"/>
        <v/>
      </c>
      <c r="E69" s="34" t="e">
        <f t="shared" si="2"/>
        <v>#VALUE!</v>
      </c>
      <c r="F69" s="33" t="e">
        <f t="shared" si="3"/>
        <v>#VALUE!</v>
      </c>
      <c r="G69" s="33" t="str">
        <f t="shared" si="4"/>
        <v/>
      </c>
      <c r="H69" s="33" t="str">
        <f t="shared" si="7"/>
        <v/>
      </c>
      <c r="I69" s="33" t="e">
        <f t="shared" si="5"/>
        <v>#VALUE!</v>
      </c>
      <c r="J69" s="33">
        <f>SUM($H$18:$H69)</f>
        <v>0</v>
      </c>
    </row>
    <row r="70" spans="1:10">
      <c r="A70" s="36" t="str">
        <f>IF(Values_Entered,A69+1,"")</f>
        <v/>
      </c>
      <c r="B70" s="35" t="str">
        <f t="shared" si="0"/>
        <v/>
      </c>
      <c r="C70" s="33" t="str">
        <f t="shared" si="6"/>
        <v/>
      </c>
      <c r="D70" s="33" t="str">
        <f t="shared" si="1"/>
        <v/>
      </c>
      <c r="E70" s="34" t="e">
        <f t="shared" si="2"/>
        <v>#VALUE!</v>
      </c>
      <c r="F70" s="33" t="e">
        <f t="shared" si="3"/>
        <v>#VALUE!</v>
      </c>
      <c r="G70" s="33" t="str">
        <f t="shared" si="4"/>
        <v/>
      </c>
      <c r="H70" s="33" t="str">
        <f t="shared" si="7"/>
        <v/>
      </c>
      <c r="I70" s="33" t="e">
        <f t="shared" si="5"/>
        <v>#VALUE!</v>
      </c>
      <c r="J70" s="33">
        <f>SUM($H$18:$H70)</f>
        <v>0</v>
      </c>
    </row>
    <row r="71" spans="1:10">
      <c r="A71" s="36" t="str">
        <f>IF(Values_Entered,A70+1,"")</f>
        <v/>
      </c>
      <c r="B71" s="35" t="str">
        <f t="shared" si="0"/>
        <v/>
      </c>
      <c r="C71" s="33" t="str">
        <f t="shared" si="6"/>
        <v/>
      </c>
      <c r="D71" s="33" t="str">
        <f t="shared" si="1"/>
        <v/>
      </c>
      <c r="E71" s="34" t="e">
        <f t="shared" si="2"/>
        <v>#VALUE!</v>
      </c>
      <c r="F71" s="33" t="e">
        <f t="shared" si="3"/>
        <v>#VALUE!</v>
      </c>
      <c r="G71" s="33" t="str">
        <f t="shared" si="4"/>
        <v/>
      </c>
      <c r="H71" s="33" t="str">
        <f t="shared" si="7"/>
        <v/>
      </c>
      <c r="I71" s="33" t="e">
        <f t="shared" si="5"/>
        <v>#VALUE!</v>
      </c>
      <c r="J71" s="33">
        <f>SUM($H$18:$H71)</f>
        <v>0</v>
      </c>
    </row>
    <row r="72" spans="1:10">
      <c r="A72" s="36" t="str">
        <f>IF(Values_Entered,A71+1,"")</f>
        <v/>
      </c>
      <c r="B72" s="35" t="str">
        <f t="shared" si="0"/>
        <v/>
      </c>
      <c r="C72" s="33" t="str">
        <f t="shared" si="6"/>
        <v/>
      </c>
      <c r="D72" s="33" t="str">
        <f t="shared" si="1"/>
        <v/>
      </c>
      <c r="E72" s="34" t="e">
        <f t="shared" si="2"/>
        <v>#VALUE!</v>
      </c>
      <c r="F72" s="33" t="e">
        <f t="shared" si="3"/>
        <v>#VALUE!</v>
      </c>
      <c r="G72" s="33" t="str">
        <f t="shared" si="4"/>
        <v/>
      </c>
      <c r="H72" s="33" t="str">
        <f t="shared" si="7"/>
        <v/>
      </c>
      <c r="I72" s="33" t="e">
        <f t="shared" si="5"/>
        <v>#VALUE!</v>
      </c>
      <c r="J72" s="33">
        <f>SUM($H$18:$H72)</f>
        <v>0</v>
      </c>
    </row>
    <row r="73" spans="1:10">
      <c r="A73" s="36" t="str">
        <f>IF(Values_Entered,A72+1,"")</f>
        <v/>
      </c>
      <c r="B73" s="35" t="str">
        <f t="shared" si="0"/>
        <v/>
      </c>
      <c r="C73" s="33" t="str">
        <f t="shared" si="6"/>
        <v/>
      </c>
      <c r="D73" s="33" t="str">
        <f t="shared" si="1"/>
        <v/>
      </c>
      <c r="E73" s="34" t="e">
        <f t="shared" si="2"/>
        <v>#VALUE!</v>
      </c>
      <c r="F73" s="33" t="e">
        <f t="shared" si="3"/>
        <v>#VALUE!</v>
      </c>
      <c r="G73" s="33" t="str">
        <f t="shared" si="4"/>
        <v/>
      </c>
      <c r="H73" s="33" t="str">
        <f t="shared" si="7"/>
        <v/>
      </c>
      <c r="I73" s="33" t="e">
        <f t="shared" si="5"/>
        <v>#VALUE!</v>
      </c>
      <c r="J73" s="33">
        <f>SUM($H$18:$H73)</f>
        <v>0</v>
      </c>
    </row>
    <row r="74" spans="1:10">
      <c r="A74" s="36" t="str">
        <f>IF(Values_Entered,A73+1,"")</f>
        <v/>
      </c>
      <c r="B74" s="35" t="str">
        <f t="shared" si="0"/>
        <v/>
      </c>
      <c r="C74" s="33" t="str">
        <f t="shared" si="6"/>
        <v/>
      </c>
      <c r="D74" s="33" t="str">
        <f t="shared" si="1"/>
        <v/>
      </c>
      <c r="E74" s="34" t="e">
        <f t="shared" si="2"/>
        <v>#VALUE!</v>
      </c>
      <c r="F74" s="33" t="e">
        <f t="shared" si="3"/>
        <v>#VALUE!</v>
      </c>
      <c r="G74" s="33" t="str">
        <f t="shared" si="4"/>
        <v/>
      </c>
      <c r="H74" s="33" t="str">
        <f t="shared" si="7"/>
        <v/>
      </c>
      <c r="I74" s="33" t="e">
        <f t="shared" si="5"/>
        <v>#VALUE!</v>
      </c>
      <c r="J74" s="33">
        <f>SUM($H$18:$H74)</f>
        <v>0</v>
      </c>
    </row>
    <row r="75" spans="1:10">
      <c r="A75" s="36" t="str">
        <f>IF(Values_Entered,A74+1,"")</f>
        <v/>
      </c>
      <c r="B75" s="35" t="str">
        <f t="shared" si="0"/>
        <v/>
      </c>
      <c r="C75" s="33" t="str">
        <f t="shared" si="6"/>
        <v/>
      </c>
      <c r="D75" s="33" t="str">
        <f t="shared" si="1"/>
        <v/>
      </c>
      <c r="E75" s="34" t="e">
        <f t="shared" si="2"/>
        <v>#VALUE!</v>
      </c>
      <c r="F75" s="33" t="e">
        <f t="shared" si="3"/>
        <v>#VALUE!</v>
      </c>
      <c r="G75" s="33" t="str">
        <f t="shared" si="4"/>
        <v/>
      </c>
      <c r="H75" s="33" t="str">
        <f t="shared" si="7"/>
        <v/>
      </c>
      <c r="I75" s="33" t="e">
        <f t="shared" si="5"/>
        <v>#VALUE!</v>
      </c>
      <c r="J75" s="33">
        <f>SUM($H$18:$H75)</f>
        <v>0</v>
      </c>
    </row>
    <row r="76" spans="1:10">
      <c r="A76" s="36" t="str">
        <f>IF(Values_Entered,A75+1,"")</f>
        <v/>
      </c>
      <c r="B76" s="35" t="str">
        <f t="shared" si="0"/>
        <v/>
      </c>
      <c r="C76" s="33" t="str">
        <f t="shared" si="6"/>
        <v/>
      </c>
      <c r="D76" s="33" t="str">
        <f t="shared" si="1"/>
        <v/>
      </c>
      <c r="E76" s="34" t="e">
        <f t="shared" si="2"/>
        <v>#VALUE!</v>
      </c>
      <c r="F76" s="33" t="e">
        <f t="shared" si="3"/>
        <v>#VALUE!</v>
      </c>
      <c r="G76" s="33" t="str">
        <f t="shared" si="4"/>
        <v/>
      </c>
      <c r="H76" s="33" t="str">
        <f t="shared" si="7"/>
        <v/>
      </c>
      <c r="I76" s="33" t="e">
        <f t="shared" si="5"/>
        <v>#VALUE!</v>
      </c>
      <c r="J76" s="33">
        <f>SUM($H$18:$H76)</f>
        <v>0</v>
      </c>
    </row>
    <row r="77" spans="1:10">
      <c r="A77" s="36" t="str">
        <f>IF(Values_Entered,A76+1,"")</f>
        <v/>
      </c>
      <c r="B77" s="35" t="str">
        <f t="shared" si="0"/>
        <v/>
      </c>
      <c r="C77" s="33" t="str">
        <f t="shared" si="6"/>
        <v/>
      </c>
      <c r="D77" s="33" t="str">
        <f t="shared" si="1"/>
        <v/>
      </c>
      <c r="E77" s="34" t="e">
        <f t="shared" si="2"/>
        <v>#VALUE!</v>
      </c>
      <c r="F77" s="33" t="e">
        <f t="shared" si="3"/>
        <v>#VALUE!</v>
      </c>
      <c r="G77" s="33" t="str">
        <f t="shared" si="4"/>
        <v/>
      </c>
      <c r="H77" s="33" t="str">
        <f t="shared" si="7"/>
        <v/>
      </c>
      <c r="I77" s="33" t="e">
        <f t="shared" si="5"/>
        <v>#VALUE!</v>
      </c>
      <c r="J77" s="33">
        <f>SUM($H$18:$H77)</f>
        <v>0</v>
      </c>
    </row>
    <row r="78" spans="1:10">
      <c r="A78" s="36" t="str">
        <f>IF(Values_Entered,A77+1,"")</f>
        <v/>
      </c>
      <c r="B78" s="35" t="str">
        <f t="shared" si="0"/>
        <v/>
      </c>
      <c r="C78" s="33" t="str">
        <f t="shared" si="6"/>
        <v/>
      </c>
      <c r="D78" s="33" t="str">
        <f t="shared" si="1"/>
        <v/>
      </c>
      <c r="E78" s="34" t="e">
        <f t="shared" si="2"/>
        <v>#VALUE!</v>
      </c>
      <c r="F78" s="33" t="e">
        <f t="shared" si="3"/>
        <v>#VALUE!</v>
      </c>
      <c r="G78" s="33" t="str">
        <f t="shared" si="4"/>
        <v/>
      </c>
      <c r="H78" s="33" t="str">
        <f t="shared" si="7"/>
        <v/>
      </c>
      <c r="I78" s="33" t="e">
        <f t="shared" si="5"/>
        <v>#VALUE!</v>
      </c>
      <c r="J78" s="33">
        <f>SUM($H$18:$H78)</f>
        <v>0</v>
      </c>
    </row>
    <row r="79" spans="1:10">
      <c r="A79" s="36" t="str">
        <f>IF(Values_Entered,A78+1,"")</f>
        <v/>
      </c>
      <c r="B79" s="35" t="str">
        <f t="shared" si="0"/>
        <v/>
      </c>
      <c r="C79" s="33" t="str">
        <f t="shared" si="6"/>
        <v/>
      </c>
      <c r="D79" s="33" t="str">
        <f t="shared" si="1"/>
        <v/>
      </c>
      <c r="E79" s="34" t="e">
        <f t="shared" si="2"/>
        <v>#VALUE!</v>
      </c>
      <c r="F79" s="33" t="e">
        <f t="shared" si="3"/>
        <v>#VALUE!</v>
      </c>
      <c r="G79" s="33" t="str">
        <f t="shared" si="4"/>
        <v/>
      </c>
      <c r="H79" s="33" t="str">
        <f t="shared" si="7"/>
        <v/>
      </c>
      <c r="I79" s="33" t="e">
        <f t="shared" si="5"/>
        <v>#VALUE!</v>
      </c>
      <c r="J79" s="33">
        <f>SUM($H$18:$H79)</f>
        <v>0</v>
      </c>
    </row>
    <row r="80" spans="1:10">
      <c r="A80" s="36" t="str">
        <f>IF(Values_Entered,A79+1,"")</f>
        <v/>
      </c>
      <c r="B80" s="35" t="str">
        <f t="shared" si="0"/>
        <v/>
      </c>
      <c r="C80" s="33" t="str">
        <f t="shared" si="6"/>
        <v/>
      </c>
      <c r="D80" s="33" t="str">
        <f t="shared" si="1"/>
        <v/>
      </c>
      <c r="E80" s="34" t="e">
        <f t="shared" si="2"/>
        <v>#VALUE!</v>
      </c>
      <c r="F80" s="33" t="e">
        <f t="shared" si="3"/>
        <v>#VALUE!</v>
      </c>
      <c r="G80" s="33" t="str">
        <f t="shared" si="4"/>
        <v/>
      </c>
      <c r="H80" s="33" t="str">
        <f t="shared" si="7"/>
        <v/>
      </c>
      <c r="I80" s="33" t="e">
        <f t="shared" si="5"/>
        <v>#VALUE!</v>
      </c>
      <c r="J80" s="33">
        <f>SUM($H$18:$H80)</f>
        <v>0</v>
      </c>
    </row>
    <row r="81" spans="1:10">
      <c r="A81" s="36" t="str">
        <f>IF(Values_Entered,A80+1,"")</f>
        <v/>
      </c>
      <c r="B81" s="35" t="str">
        <f t="shared" si="0"/>
        <v/>
      </c>
      <c r="C81" s="33" t="str">
        <f t="shared" si="6"/>
        <v/>
      </c>
      <c r="D81" s="33" t="str">
        <f t="shared" si="1"/>
        <v/>
      </c>
      <c r="E81" s="34" t="e">
        <f t="shared" si="2"/>
        <v>#VALUE!</v>
      </c>
      <c r="F81" s="33" t="e">
        <f t="shared" si="3"/>
        <v>#VALUE!</v>
      </c>
      <c r="G81" s="33" t="str">
        <f t="shared" si="4"/>
        <v/>
      </c>
      <c r="H81" s="33" t="str">
        <f t="shared" si="7"/>
        <v/>
      </c>
      <c r="I81" s="33" t="e">
        <f t="shared" si="5"/>
        <v>#VALUE!</v>
      </c>
      <c r="J81" s="33">
        <f>SUM($H$18:$H81)</f>
        <v>0</v>
      </c>
    </row>
    <row r="82" spans="1:10">
      <c r="A82" s="36" t="str">
        <f>IF(Values_Entered,A81+1,"")</f>
        <v/>
      </c>
      <c r="B82" s="35" t="str">
        <f t="shared" ref="B82:B145" si="8">IF(Pay_Num&lt;&gt;"",DATE(YEAR(Loan_Start),MONTH(Loan_Start)+(Pay_Num)*12/Num_Pmt_Per_Year,DAY(Loan_Start)),"")</f>
        <v/>
      </c>
      <c r="C82" s="33" t="str">
        <f t="shared" si="6"/>
        <v/>
      </c>
      <c r="D82" s="33" t="str">
        <f t="shared" ref="D82:D145" si="9">IF(Pay_Num&lt;&gt;"",Scheduled_Monthly_Payment,"")</f>
        <v/>
      </c>
      <c r="E82" s="34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33" t="e">
        <f t="shared" ref="F82:F145" si="11">IF(AND(Pay_Num&lt;&gt;"",Sched_Pay+Extra_Pay&lt;Beg_Bal),Sched_Pay+Extra_Pay,IF(Pay_Num&lt;&gt;"",Beg_Bal,""))</f>
        <v>#VALUE!</v>
      </c>
      <c r="G82" s="33" t="str">
        <f t="shared" ref="G82:G145" si="12">IF(Pay_Num&lt;&gt;"",Total_Pay-Int,"")</f>
        <v/>
      </c>
      <c r="H82" s="33" t="str">
        <f t="shared" si="7"/>
        <v/>
      </c>
      <c r="I82" s="33" t="e">
        <f t="shared" ref="I82:I145" si="13">IF(AND(Pay_Num&lt;&gt;"",Sched_Pay+Extra_Pay&lt;Beg_Bal),Beg_Bal-Princ,IF(Pay_Num&lt;&gt;"",0,""))</f>
        <v>#VALUE!</v>
      </c>
      <c r="J82" s="33">
        <f>SUM($H$18:$H82)</f>
        <v>0</v>
      </c>
    </row>
    <row r="83" spans="1:10">
      <c r="A83" s="36" t="str">
        <f>IF(Values_Entered,A82+1,"")</f>
        <v/>
      </c>
      <c r="B83" s="35" t="str">
        <f t="shared" si="8"/>
        <v/>
      </c>
      <c r="C83" s="33" t="str">
        <f t="shared" ref="C83:C146" si="14">IF(Pay_Num&lt;&gt;"",I82,"")</f>
        <v/>
      </c>
      <c r="D83" s="33" t="str">
        <f t="shared" si="9"/>
        <v/>
      </c>
      <c r="E83" s="34" t="e">
        <f t="shared" si="10"/>
        <v>#VALUE!</v>
      </c>
      <c r="F83" s="33" t="e">
        <f t="shared" si="11"/>
        <v>#VALUE!</v>
      </c>
      <c r="G83" s="33" t="str">
        <f t="shared" si="12"/>
        <v/>
      </c>
      <c r="H83" s="33" t="str">
        <f t="shared" ref="H83:H146" si="15">IF(Pay_Num&lt;&gt;"",Beg_Bal*Interest_Rate/Num_Pmt_Per_Year,"")</f>
        <v/>
      </c>
      <c r="I83" s="33" t="e">
        <f t="shared" si="13"/>
        <v>#VALUE!</v>
      </c>
      <c r="J83" s="33">
        <f>SUM($H$18:$H83)</f>
        <v>0</v>
      </c>
    </row>
    <row r="84" spans="1:10">
      <c r="A84" s="36" t="str">
        <f>IF(Values_Entered,A83+1,"")</f>
        <v/>
      </c>
      <c r="B84" s="35" t="str">
        <f t="shared" si="8"/>
        <v/>
      </c>
      <c r="C84" s="33" t="str">
        <f t="shared" si="14"/>
        <v/>
      </c>
      <c r="D84" s="33" t="str">
        <f t="shared" si="9"/>
        <v/>
      </c>
      <c r="E84" s="34" t="e">
        <f t="shared" si="10"/>
        <v>#VALUE!</v>
      </c>
      <c r="F84" s="33" t="e">
        <f t="shared" si="11"/>
        <v>#VALUE!</v>
      </c>
      <c r="G84" s="33" t="str">
        <f t="shared" si="12"/>
        <v/>
      </c>
      <c r="H84" s="33" t="str">
        <f t="shared" si="15"/>
        <v/>
      </c>
      <c r="I84" s="33" t="e">
        <f t="shared" si="13"/>
        <v>#VALUE!</v>
      </c>
      <c r="J84" s="33">
        <f>SUM($H$18:$H84)</f>
        <v>0</v>
      </c>
    </row>
    <row r="85" spans="1:10">
      <c r="A85" s="36" t="str">
        <f>IF(Values_Entered,A84+1,"")</f>
        <v/>
      </c>
      <c r="B85" s="35" t="str">
        <f t="shared" si="8"/>
        <v/>
      </c>
      <c r="C85" s="33" t="str">
        <f t="shared" si="14"/>
        <v/>
      </c>
      <c r="D85" s="33" t="str">
        <f t="shared" si="9"/>
        <v/>
      </c>
      <c r="E85" s="34" t="e">
        <f t="shared" si="10"/>
        <v>#VALUE!</v>
      </c>
      <c r="F85" s="33" t="e">
        <f t="shared" si="11"/>
        <v>#VALUE!</v>
      </c>
      <c r="G85" s="33" t="str">
        <f t="shared" si="12"/>
        <v/>
      </c>
      <c r="H85" s="33" t="str">
        <f t="shared" si="15"/>
        <v/>
      </c>
      <c r="I85" s="33" t="e">
        <f t="shared" si="13"/>
        <v>#VALUE!</v>
      </c>
      <c r="J85" s="33">
        <f>SUM($H$18:$H85)</f>
        <v>0</v>
      </c>
    </row>
    <row r="86" spans="1:10">
      <c r="A86" s="36" t="str">
        <f>IF(Values_Entered,A85+1,"")</f>
        <v/>
      </c>
      <c r="B86" s="35" t="str">
        <f t="shared" si="8"/>
        <v/>
      </c>
      <c r="C86" s="33" t="str">
        <f t="shared" si="14"/>
        <v/>
      </c>
      <c r="D86" s="33" t="str">
        <f t="shared" si="9"/>
        <v/>
      </c>
      <c r="E86" s="34" t="e">
        <f t="shared" si="10"/>
        <v>#VALUE!</v>
      </c>
      <c r="F86" s="33" t="e">
        <f t="shared" si="11"/>
        <v>#VALUE!</v>
      </c>
      <c r="G86" s="33" t="str">
        <f t="shared" si="12"/>
        <v/>
      </c>
      <c r="H86" s="33" t="str">
        <f t="shared" si="15"/>
        <v/>
      </c>
      <c r="I86" s="33" t="e">
        <f t="shared" si="13"/>
        <v>#VALUE!</v>
      </c>
      <c r="J86" s="33">
        <f>SUM($H$18:$H86)</f>
        <v>0</v>
      </c>
    </row>
    <row r="87" spans="1:10">
      <c r="A87" s="36" t="str">
        <f>IF(Values_Entered,A86+1,"")</f>
        <v/>
      </c>
      <c r="B87" s="35" t="str">
        <f t="shared" si="8"/>
        <v/>
      </c>
      <c r="C87" s="33" t="str">
        <f t="shared" si="14"/>
        <v/>
      </c>
      <c r="D87" s="33" t="str">
        <f t="shared" si="9"/>
        <v/>
      </c>
      <c r="E87" s="34" t="e">
        <f t="shared" si="10"/>
        <v>#VALUE!</v>
      </c>
      <c r="F87" s="33" t="e">
        <f t="shared" si="11"/>
        <v>#VALUE!</v>
      </c>
      <c r="G87" s="33" t="str">
        <f t="shared" si="12"/>
        <v/>
      </c>
      <c r="H87" s="33" t="str">
        <f t="shared" si="15"/>
        <v/>
      </c>
      <c r="I87" s="33" t="e">
        <f t="shared" si="13"/>
        <v>#VALUE!</v>
      </c>
      <c r="J87" s="33">
        <f>SUM($H$18:$H87)</f>
        <v>0</v>
      </c>
    </row>
    <row r="88" spans="1:10">
      <c r="A88" s="36" t="str">
        <f>IF(Values_Entered,A87+1,"")</f>
        <v/>
      </c>
      <c r="B88" s="35" t="str">
        <f t="shared" si="8"/>
        <v/>
      </c>
      <c r="C88" s="33" t="str">
        <f t="shared" si="14"/>
        <v/>
      </c>
      <c r="D88" s="33" t="str">
        <f t="shared" si="9"/>
        <v/>
      </c>
      <c r="E88" s="34" t="e">
        <f t="shared" si="10"/>
        <v>#VALUE!</v>
      </c>
      <c r="F88" s="33" t="e">
        <f t="shared" si="11"/>
        <v>#VALUE!</v>
      </c>
      <c r="G88" s="33" t="str">
        <f t="shared" si="12"/>
        <v/>
      </c>
      <c r="H88" s="33" t="str">
        <f t="shared" si="15"/>
        <v/>
      </c>
      <c r="I88" s="33" t="e">
        <f t="shared" si="13"/>
        <v>#VALUE!</v>
      </c>
      <c r="J88" s="33">
        <f>SUM($H$18:$H88)</f>
        <v>0</v>
      </c>
    </row>
    <row r="89" spans="1:10">
      <c r="A89" s="36" t="str">
        <f>IF(Values_Entered,A88+1,"")</f>
        <v/>
      </c>
      <c r="B89" s="35" t="str">
        <f t="shared" si="8"/>
        <v/>
      </c>
      <c r="C89" s="33" t="str">
        <f t="shared" si="14"/>
        <v/>
      </c>
      <c r="D89" s="33" t="str">
        <f t="shared" si="9"/>
        <v/>
      </c>
      <c r="E89" s="34" t="e">
        <f t="shared" si="10"/>
        <v>#VALUE!</v>
      </c>
      <c r="F89" s="33" t="e">
        <f t="shared" si="11"/>
        <v>#VALUE!</v>
      </c>
      <c r="G89" s="33" t="str">
        <f t="shared" si="12"/>
        <v/>
      </c>
      <c r="H89" s="33" t="str">
        <f t="shared" si="15"/>
        <v/>
      </c>
      <c r="I89" s="33" t="e">
        <f t="shared" si="13"/>
        <v>#VALUE!</v>
      </c>
      <c r="J89" s="33">
        <f>SUM($H$18:$H89)</f>
        <v>0</v>
      </c>
    </row>
    <row r="90" spans="1:10">
      <c r="A90" s="36" t="str">
        <f>IF(Values_Entered,A89+1,"")</f>
        <v/>
      </c>
      <c r="B90" s="35" t="str">
        <f t="shared" si="8"/>
        <v/>
      </c>
      <c r="C90" s="33" t="str">
        <f t="shared" si="14"/>
        <v/>
      </c>
      <c r="D90" s="33" t="str">
        <f t="shared" si="9"/>
        <v/>
      </c>
      <c r="E90" s="34" t="e">
        <f t="shared" si="10"/>
        <v>#VALUE!</v>
      </c>
      <c r="F90" s="33" t="e">
        <f t="shared" si="11"/>
        <v>#VALUE!</v>
      </c>
      <c r="G90" s="33" t="str">
        <f t="shared" si="12"/>
        <v/>
      </c>
      <c r="H90" s="33" t="str">
        <f t="shared" si="15"/>
        <v/>
      </c>
      <c r="I90" s="33" t="e">
        <f t="shared" si="13"/>
        <v>#VALUE!</v>
      </c>
      <c r="J90" s="33">
        <f>SUM($H$18:$H90)</f>
        <v>0</v>
      </c>
    </row>
    <row r="91" spans="1:10">
      <c r="A91" s="36" t="str">
        <f>IF(Values_Entered,A90+1,"")</f>
        <v/>
      </c>
      <c r="B91" s="35" t="str">
        <f t="shared" si="8"/>
        <v/>
      </c>
      <c r="C91" s="33" t="str">
        <f t="shared" si="14"/>
        <v/>
      </c>
      <c r="D91" s="33" t="str">
        <f t="shared" si="9"/>
        <v/>
      </c>
      <c r="E91" s="34" t="e">
        <f t="shared" si="10"/>
        <v>#VALUE!</v>
      </c>
      <c r="F91" s="33" t="e">
        <f t="shared" si="11"/>
        <v>#VALUE!</v>
      </c>
      <c r="G91" s="33" t="str">
        <f t="shared" si="12"/>
        <v/>
      </c>
      <c r="H91" s="33" t="str">
        <f t="shared" si="15"/>
        <v/>
      </c>
      <c r="I91" s="33" t="e">
        <f t="shared" si="13"/>
        <v>#VALUE!</v>
      </c>
      <c r="J91" s="33">
        <f>SUM($H$18:$H91)</f>
        <v>0</v>
      </c>
    </row>
    <row r="92" spans="1:10">
      <c r="A92" s="36" t="str">
        <f>IF(Values_Entered,A91+1,"")</f>
        <v/>
      </c>
      <c r="B92" s="35" t="str">
        <f t="shared" si="8"/>
        <v/>
      </c>
      <c r="C92" s="33" t="str">
        <f t="shared" si="14"/>
        <v/>
      </c>
      <c r="D92" s="33" t="str">
        <f t="shared" si="9"/>
        <v/>
      </c>
      <c r="E92" s="34" t="e">
        <f t="shared" si="10"/>
        <v>#VALUE!</v>
      </c>
      <c r="F92" s="33" t="e">
        <f t="shared" si="11"/>
        <v>#VALUE!</v>
      </c>
      <c r="G92" s="33" t="str">
        <f t="shared" si="12"/>
        <v/>
      </c>
      <c r="H92" s="33" t="str">
        <f t="shared" si="15"/>
        <v/>
      </c>
      <c r="I92" s="33" t="e">
        <f t="shared" si="13"/>
        <v>#VALUE!</v>
      </c>
      <c r="J92" s="33">
        <f>SUM($H$18:$H92)</f>
        <v>0</v>
      </c>
    </row>
    <row r="93" spans="1:10">
      <c r="A93" s="36" t="str">
        <f>IF(Values_Entered,A92+1,"")</f>
        <v/>
      </c>
      <c r="B93" s="35" t="str">
        <f t="shared" si="8"/>
        <v/>
      </c>
      <c r="C93" s="33" t="str">
        <f t="shared" si="14"/>
        <v/>
      </c>
      <c r="D93" s="33" t="str">
        <f t="shared" si="9"/>
        <v/>
      </c>
      <c r="E93" s="34" t="e">
        <f t="shared" si="10"/>
        <v>#VALUE!</v>
      </c>
      <c r="F93" s="33" t="e">
        <f t="shared" si="11"/>
        <v>#VALUE!</v>
      </c>
      <c r="G93" s="33" t="str">
        <f t="shared" si="12"/>
        <v/>
      </c>
      <c r="H93" s="33" t="str">
        <f t="shared" si="15"/>
        <v/>
      </c>
      <c r="I93" s="33" t="e">
        <f t="shared" si="13"/>
        <v>#VALUE!</v>
      </c>
      <c r="J93" s="33">
        <f>SUM($H$18:$H93)</f>
        <v>0</v>
      </c>
    </row>
    <row r="94" spans="1:10">
      <c r="A94" s="36" t="str">
        <f>IF(Values_Entered,A93+1,"")</f>
        <v/>
      </c>
      <c r="B94" s="35" t="str">
        <f t="shared" si="8"/>
        <v/>
      </c>
      <c r="C94" s="33" t="str">
        <f t="shared" si="14"/>
        <v/>
      </c>
      <c r="D94" s="33" t="str">
        <f t="shared" si="9"/>
        <v/>
      </c>
      <c r="E94" s="34" t="e">
        <f t="shared" si="10"/>
        <v>#VALUE!</v>
      </c>
      <c r="F94" s="33" t="e">
        <f t="shared" si="11"/>
        <v>#VALUE!</v>
      </c>
      <c r="G94" s="33" t="str">
        <f t="shared" si="12"/>
        <v/>
      </c>
      <c r="H94" s="33" t="str">
        <f t="shared" si="15"/>
        <v/>
      </c>
      <c r="I94" s="33" t="e">
        <f t="shared" si="13"/>
        <v>#VALUE!</v>
      </c>
      <c r="J94" s="33">
        <f>SUM($H$18:$H94)</f>
        <v>0</v>
      </c>
    </row>
    <row r="95" spans="1:10">
      <c r="A95" s="36" t="str">
        <f>IF(Values_Entered,A94+1,"")</f>
        <v/>
      </c>
      <c r="B95" s="35" t="str">
        <f t="shared" si="8"/>
        <v/>
      </c>
      <c r="C95" s="33" t="str">
        <f t="shared" si="14"/>
        <v/>
      </c>
      <c r="D95" s="33" t="str">
        <f t="shared" si="9"/>
        <v/>
      </c>
      <c r="E95" s="34" t="e">
        <f t="shared" si="10"/>
        <v>#VALUE!</v>
      </c>
      <c r="F95" s="33" t="e">
        <f t="shared" si="11"/>
        <v>#VALUE!</v>
      </c>
      <c r="G95" s="33" t="str">
        <f t="shared" si="12"/>
        <v/>
      </c>
      <c r="H95" s="33" t="str">
        <f t="shared" si="15"/>
        <v/>
      </c>
      <c r="I95" s="33" t="e">
        <f t="shared" si="13"/>
        <v>#VALUE!</v>
      </c>
      <c r="J95" s="33">
        <f>SUM($H$18:$H95)</f>
        <v>0</v>
      </c>
    </row>
    <row r="96" spans="1:10">
      <c r="A96" s="36" t="str">
        <f>IF(Values_Entered,A95+1,"")</f>
        <v/>
      </c>
      <c r="B96" s="35" t="str">
        <f t="shared" si="8"/>
        <v/>
      </c>
      <c r="C96" s="33" t="str">
        <f t="shared" si="14"/>
        <v/>
      </c>
      <c r="D96" s="33" t="str">
        <f t="shared" si="9"/>
        <v/>
      </c>
      <c r="E96" s="34" t="e">
        <f t="shared" si="10"/>
        <v>#VALUE!</v>
      </c>
      <c r="F96" s="33" t="e">
        <f t="shared" si="11"/>
        <v>#VALUE!</v>
      </c>
      <c r="G96" s="33" t="str">
        <f t="shared" si="12"/>
        <v/>
      </c>
      <c r="H96" s="33" t="str">
        <f t="shared" si="15"/>
        <v/>
      </c>
      <c r="I96" s="33" t="e">
        <f t="shared" si="13"/>
        <v>#VALUE!</v>
      </c>
      <c r="J96" s="33">
        <f>SUM($H$18:$H96)</f>
        <v>0</v>
      </c>
    </row>
    <row r="97" spans="1:10">
      <c r="A97" s="36" t="str">
        <f>IF(Values_Entered,A96+1,"")</f>
        <v/>
      </c>
      <c r="B97" s="35" t="str">
        <f t="shared" si="8"/>
        <v/>
      </c>
      <c r="C97" s="33" t="str">
        <f t="shared" si="14"/>
        <v/>
      </c>
      <c r="D97" s="33" t="str">
        <f t="shared" si="9"/>
        <v/>
      </c>
      <c r="E97" s="34" t="e">
        <f t="shared" si="10"/>
        <v>#VALUE!</v>
      </c>
      <c r="F97" s="33" t="e">
        <f t="shared" si="11"/>
        <v>#VALUE!</v>
      </c>
      <c r="G97" s="33" t="str">
        <f t="shared" si="12"/>
        <v/>
      </c>
      <c r="H97" s="33" t="str">
        <f t="shared" si="15"/>
        <v/>
      </c>
      <c r="I97" s="33" t="e">
        <f t="shared" si="13"/>
        <v>#VALUE!</v>
      </c>
      <c r="J97" s="33">
        <f>SUM($H$18:$H97)</f>
        <v>0</v>
      </c>
    </row>
    <row r="98" spans="1:10">
      <c r="A98" s="36" t="str">
        <f>IF(Values_Entered,A97+1,"")</f>
        <v/>
      </c>
      <c r="B98" s="35" t="str">
        <f t="shared" si="8"/>
        <v/>
      </c>
      <c r="C98" s="33" t="str">
        <f t="shared" si="14"/>
        <v/>
      </c>
      <c r="D98" s="33" t="str">
        <f t="shared" si="9"/>
        <v/>
      </c>
      <c r="E98" s="34" t="e">
        <f t="shared" si="10"/>
        <v>#VALUE!</v>
      </c>
      <c r="F98" s="33" t="e">
        <f t="shared" si="11"/>
        <v>#VALUE!</v>
      </c>
      <c r="G98" s="33" t="str">
        <f t="shared" si="12"/>
        <v/>
      </c>
      <c r="H98" s="33" t="str">
        <f t="shared" si="15"/>
        <v/>
      </c>
      <c r="I98" s="33" t="e">
        <f t="shared" si="13"/>
        <v>#VALUE!</v>
      </c>
      <c r="J98" s="33">
        <f>SUM($H$18:$H98)</f>
        <v>0</v>
      </c>
    </row>
    <row r="99" spans="1:10">
      <c r="A99" s="36" t="str">
        <f>IF(Values_Entered,A98+1,"")</f>
        <v/>
      </c>
      <c r="B99" s="35" t="str">
        <f t="shared" si="8"/>
        <v/>
      </c>
      <c r="C99" s="33" t="str">
        <f t="shared" si="14"/>
        <v/>
      </c>
      <c r="D99" s="33" t="str">
        <f t="shared" si="9"/>
        <v/>
      </c>
      <c r="E99" s="34" t="e">
        <f t="shared" si="10"/>
        <v>#VALUE!</v>
      </c>
      <c r="F99" s="33" t="e">
        <f t="shared" si="11"/>
        <v>#VALUE!</v>
      </c>
      <c r="G99" s="33" t="str">
        <f t="shared" si="12"/>
        <v/>
      </c>
      <c r="H99" s="33" t="str">
        <f t="shared" si="15"/>
        <v/>
      </c>
      <c r="I99" s="33" t="e">
        <f t="shared" si="13"/>
        <v>#VALUE!</v>
      </c>
      <c r="J99" s="33">
        <f>SUM($H$18:$H99)</f>
        <v>0</v>
      </c>
    </row>
    <row r="100" spans="1:10">
      <c r="A100" s="36" t="str">
        <f>IF(Values_Entered,A99+1,"")</f>
        <v/>
      </c>
      <c r="B100" s="35" t="str">
        <f t="shared" si="8"/>
        <v/>
      </c>
      <c r="C100" s="33" t="str">
        <f t="shared" si="14"/>
        <v/>
      </c>
      <c r="D100" s="33" t="str">
        <f t="shared" si="9"/>
        <v/>
      </c>
      <c r="E100" s="34" t="e">
        <f t="shared" si="10"/>
        <v>#VALUE!</v>
      </c>
      <c r="F100" s="33" t="e">
        <f t="shared" si="11"/>
        <v>#VALUE!</v>
      </c>
      <c r="G100" s="33" t="str">
        <f t="shared" si="12"/>
        <v/>
      </c>
      <c r="H100" s="33" t="str">
        <f t="shared" si="15"/>
        <v/>
      </c>
      <c r="I100" s="33" t="e">
        <f t="shared" si="13"/>
        <v>#VALUE!</v>
      </c>
      <c r="J100" s="33">
        <f>SUM($H$18:$H100)</f>
        <v>0</v>
      </c>
    </row>
    <row r="101" spans="1:10">
      <c r="A101" s="36" t="str">
        <f>IF(Values_Entered,A100+1,"")</f>
        <v/>
      </c>
      <c r="B101" s="35" t="str">
        <f t="shared" si="8"/>
        <v/>
      </c>
      <c r="C101" s="33" t="str">
        <f t="shared" si="14"/>
        <v/>
      </c>
      <c r="D101" s="33" t="str">
        <f t="shared" si="9"/>
        <v/>
      </c>
      <c r="E101" s="34" t="e">
        <f t="shared" si="10"/>
        <v>#VALUE!</v>
      </c>
      <c r="F101" s="33" t="e">
        <f t="shared" si="11"/>
        <v>#VALUE!</v>
      </c>
      <c r="G101" s="33" t="str">
        <f t="shared" si="12"/>
        <v/>
      </c>
      <c r="H101" s="33" t="str">
        <f t="shared" si="15"/>
        <v/>
      </c>
      <c r="I101" s="33" t="e">
        <f t="shared" si="13"/>
        <v>#VALUE!</v>
      </c>
      <c r="J101" s="33">
        <f>SUM($H$18:$H101)</f>
        <v>0</v>
      </c>
    </row>
    <row r="102" spans="1:10">
      <c r="A102" s="36" t="str">
        <f>IF(Values_Entered,A101+1,"")</f>
        <v/>
      </c>
      <c r="B102" s="35" t="str">
        <f t="shared" si="8"/>
        <v/>
      </c>
      <c r="C102" s="33" t="str">
        <f t="shared" si="14"/>
        <v/>
      </c>
      <c r="D102" s="33" t="str">
        <f t="shared" si="9"/>
        <v/>
      </c>
      <c r="E102" s="34" t="e">
        <f t="shared" si="10"/>
        <v>#VALUE!</v>
      </c>
      <c r="F102" s="33" t="e">
        <f t="shared" si="11"/>
        <v>#VALUE!</v>
      </c>
      <c r="G102" s="33" t="str">
        <f t="shared" si="12"/>
        <v/>
      </c>
      <c r="H102" s="33" t="str">
        <f t="shared" si="15"/>
        <v/>
      </c>
      <c r="I102" s="33" t="e">
        <f t="shared" si="13"/>
        <v>#VALUE!</v>
      </c>
      <c r="J102" s="33">
        <f>SUM($H$18:$H102)</f>
        <v>0</v>
      </c>
    </row>
    <row r="103" spans="1:10">
      <c r="A103" s="36" t="str">
        <f>IF(Values_Entered,A102+1,"")</f>
        <v/>
      </c>
      <c r="B103" s="35" t="str">
        <f t="shared" si="8"/>
        <v/>
      </c>
      <c r="C103" s="33" t="str">
        <f t="shared" si="14"/>
        <v/>
      </c>
      <c r="D103" s="33" t="str">
        <f t="shared" si="9"/>
        <v/>
      </c>
      <c r="E103" s="34" t="e">
        <f t="shared" si="10"/>
        <v>#VALUE!</v>
      </c>
      <c r="F103" s="33" t="e">
        <f t="shared" si="11"/>
        <v>#VALUE!</v>
      </c>
      <c r="G103" s="33" t="str">
        <f t="shared" si="12"/>
        <v/>
      </c>
      <c r="H103" s="33" t="str">
        <f t="shared" si="15"/>
        <v/>
      </c>
      <c r="I103" s="33" t="e">
        <f t="shared" si="13"/>
        <v>#VALUE!</v>
      </c>
      <c r="J103" s="33">
        <f>SUM($H$18:$H103)</f>
        <v>0</v>
      </c>
    </row>
    <row r="104" spans="1:10">
      <c r="A104" s="36" t="str">
        <f>IF(Values_Entered,A103+1,"")</f>
        <v/>
      </c>
      <c r="B104" s="35" t="str">
        <f t="shared" si="8"/>
        <v/>
      </c>
      <c r="C104" s="33" t="str">
        <f t="shared" si="14"/>
        <v/>
      </c>
      <c r="D104" s="33" t="str">
        <f t="shared" si="9"/>
        <v/>
      </c>
      <c r="E104" s="34" t="e">
        <f t="shared" si="10"/>
        <v>#VALUE!</v>
      </c>
      <c r="F104" s="33" t="e">
        <f t="shared" si="11"/>
        <v>#VALUE!</v>
      </c>
      <c r="G104" s="33" t="str">
        <f t="shared" si="12"/>
        <v/>
      </c>
      <c r="H104" s="33" t="str">
        <f t="shared" si="15"/>
        <v/>
      </c>
      <c r="I104" s="33" t="e">
        <f t="shared" si="13"/>
        <v>#VALUE!</v>
      </c>
      <c r="J104" s="33">
        <f>SUM($H$18:$H104)</f>
        <v>0</v>
      </c>
    </row>
    <row r="105" spans="1:10">
      <c r="A105" s="36" t="str">
        <f>IF(Values_Entered,A104+1,"")</f>
        <v/>
      </c>
      <c r="B105" s="35" t="str">
        <f t="shared" si="8"/>
        <v/>
      </c>
      <c r="C105" s="33" t="str">
        <f t="shared" si="14"/>
        <v/>
      </c>
      <c r="D105" s="33" t="str">
        <f t="shared" si="9"/>
        <v/>
      </c>
      <c r="E105" s="34" t="e">
        <f t="shared" si="10"/>
        <v>#VALUE!</v>
      </c>
      <c r="F105" s="33" t="e">
        <f t="shared" si="11"/>
        <v>#VALUE!</v>
      </c>
      <c r="G105" s="33" t="str">
        <f t="shared" si="12"/>
        <v/>
      </c>
      <c r="H105" s="33" t="str">
        <f t="shared" si="15"/>
        <v/>
      </c>
      <c r="I105" s="33" t="e">
        <f t="shared" si="13"/>
        <v>#VALUE!</v>
      </c>
      <c r="J105" s="33">
        <f>SUM($H$18:$H105)</f>
        <v>0</v>
      </c>
    </row>
    <row r="106" spans="1:10">
      <c r="A106" s="36" t="str">
        <f>IF(Values_Entered,A105+1,"")</f>
        <v/>
      </c>
      <c r="B106" s="35" t="str">
        <f t="shared" si="8"/>
        <v/>
      </c>
      <c r="C106" s="33" t="str">
        <f t="shared" si="14"/>
        <v/>
      </c>
      <c r="D106" s="33" t="str">
        <f t="shared" si="9"/>
        <v/>
      </c>
      <c r="E106" s="34" t="e">
        <f t="shared" si="10"/>
        <v>#VALUE!</v>
      </c>
      <c r="F106" s="33" t="e">
        <f t="shared" si="11"/>
        <v>#VALUE!</v>
      </c>
      <c r="G106" s="33" t="str">
        <f t="shared" si="12"/>
        <v/>
      </c>
      <c r="H106" s="33" t="str">
        <f t="shared" si="15"/>
        <v/>
      </c>
      <c r="I106" s="33" t="e">
        <f t="shared" si="13"/>
        <v>#VALUE!</v>
      </c>
      <c r="J106" s="33">
        <f>SUM($H$18:$H106)</f>
        <v>0</v>
      </c>
    </row>
    <row r="107" spans="1:10">
      <c r="A107" s="36" t="str">
        <f>IF(Values_Entered,A106+1,"")</f>
        <v/>
      </c>
      <c r="B107" s="35" t="str">
        <f t="shared" si="8"/>
        <v/>
      </c>
      <c r="C107" s="33" t="str">
        <f t="shared" si="14"/>
        <v/>
      </c>
      <c r="D107" s="33" t="str">
        <f t="shared" si="9"/>
        <v/>
      </c>
      <c r="E107" s="34" t="e">
        <f t="shared" si="10"/>
        <v>#VALUE!</v>
      </c>
      <c r="F107" s="33" t="e">
        <f t="shared" si="11"/>
        <v>#VALUE!</v>
      </c>
      <c r="G107" s="33" t="str">
        <f t="shared" si="12"/>
        <v/>
      </c>
      <c r="H107" s="33" t="str">
        <f t="shared" si="15"/>
        <v/>
      </c>
      <c r="I107" s="33" t="e">
        <f t="shared" si="13"/>
        <v>#VALUE!</v>
      </c>
      <c r="J107" s="33">
        <f>SUM($H$18:$H107)</f>
        <v>0</v>
      </c>
    </row>
    <row r="108" spans="1:10">
      <c r="A108" s="36" t="str">
        <f>IF(Values_Entered,A107+1,"")</f>
        <v/>
      </c>
      <c r="B108" s="35" t="str">
        <f t="shared" si="8"/>
        <v/>
      </c>
      <c r="C108" s="33" t="str">
        <f t="shared" si="14"/>
        <v/>
      </c>
      <c r="D108" s="33" t="str">
        <f t="shared" si="9"/>
        <v/>
      </c>
      <c r="E108" s="34" t="e">
        <f t="shared" si="10"/>
        <v>#VALUE!</v>
      </c>
      <c r="F108" s="33" t="e">
        <f t="shared" si="11"/>
        <v>#VALUE!</v>
      </c>
      <c r="G108" s="33" t="str">
        <f t="shared" si="12"/>
        <v/>
      </c>
      <c r="H108" s="33" t="str">
        <f t="shared" si="15"/>
        <v/>
      </c>
      <c r="I108" s="33" t="e">
        <f t="shared" si="13"/>
        <v>#VALUE!</v>
      </c>
      <c r="J108" s="33">
        <f>SUM($H$18:$H108)</f>
        <v>0</v>
      </c>
    </row>
    <row r="109" spans="1:10">
      <c r="A109" s="36" t="str">
        <f>IF(Values_Entered,A108+1,"")</f>
        <v/>
      </c>
      <c r="B109" s="35" t="str">
        <f t="shared" si="8"/>
        <v/>
      </c>
      <c r="C109" s="33" t="str">
        <f t="shared" si="14"/>
        <v/>
      </c>
      <c r="D109" s="33" t="str">
        <f t="shared" si="9"/>
        <v/>
      </c>
      <c r="E109" s="34" t="e">
        <f t="shared" si="10"/>
        <v>#VALUE!</v>
      </c>
      <c r="F109" s="33" t="e">
        <f t="shared" si="11"/>
        <v>#VALUE!</v>
      </c>
      <c r="G109" s="33" t="str">
        <f t="shared" si="12"/>
        <v/>
      </c>
      <c r="H109" s="33" t="str">
        <f t="shared" si="15"/>
        <v/>
      </c>
      <c r="I109" s="33" t="e">
        <f t="shared" si="13"/>
        <v>#VALUE!</v>
      </c>
      <c r="J109" s="33">
        <f>SUM($H$18:$H109)</f>
        <v>0</v>
      </c>
    </row>
    <row r="110" spans="1:10">
      <c r="A110" s="36" t="str">
        <f>IF(Values_Entered,A109+1,"")</f>
        <v/>
      </c>
      <c r="B110" s="35" t="str">
        <f t="shared" si="8"/>
        <v/>
      </c>
      <c r="C110" s="33" t="str">
        <f t="shared" si="14"/>
        <v/>
      </c>
      <c r="D110" s="33" t="str">
        <f t="shared" si="9"/>
        <v/>
      </c>
      <c r="E110" s="34" t="e">
        <f t="shared" si="10"/>
        <v>#VALUE!</v>
      </c>
      <c r="F110" s="33" t="e">
        <f t="shared" si="11"/>
        <v>#VALUE!</v>
      </c>
      <c r="G110" s="33" t="str">
        <f t="shared" si="12"/>
        <v/>
      </c>
      <c r="H110" s="33" t="str">
        <f t="shared" si="15"/>
        <v/>
      </c>
      <c r="I110" s="33" t="e">
        <f t="shared" si="13"/>
        <v>#VALUE!</v>
      </c>
      <c r="J110" s="33">
        <f>SUM($H$18:$H110)</f>
        <v>0</v>
      </c>
    </row>
    <row r="111" spans="1:10">
      <c r="A111" s="36" t="str">
        <f>IF(Values_Entered,A110+1,"")</f>
        <v/>
      </c>
      <c r="B111" s="35" t="str">
        <f t="shared" si="8"/>
        <v/>
      </c>
      <c r="C111" s="33" t="str">
        <f t="shared" si="14"/>
        <v/>
      </c>
      <c r="D111" s="33" t="str">
        <f t="shared" si="9"/>
        <v/>
      </c>
      <c r="E111" s="34" t="e">
        <f t="shared" si="10"/>
        <v>#VALUE!</v>
      </c>
      <c r="F111" s="33" t="e">
        <f t="shared" si="11"/>
        <v>#VALUE!</v>
      </c>
      <c r="G111" s="33" t="str">
        <f t="shared" si="12"/>
        <v/>
      </c>
      <c r="H111" s="33" t="str">
        <f t="shared" si="15"/>
        <v/>
      </c>
      <c r="I111" s="33" t="e">
        <f t="shared" si="13"/>
        <v>#VALUE!</v>
      </c>
      <c r="J111" s="33">
        <f>SUM($H$18:$H111)</f>
        <v>0</v>
      </c>
    </row>
    <row r="112" spans="1:10">
      <c r="A112" s="36" t="str">
        <f>IF(Values_Entered,A111+1,"")</f>
        <v/>
      </c>
      <c r="B112" s="35" t="str">
        <f t="shared" si="8"/>
        <v/>
      </c>
      <c r="C112" s="33" t="str">
        <f t="shared" si="14"/>
        <v/>
      </c>
      <c r="D112" s="33" t="str">
        <f t="shared" si="9"/>
        <v/>
      </c>
      <c r="E112" s="34" t="e">
        <f t="shared" si="10"/>
        <v>#VALUE!</v>
      </c>
      <c r="F112" s="33" t="e">
        <f t="shared" si="11"/>
        <v>#VALUE!</v>
      </c>
      <c r="G112" s="33" t="str">
        <f t="shared" si="12"/>
        <v/>
      </c>
      <c r="H112" s="33" t="str">
        <f t="shared" si="15"/>
        <v/>
      </c>
      <c r="I112" s="33" t="e">
        <f t="shared" si="13"/>
        <v>#VALUE!</v>
      </c>
      <c r="J112" s="33">
        <f>SUM($H$18:$H112)</f>
        <v>0</v>
      </c>
    </row>
    <row r="113" spans="1:10">
      <c r="A113" s="36" t="str">
        <f>IF(Values_Entered,A112+1,"")</f>
        <v/>
      </c>
      <c r="B113" s="35" t="str">
        <f t="shared" si="8"/>
        <v/>
      </c>
      <c r="C113" s="33" t="str">
        <f t="shared" si="14"/>
        <v/>
      </c>
      <c r="D113" s="33" t="str">
        <f t="shared" si="9"/>
        <v/>
      </c>
      <c r="E113" s="34" t="e">
        <f t="shared" si="10"/>
        <v>#VALUE!</v>
      </c>
      <c r="F113" s="33" t="e">
        <f t="shared" si="11"/>
        <v>#VALUE!</v>
      </c>
      <c r="G113" s="33" t="str">
        <f t="shared" si="12"/>
        <v/>
      </c>
      <c r="H113" s="33" t="str">
        <f t="shared" si="15"/>
        <v/>
      </c>
      <c r="I113" s="33" t="e">
        <f t="shared" si="13"/>
        <v>#VALUE!</v>
      </c>
      <c r="J113" s="33">
        <f>SUM($H$18:$H113)</f>
        <v>0</v>
      </c>
    </row>
    <row r="114" spans="1:10">
      <c r="A114" s="36" t="str">
        <f>IF(Values_Entered,A113+1,"")</f>
        <v/>
      </c>
      <c r="B114" s="35" t="str">
        <f t="shared" si="8"/>
        <v/>
      </c>
      <c r="C114" s="33" t="str">
        <f t="shared" si="14"/>
        <v/>
      </c>
      <c r="D114" s="33" t="str">
        <f t="shared" si="9"/>
        <v/>
      </c>
      <c r="E114" s="34" t="e">
        <f t="shared" si="10"/>
        <v>#VALUE!</v>
      </c>
      <c r="F114" s="33" t="e">
        <f t="shared" si="11"/>
        <v>#VALUE!</v>
      </c>
      <c r="G114" s="33" t="str">
        <f t="shared" si="12"/>
        <v/>
      </c>
      <c r="H114" s="33" t="str">
        <f t="shared" si="15"/>
        <v/>
      </c>
      <c r="I114" s="33" t="e">
        <f t="shared" si="13"/>
        <v>#VALUE!</v>
      </c>
      <c r="J114" s="33">
        <f>SUM($H$18:$H114)</f>
        <v>0</v>
      </c>
    </row>
    <row r="115" spans="1:10">
      <c r="A115" s="36" t="str">
        <f>IF(Values_Entered,A114+1,"")</f>
        <v/>
      </c>
      <c r="B115" s="35" t="str">
        <f t="shared" si="8"/>
        <v/>
      </c>
      <c r="C115" s="33" t="str">
        <f t="shared" si="14"/>
        <v/>
      </c>
      <c r="D115" s="33" t="str">
        <f t="shared" si="9"/>
        <v/>
      </c>
      <c r="E115" s="34" t="e">
        <f t="shared" si="10"/>
        <v>#VALUE!</v>
      </c>
      <c r="F115" s="33" t="e">
        <f t="shared" si="11"/>
        <v>#VALUE!</v>
      </c>
      <c r="G115" s="33" t="str">
        <f t="shared" si="12"/>
        <v/>
      </c>
      <c r="H115" s="33" t="str">
        <f t="shared" si="15"/>
        <v/>
      </c>
      <c r="I115" s="33" t="e">
        <f t="shared" si="13"/>
        <v>#VALUE!</v>
      </c>
      <c r="J115" s="33">
        <f>SUM($H$18:$H115)</f>
        <v>0</v>
      </c>
    </row>
    <row r="116" spans="1:10">
      <c r="A116" s="36" t="str">
        <f>IF(Values_Entered,A115+1,"")</f>
        <v/>
      </c>
      <c r="B116" s="35" t="str">
        <f t="shared" si="8"/>
        <v/>
      </c>
      <c r="C116" s="33" t="str">
        <f t="shared" si="14"/>
        <v/>
      </c>
      <c r="D116" s="33" t="str">
        <f t="shared" si="9"/>
        <v/>
      </c>
      <c r="E116" s="34" t="e">
        <f t="shared" si="10"/>
        <v>#VALUE!</v>
      </c>
      <c r="F116" s="33" t="e">
        <f t="shared" si="11"/>
        <v>#VALUE!</v>
      </c>
      <c r="G116" s="33" t="str">
        <f t="shared" si="12"/>
        <v/>
      </c>
      <c r="H116" s="33" t="str">
        <f t="shared" si="15"/>
        <v/>
      </c>
      <c r="I116" s="33" t="e">
        <f t="shared" si="13"/>
        <v>#VALUE!</v>
      </c>
      <c r="J116" s="33">
        <f>SUM($H$18:$H116)</f>
        <v>0</v>
      </c>
    </row>
    <row r="117" spans="1:10">
      <c r="A117" s="36" t="str">
        <f>IF(Values_Entered,A116+1,"")</f>
        <v/>
      </c>
      <c r="B117" s="35" t="str">
        <f t="shared" si="8"/>
        <v/>
      </c>
      <c r="C117" s="33" t="str">
        <f t="shared" si="14"/>
        <v/>
      </c>
      <c r="D117" s="33" t="str">
        <f t="shared" si="9"/>
        <v/>
      </c>
      <c r="E117" s="34" t="e">
        <f t="shared" si="10"/>
        <v>#VALUE!</v>
      </c>
      <c r="F117" s="33" t="e">
        <f t="shared" si="11"/>
        <v>#VALUE!</v>
      </c>
      <c r="G117" s="33" t="str">
        <f t="shared" si="12"/>
        <v/>
      </c>
      <c r="H117" s="33" t="str">
        <f t="shared" si="15"/>
        <v/>
      </c>
      <c r="I117" s="33" t="e">
        <f t="shared" si="13"/>
        <v>#VALUE!</v>
      </c>
      <c r="J117" s="33">
        <f>SUM($H$18:$H117)</f>
        <v>0</v>
      </c>
    </row>
    <row r="118" spans="1:10">
      <c r="A118" s="36" t="str">
        <f>IF(Values_Entered,A117+1,"")</f>
        <v/>
      </c>
      <c r="B118" s="35" t="str">
        <f t="shared" si="8"/>
        <v/>
      </c>
      <c r="C118" s="33" t="str">
        <f t="shared" si="14"/>
        <v/>
      </c>
      <c r="D118" s="33" t="str">
        <f t="shared" si="9"/>
        <v/>
      </c>
      <c r="E118" s="34" t="e">
        <f t="shared" si="10"/>
        <v>#VALUE!</v>
      </c>
      <c r="F118" s="33" t="e">
        <f t="shared" si="11"/>
        <v>#VALUE!</v>
      </c>
      <c r="G118" s="33" t="str">
        <f t="shared" si="12"/>
        <v/>
      </c>
      <c r="H118" s="33" t="str">
        <f t="shared" si="15"/>
        <v/>
      </c>
      <c r="I118" s="33" t="e">
        <f t="shared" si="13"/>
        <v>#VALUE!</v>
      </c>
      <c r="J118" s="33">
        <f>SUM($H$18:$H118)</f>
        <v>0</v>
      </c>
    </row>
    <row r="119" spans="1:10">
      <c r="A119" s="36" t="str">
        <f>IF(Values_Entered,A118+1,"")</f>
        <v/>
      </c>
      <c r="B119" s="35" t="str">
        <f t="shared" si="8"/>
        <v/>
      </c>
      <c r="C119" s="33" t="str">
        <f t="shared" si="14"/>
        <v/>
      </c>
      <c r="D119" s="33" t="str">
        <f t="shared" si="9"/>
        <v/>
      </c>
      <c r="E119" s="34" t="e">
        <f t="shared" si="10"/>
        <v>#VALUE!</v>
      </c>
      <c r="F119" s="33" t="e">
        <f t="shared" si="11"/>
        <v>#VALUE!</v>
      </c>
      <c r="G119" s="33" t="str">
        <f t="shared" si="12"/>
        <v/>
      </c>
      <c r="H119" s="33" t="str">
        <f t="shared" si="15"/>
        <v/>
      </c>
      <c r="I119" s="33" t="e">
        <f t="shared" si="13"/>
        <v>#VALUE!</v>
      </c>
      <c r="J119" s="33">
        <f>SUM($H$18:$H119)</f>
        <v>0</v>
      </c>
    </row>
    <row r="120" spans="1:10">
      <c r="A120" s="36" t="str">
        <f>IF(Values_Entered,A119+1,"")</f>
        <v/>
      </c>
      <c r="B120" s="35" t="str">
        <f t="shared" si="8"/>
        <v/>
      </c>
      <c r="C120" s="33" t="str">
        <f t="shared" si="14"/>
        <v/>
      </c>
      <c r="D120" s="33" t="str">
        <f t="shared" si="9"/>
        <v/>
      </c>
      <c r="E120" s="34" t="e">
        <f t="shared" si="10"/>
        <v>#VALUE!</v>
      </c>
      <c r="F120" s="33" t="e">
        <f t="shared" si="11"/>
        <v>#VALUE!</v>
      </c>
      <c r="G120" s="33" t="str">
        <f t="shared" si="12"/>
        <v/>
      </c>
      <c r="H120" s="33" t="str">
        <f t="shared" si="15"/>
        <v/>
      </c>
      <c r="I120" s="33" t="e">
        <f t="shared" si="13"/>
        <v>#VALUE!</v>
      </c>
      <c r="J120" s="33">
        <f>SUM($H$18:$H120)</f>
        <v>0</v>
      </c>
    </row>
    <row r="121" spans="1:10">
      <c r="A121" s="36" t="str">
        <f>IF(Values_Entered,A120+1,"")</f>
        <v/>
      </c>
      <c r="B121" s="35" t="str">
        <f t="shared" si="8"/>
        <v/>
      </c>
      <c r="C121" s="33" t="str">
        <f t="shared" si="14"/>
        <v/>
      </c>
      <c r="D121" s="33" t="str">
        <f t="shared" si="9"/>
        <v/>
      </c>
      <c r="E121" s="34" t="e">
        <f t="shared" si="10"/>
        <v>#VALUE!</v>
      </c>
      <c r="F121" s="33" t="e">
        <f t="shared" si="11"/>
        <v>#VALUE!</v>
      </c>
      <c r="G121" s="33" t="str">
        <f t="shared" si="12"/>
        <v/>
      </c>
      <c r="H121" s="33" t="str">
        <f t="shared" si="15"/>
        <v/>
      </c>
      <c r="I121" s="33" t="e">
        <f t="shared" si="13"/>
        <v>#VALUE!</v>
      </c>
      <c r="J121" s="33">
        <f>SUM($H$18:$H121)</f>
        <v>0</v>
      </c>
    </row>
    <row r="122" spans="1:10">
      <c r="A122" s="36" t="str">
        <f>IF(Values_Entered,A121+1,"")</f>
        <v/>
      </c>
      <c r="B122" s="35" t="str">
        <f t="shared" si="8"/>
        <v/>
      </c>
      <c r="C122" s="33" t="str">
        <f t="shared" si="14"/>
        <v/>
      </c>
      <c r="D122" s="33" t="str">
        <f t="shared" si="9"/>
        <v/>
      </c>
      <c r="E122" s="34" t="e">
        <f t="shared" si="10"/>
        <v>#VALUE!</v>
      </c>
      <c r="F122" s="33" t="e">
        <f t="shared" si="11"/>
        <v>#VALUE!</v>
      </c>
      <c r="G122" s="33" t="str">
        <f t="shared" si="12"/>
        <v/>
      </c>
      <c r="H122" s="33" t="str">
        <f t="shared" si="15"/>
        <v/>
      </c>
      <c r="I122" s="33" t="e">
        <f t="shared" si="13"/>
        <v>#VALUE!</v>
      </c>
      <c r="J122" s="33">
        <f>SUM($H$18:$H122)</f>
        <v>0</v>
      </c>
    </row>
    <row r="123" spans="1:10">
      <c r="A123" s="36" t="str">
        <f>IF(Values_Entered,A122+1,"")</f>
        <v/>
      </c>
      <c r="B123" s="35" t="str">
        <f t="shared" si="8"/>
        <v/>
      </c>
      <c r="C123" s="33" t="str">
        <f t="shared" si="14"/>
        <v/>
      </c>
      <c r="D123" s="33" t="str">
        <f t="shared" si="9"/>
        <v/>
      </c>
      <c r="E123" s="34" t="e">
        <f t="shared" si="10"/>
        <v>#VALUE!</v>
      </c>
      <c r="F123" s="33" t="e">
        <f t="shared" si="11"/>
        <v>#VALUE!</v>
      </c>
      <c r="G123" s="33" t="str">
        <f t="shared" si="12"/>
        <v/>
      </c>
      <c r="H123" s="33" t="str">
        <f t="shared" si="15"/>
        <v/>
      </c>
      <c r="I123" s="33" t="e">
        <f t="shared" si="13"/>
        <v>#VALUE!</v>
      </c>
      <c r="J123" s="33">
        <f>SUM($H$18:$H123)</f>
        <v>0</v>
      </c>
    </row>
    <row r="124" spans="1:10">
      <c r="A124" s="36" t="str">
        <f>IF(Values_Entered,A123+1,"")</f>
        <v/>
      </c>
      <c r="B124" s="35" t="str">
        <f t="shared" si="8"/>
        <v/>
      </c>
      <c r="C124" s="33" t="str">
        <f t="shared" si="14"/>
        <v/>
      </c>
      <c r="D124" s="33" t="str">
        <f t="shared" si="9"/>
        <v/>
      </c>
      <c r="E124" s="34" t="e">
        <f t="shared" si="10"/>
        <v>#VALUE!</v>
      </c>
      <c r="F124" s="33" t="e">
        <f t="shared" si="11"/>
        <v>#VALUE!</v>
      </c>
      <c r="G124" s="33" t="str">
        <f t="shared" si="12"/>
        <v/>
      </c>
      <c r="H124" s="33" t="str">
        <f t="shared" si="15"/>
        <v/>
      </c>
      <c r="I124" s="33" t="e">
        <f t="shared" si="13"/>
        <v>#VALUE!</v>
      </c>
      <c r="J124" s="33">
        <f>SUM($H$18:$H124)</f>
        <v>0</v>
      </c>
    </row>
    <row r="125" spans="1:10">
      <c r="A125" s="36" t="str">
        <f>IF(Values_Entered,A124+1,"")</f>
        <v/>
      </c>
      <c r="B125" s="35" t="str">
        <f t="shared" si="8"/>
        <v/>
      </c>
      <c r="C125" s="33" t="str">
        <f t="shared" si="14"/>
        <v/>
      </c>
      <c r="D125" s="33" t="str">
        <f t="shared" si="9"/>
        <v/>
      </c>
      <c r="E125" s="34" t="e">
        <f t="shared" si="10"/>
        <v>#VALUE!</v>
      </c>
      <c r="F125" s="33" t="e">
        <f t="shared" si="11"/>
        <v>#VALUE!</v>
      </c>
      <c r="G125" s="33" t="str">
        <f t="shared" si="12"/>
        <v/>
      </c>
      <c r="H125" s="33" t="str">
        <f t="shared" si="15"/>
        <v/>
      </c>
      <c r="I125" s="33" t="e">
        <f t="shared" si="13"/>
        <v>#VALUE!</v>
      </c>
      <c r="J125" s="33">
        <f>SUM($H$18:$H125)</f>
        <v>0</v>
      </c>
    </row>
    <row r="126" spans="1:10">
      <c r="A126" s="36" t="str">
        <f>IF(Values_Entered,A125+1,"")</f>
        <v/>
      </c>
      <c r="B126" s="35" t="str">
        <f t="shared" si="8"/>
        <v/>
      </c>
      <c r="C126" s="33" t="str">
        <f t="shared" si="14"/>
        <v/>
      </c>
      <c r="D126" s="33" t="str">
        <f t="shared" si="9"/>
        <v/>
      </c>
      <c r="E126" s="34" t="e">
        <f t="shared" si="10"/>
        <v>#VALUE!</v>
      </c>
      <c r="F126" s="33" t="e">
        <f t="shared" si="11"/>
        <v>#VALUE!</v>
      </c>
      <c r="G126" s="33" t="str">
        <f t="shared" si="12"/>
        <v/>
      </c>
      <c r="H126" s="33" t="str">
        <f t="shared" si="15"/>
        <v/>
      </c>
      <c r="I126" s="33" t="e">
        <f t="shared" si="13"/>
        <v>#VALUE!</v>
      </c>
      <c r="J126" s="33">
        <f>SUM($H$18:$H126)</f>
        <v>0</v>
      </c>
    </row>
    <row r="127" spans="1:10">
      <c r="A127" s="36" t="str">
        <f>IF(Values_Entered,A126+1,"")</f>
        <v/>
      </c>
      <c r="B127" s="35" t="str">
        <f t="shared" si="8"/>
        <v/>
      </c>
      <c r="C127" s="33" t="str">
        <f t="shared" si="14"/>
        <v/>
      </c>
      <c r="D127" s="33" t="str">
        <f t="shared" si="9"/>
        <v/>
      </c>
      <c r="E127" s="34" t="e">
        <f t="shared" si="10"/>
        <v>#VALUE!</v>
      </c>
      <c r="F127" s="33" t="e">
        <f t="shared" si="11"/>
        <v>#VALUE!</v>
      </c>
      <c r="G127" s="33" t="str">
        <f t="shared" si="12"/>
        <v/>
      </c>
      <c r="H127" s="33" t="str">
        <f t="shared" si="15"/>
        <v/>
      </c>
      <c r="I127" s="33" t="e">
        <f t="shared" si="13"/>
        <v>#VALUE!</v>
      </c>
      <c r="J127" s="33">
        <f>SUM($H$18:$H127)</f>
        <v>0</v>
      </c>
    </row>
    <row r="128" spans="1:10">
      <c r="A128" s="36" t="str">
        <f>IF(Values_Entered,A127+1,"")</f>
        <v/>
      </c>
      <c r="B128" s="35" t="str">
        <f t="shared" si="8"/>
        <v/>
      </c>
      <c r="C128" s="33" t="str">
        <f t="shared" si="14"/>
        <v/>
      </c>
      <c r="D128" s="33" t="str">
        <f t="shared" si="9"/>
        <v/>
      </c>
      <c r="E128" s="34" t="e">
        <f t="shared" si="10"/>
        <v>#VALUE!</v>
      </c>
      <c r="F128" s="33" t="e">
        <f t="shared" si="11"/>
        <v>#VALUE!</v>
      </c>
      <c r="G128" s="33" t="str">
        <f t="shared" si="12"/>
        <v/>
      </c>
      <c r="H128" s="33" t="str">
        <f t="shared" si="15"/>
        <v/>
      </c>
      <c r="I128" s="33" t="e">
        <f t="shared" si="13"/>
        <v>#VALUE!</v>
      </c>
      <c r="J128" s="33">
        <f>SUM($H$18:$H128)</f>
        <v>0</v>
      </c>
    </row>
    <row r="129" spans="1:10">
      <c r="A129" s="36" t="str">
        <f>IF(Values_Entered,A128+1,"")</f>
        <v/>
      </c>
      <c r="B129" s="35" t="str">
        <f t="shared" si="8"/>
        <v/>
      </c>
      <c r="C129" s="33" t="str">
        <f t="shared" si="14"/>
        <v/>
      </c>
      <c r="D129" s="33" t="str">
        <f t="shared" si="9"/>
        <v/>
      </c>
      <c r="E129" s="34" t="e">
        <f t="shared" si="10"/>
        <v>#VALUE!</v>
      </c>
      <c r="F129" s="33" t="e">
        <f t="shared" si="11"/>
        <v>#VALUE!</v>
      </c>
      <c r="G129" s="33" t="str">
        <f t="shared" si="12"/>
        <v/>
      </c>
      <c r="H129" s="33" t="str">
        <f t="shared" si="15"/>
        <v/>
      </c>
      <c r="I129" s="33" t="e">
        <f t="shared" si="13"/>
        <v>#VALUE!</v>
      </c>
      <c r="J129" s="33">
        <f>SUM($H$18:$H129)</f>
        <v>0</v>
      </c>
    </row>
    <row r="130" spans="1:10">
      <c r="A130" s="36" t="str">
        <f>IF(Values_Entered,A129+1,"")</f>
        <v/>
      </c>
      <c r="B130" s="35" t="str">
        <f t="shared" si="8"/>
        <v/>
      </c>
      <c r="C130" s="33" t="str">
        <f t="shared" si="14"/>
        <v/>
      </c>
      <c r="D130" s="33" t="str">
        <f t="shared" si="9"/>
        <v/>
      </c>
      <c r="E130" s="34" t="e">
        <f t="shared" si="10"/>
        <v>#VALUE!</v>
      </c>
      <c r="F130" s="33" t="e">
        <f t="shared" si="11"/>
        <v>#VALUE!</v>
      </c>
      <c r="G130" s="33" t="str">
        <f t="shared" si="12"/>
        <v/>
      </c>
      <c r="H130" s="33" t="str">
        <f t="shared" si="15"/>
        <v/>
      </c>
      <c r="I130" s="33" t="e">
        <f t="shared" si="13"/>
        <v>#VALUE!</v>
      </c>
      <c r="J130" s="33">
        <f>SUM($H$18:$H130)</f>
        <v>0</v>
      </c>
    </row>
    <row r="131" spans="1:10">
      <c r="A131" s="36" t="str">
        <f>IF(Values_Entered,A130+1,"")</f>
        <v/>
      </c>
      <c r="B131" s="35" t="str">
        <f t="shared" si="8"/>
        <v/>
      </c>
      <c r="C131" s="33" t="str">
        <f t="shared" si="14"/>
        <v/>
      </c>
      <c r="D131" s="33" t="str">
        <f t="shared" si="9"/>
        <v/>
      </c>
      <c r="E131" s="34" t="e">
        <f t="shared" si="10"/>
        <v>#VALUE!</v>
      </c>
      <c r="F131" s="33" t="e">
        <f t="shared" si="11"/>
        <v>#VALUE!</v>
      </c>
      <c r="G131" s="33" t="str">
        <f t="shared" si="12"/>
        <v/>
      </c>
      <c r="H131" s="33" t="str">
        <f t="shared" si="15"/>
        <v/>
      </c>
      <c r="I131" s="33" t="e">
        <f t="shared" si="13"/>
        <v>#VALUE!</v>
      </c>
      <c r="J131" s="33">
        <f>SUM($H$18:$H131)</f>
        <v>0</v>
      </c>
    </row>
    <row r="132" spans="1:10">
      <c r="A132" s="36" t="str">
        <f>IF(Values_Entered,A131+1,"")</f>
        <v/>
      </c>
      <c r="B132" s="35" t="str">
        <f t="shared" si="8"/>
        <v/>
      </c>
      <c r="C132" s="33" t="str">
        <f t="shared" si="14"/>
        <v/>
      </c>
      <c r="D132" s="33" t="str">
        <f t="shared" si="9"/>
        <v/>
      </c>
      <c r="E132" s="34" t="e">
        <f t="shared" si="10"/>
        <v>#VALUE!</v>
      </c>
      <c r="F132" s="33" t="e">
        <f t="shared" si="11"/>
        <v>#VALUE!</v>
      </c>
      <c r="G132" s="33" t="str">
        <f t="shared" si="12"/>
        <v/>
      </c>
      <c r="H132" s="33" t="str">
        <f t="shared" si="15"/>
        <v/>
      </c>
      <c r="I132" s="33" t="e">
        <f t="shared" si="13"/>
        <v>#VALUE!</v>
      </c>
      <c r="J132" s="33">
        <f>SUM($H$18:$H132)</f>
        <v>0</v>
      </c>
    </row>
    <row r="133" spans="1:10">
      <c r="A133" s="36" t="str">
        <f>IF(Values_Entered,A132+1,"")</f>
        <v/>
      </c>
      <c r="B133" s="35" t="str">
        <f t="shared" si="8"/>
        <v/>
      </c>
      <c r="C133" s="33" t="str">
        <f t="shared" si="14"/>
        <v/>
      </c>
      <c r="D133" s="33" t="str">
        <f t="shared" si="9"/>
        <v/>
      </c>
      <c r="E133" s="34" t="e">
        <f t="shared" si="10"/>
        <v>#VALUE!</v>
      </c>
      <c r="F133" s="33" t="e">
        <f t="shared" si="11"/>
        <v>#VALUE!</v>
      </c>
      <c r="G133" s="33" t="str">
        <f t="shared" si="12"/>
        <v/>
      </c>
      <c r="H133" s="33" t="str">
        <f t="shared" si="15"/>
        <v/>
      </c>
      <c r="I133" s="33" t="e">
        <f t="shared" si="13"/>
        <v>#VALUE!</v>
      </c>
      <c r="J133" s="33">
        <f>SUM($H$18:$H133)</f>
        <v>0</v>
      </c>
    </row>
    <row r="134" spans="1:10">
      <c r="A134" s="36" t="str">
        <f>IF(Values_Entered,A133+1,"")</f>
        <v/>
      </c>
      <c r="B134" s="35" t="str">
        <f t="shared" si="8"/>
        <v/>
      </c>
      <c r="C134" s="33" t="str">
        <f t="shared" si="14"/>
        <v/>
      </c>
      <c r="D134" s="33" t="str">
        <f t="shared" si="9"/>
        <v/>
      </c>
      <c r="E134" s="34" t="e">
        <f t="shared" si="10"/>
        <v>#VALUE!</v>
      </c>
      <c r="F134" s="33" t="e">
        <f t="shared" si="11"/>
        <v>#VALUE!</v>
      </c>
      <c r="G134" s="33" t="str">
        <f t="shared" si="12"/>
        <v/>
      </c>
      <c r="H134" s="33" t="str">
        <f t="shared" si="15"/>
        <v/>
      </c>
      <c r="I134" s="33" t="e">
        <f t="shared" si="13"/>
        <v>#VALUE!</v>
      </c>
      <c r="J134" s="33">
        <f>SUM($H$18:$H134)</f>
        <v>0</v>
      </c>
    </row>
    <row r="135" spans="1:10">
      <c r="A135" s="36" t="str">
        <f>IF(Values_Entered,A134+1,"")</f>
        <v/>
      </c>
      <c r="B135" s="35" t="str">
        <f t="shared" si="8"/>
        <v/>
      </c>
      <c r="C135" s="33" t="str">
        <f t="shared" si="14"/>
        <v/>
      </c>
      <c r="D135" s="33" t="str">
        <f t="shared" si="9"/>
        <v/>
      </c>
      <c r="E135" s="34" t="e">
        <f t="shared" si="10"/>
        <v>#VALUE!</v>
      </c>
      <c r="F135" s="33" t="e">
        <f t="shared" si="11"/>
        <v>#VALUE!</v>
      </c>
      <c r="G135" s="33" t="str">
        <f t="shared" si="12"/>
        <v/>
      </c>
      <c r="H135" s="33" t="str">
        <f t="shared" si="15"/>
        <v/>
      </c>
      <c r="I135" s="33" t="e">
        <f t="shared" si="13"/>
        <v>#VALUE!</v>
      </c>
      <c r="J135" s="33">
        <f>SUM($H$18:$H135)</f>
        <v>0</v>
      </c>
    </row>
    <row r="136" spans="1:10">
      <c r="A136" s="36" t="str">
        <f>IF(Values_Entered,A135+1,"")</f>
        <v/>
      </c>
      <c r="B136" s="35" t="str">
        <f t="shared" si="8"/>
        <v/>
      </c>
      <c r="C136" s="33" t="str">
        <f t="shared" si="14"/>
        <v/>
      </c>
      <c r="D136" s="33" t="str">
        <f t="shared" si="9"/>
        <v/>
      </c>
      <c r="E136" s="34" t="e">
        <f t="shared" si="10"/>
        <v>#VALUE!</v>
      </c>
      <c r="F136" s="33" t="e">
        <f t="shared" si="11"/>
        <v>#VALUE!</v>
      </c>
      <c r="G136" s="33" t="str">
        <f t="shared" si="12"/>
        <v/>
      </c>
      <c r="H136" s="33" t="str">
        <f t="shared" si="15"/>
        <v/>
      </c>
      <c r="I136" s="33" t="e">
        <f t="shared" si="13"/>
        <v>#VALUE!</v>
      </c>
      <c r="J136" s="33">
        <f>SUM($H$18:$H136)</f>
        <v>0</v>
      </c>
    </row>
    <row r="137" spans="1:10">
      <c r="A137" s="36" t="str">
        <f>IF(Values_Entered,A136+1,"")</f>
        <v/>
      </c>
      <c r="B137" s="35" t="str">
        <f t="shared" si="8"/>
        <v/>
      </c>
      <c r="C137" s="33" t="str">
        <f t="shared" si="14"/>
        <v/>
      </c>
      <c r="D137" s="33" t="str">
        <f t="shared" si="9"/>
        <v/>
      </c>
      <c r="E137" s="34" t="e">
        <f t="shared" si="10"/>
        <v>#VALUE!</v>
      </c>
      <c r="F137" s="33" t="e">
        <f t="shared" si="11"/>
        <v>#VALUE!</v>
      </c>
      <c r="G137" s="33" t="str">
        <f t="shared" si="12"/>
        <v/>
      </c>
      <c r="H137" s="33" t="str">
        <f t="shared" si="15"/>
        <v/>
      </c>
      <c r="I137" s="33" t="e">
        <f t="shared" si="13"/>
        <v>#VALUE!</v>
      </c>
      <c r="J137" s="33">
        <f>SUM($H$18:$H137)</f>
        <v>0</v>
      </c>
    </row>
    <row r="138" spans="1:10">
      <c r="A138" s="36" t="str">
        <f>IF(Values_Entered,A137+1,"")</f>
        <v/>
      </c>
      <c r="B138" s="35" t="str">
        <f t="shared" si="8"/>
        <v/>
      </c>
      <c r="C138" s="33" t="str">
        <f t="shared" si="14"/>
        <v/>
      </c>
      <c r="D138" s="33" t="str">
        <f t="shared" si="9"/>
        <v/>
      </c>
      <c r="E138" s="34" t="e">
        <f t="shared" si="10"/>
        <v>#VALUE!</v>
      </c>
      <c r="F138" s="33" t="e">
        <f t="shared" si="11"/>
        <v>#VALUE!</v>
      </c>
      <c r="G138" s="33" t="str">
        <f t="shared" si="12"/>
        <v/>
      </c>
      <c r="H138" s="33" t="str">
        <f t="shared" si="15"/>
        <v/>
      </c>
      <c r="I138" s="33" t="e">
        <f t="shared" si="13"/>
        <v>#VALUE!</v>
      </c>
      <c r="J138" s="33">
        <f>SUM($H$18:$H138)</f>
        <v>0</v>
      </c>
    </row>
    <row r="139" spans="1:10">
      <c r="A139" s="36" t="str">
        <f>IF(Values_Entered,A138+1,"")</f>
        <v/>
      </c>
      <c r="B139" s="35" t="str">
        <f t="shared" si="8"/>
        <v/>
      </c>
      <c r="C139" s="33" t="str">
        <f t="shared" si="14"/>
        <v/>
      </c>
      <c r="D139" s="33" t="str">
        <f t="shared" si="9"/>
        <v/>
      </c>
      <c r="E139" s="34" t="e">
        <f t="shared" si="10"/>
        <v>#VALUE!</v>
      </c>
      <c r="F139" s="33" t="e">
        <f t="shared" si="11"/>
        <v>#VALUE!</v>
      </c>
      <c r="G139" s="33" t="str">
        <f t="shared" si="12"/>
        <v/>
      </c>
      <c r="H139" s="33" t="str">
        <f t="shared" si="15"/>
        <v/>
      </c>
      <c r="I139" s="33" t="e">
        <f t="shared" si="13"/>
        <v>#VALUE!</v>
      </c>
      <c r="J139" s="33">
        <f>SUM($H$18:$H139)</f>
        <v>0</v>
      </c>
    </row>
    <row r="140" spans="1:10">
      <c r="A140" s="36" t="str">
        <f>IF(Values_Entered,A139+1,"")</f>
        <v/>
      </c>
      <c r="B140" s="35" t="str">
        <f t="shared" si="8"/>
        <v/>
      </c>
      <c r="C140" s="33" t="str">
        <f t="shared" si="14"/>
        <v/>
      </c>
      <c r="D140" s="33" t="str">
        <f t="shared" si="9"/>
        <v/>
      </c>
      <c r="E140" s="34" t="e">
        <f t="shared" si="10"/>
        <v>#VALUE!</v>
      </c>
      <c r="F140" s="33" t="e">
        <f t="shared" si="11"/>
        <v>#VALUE!</v>
      </c>
      <c r="G140" s="33" t="str">
        <f t="shared" si="12"/>
        <v/>
      </c>
      <c r="H140" s="33" t="str">
        <f t="shared" si="15"/>
        <v/>
      </c>
      <c r="I140" s="33" t="e">
        <f t="shared" si="13"/>
        <v>#VALUE!</v>
      </c>
      <c r="J140" s="33">
        <f>SUM($H$18:$H140)</f>
        <v>0</v>
      </c>
    </row>
    <row r="141" spans="1:10">
      <c r="A141" s="36" t="str">
        <f>IF(Values_Entered,A140+1,"")</f>
        <v/>
      </c>
      <c r="B141" s="35" t="str">
        <f t="shared" si="8"/>
        <v/>
      </c>
      <c r="C141" s="33" t="str">
        <f t="shared" si="14"/>
        <v/>
      </c>
      <c r="D141" s="33" t="str">
        <f t="shared" si="9"/>
        <v/>
      </c>
      <c r="E141" s="34" t="e">
        <f t="shared" si="10"/>
        <v>#VALUE!</v>
      </c>
      <c r="F141" s="33" t="e">
        <f t="shared" si="11"/>
        <v>#VALUE!</v>
      </c>
      <c r="G141" s="33" t="str">
        <f t="shared" si="12"/>
        <v/>
      </c>
      <c r="H141" s="33" t="str">
        <f t="shared" si="15"/>
        <v/>
      </c>
      <c r="I141" s="33" t="e">
        <f t="shared" si="13"/>
        <v>#VALUE!</v>
      </c>
      <c r="J141" s="33">
        <f>SUM($H$18:$H141)</f>
        <v>0</v>
      </c>
    </row>
    <row r="142" spans="1:10">
      <c r="A142" s="36" t="str">
        <f>IF(Values_Entered,A141+1,"")</f>
        <v/>
      </c>
      <c r="B142" s="35" t="str">
        <f t="shared" si="8"/>
        <v/>
      </c>
      <c r="C142" s="33" t="str">
        <f t="shared" si="14"/>
        <v/>
      </c>
      <c r="D142" s="33" t="str">
        <f t="shared" si="9"/>
        <v/>
      </c>
      <c r="E142" s="34" t="e">
        <f t="shared" si="10"/>
        <v>#VALUE!</v>
      </c>
      <c r="F142" s="33" t="e">
        <f t="shared" si="11"/>
        <v>#VALUE!</v>
      </c>
      <c r="G142" s="33" t="str">
        <f t="shared" si="12"/>
        <v/>
      </c>
      <c r="H142" s="33" t="str">
        <f t="shared" si="15"/>
        <v/>
      </c>
      <c r="I142" s="33" t="e">
        <f t="shared" si="13"/>
        <v>#VALUE!</v>
      </c>
      <c r="J142" s="33">
        <f>SUM($H$18:$H142)</f>
        <v>0</v>
      </c>
    </row>
    <row r="143" spans="1:10">
      <c r="A143" s="36" t="str">
        <f>IF(Values_Entered,A142+1,"")</f>
        <v/>
      </c>
      <c r="B143" s="35" t="str">
        <f t="shared" si="8"/>
        <v/>
      </c>
      <c r="C143" s="33" t="str">
        <f t="shared" si="14"/>
        <v/>
      </c>
      <c r="D143" s="33" t="str">
        <f t="shared" si="9"/>
        <v/>
      </c>
      <c r="E143" s="34" t="e">
        <f t="shared" si="10"/>
        <v>#VALUE!</v>
      </c>
      <c r="F143" s="33" t="e">
        <f t="shared" si="11"/>
        <v>#VALUE!</v>
      </c>
      <c r="G143" s="33" t="str">
        <f t="shared" si="12"/>
        <v/>
      </c>
      <c r="H143" s="33" t="str">
        <f t="shared" si="15"/>
        <v/>
      </c>
      <c r="I143" s="33" t="e">
        <f t="shared" si="13"/>
        <v>#VALUE!</v>
      </c>
      <c r="J143" s="33">
        <f>SUM($H$18:$H143)</f>
        <v>0</v>
      </c>
    </row>
    <row r="144" spans="1:10">
      <c r="A144" s="36" t="str">
        <f>IF(Values_Entered,A143+1,"")</f>
        <v/>
      </c>
      <c r="B144" s="35" t="str">
        <f t="shared" si="8"/>
        <v/>
      </c>
      <c r="C144" s="33" t="str">
        <f t="shared" si="14"/>
        <v/>
      </c>
      <c r="D144" s="33" t="str">
        <f t="shared" si="9"/>
        <v/>
      </c>
      <c r="E144" s="34" t="e">
        <f t="shared" si="10"/>
        <v>#VALUE!</v>
      </c>
      <c r="F144" s="33" t="e">
        <f t="shared" si="11"/>
        <v>#VALUE!</v>
      </c>
      <c r="G144" s="33" t="str">
        <f t="shared" si="12"/>
        <v/>
      </c>
      <c r="H144" s="33" t="str">
        <f t="shared" si="15"/>
        <v/>
      </c>
      <c r="I144" s="33" t="e">
        <f t="shared" si="13"/>
        <v>#VALUE!</v>
      </c>
      <c r="J144" s="33">
        <f>SUM($H$18:$H144)</f>
        <v>0</v>
      </c>
    </row>
    <row r="145" spans="1:10">
      <c r="A145" s="36" t="str">
        <f>IF(Values_Entered,A144+1,"")</f>
        <v/>
      </c>
      <c r="B145" s="35" t="str">
        <f t="shared" si="8"/>
        <v/>
      </c>
      <c r="C145" s="33" t="str">
        <f t="shared" si="14"/>
        <v/>
      </c>
      <c r="D145" s="33" t="str">
        <f t="shared" si="9"/>
        <v/>
      </c>
      <c r="E145" s="34" t="e">
        <f t="shared" si="10"/>
        <v>#VALUE!</v>
      </c>
      <c r="F145" s="33" t="e">
        <f t="shared" si="11"/>
        <v>#VALUE!</v>
      </c>
      <c r="G145" s="33" t="str">
        <f t="shared" si="12"/>
        <v/>
      </c>
      <c r="H145" s="33" t="str">
        <f t="shared" si="15"/>
        <v/>
      </c>
      <c r="I145" s="33" t="e">
        <f t="shared" si="13"/>
        <v>#VALUE!</v>
      </c>
      <c r="J145" s="33">
        <f>SUM($H$18:$H145)</f>
        <v>0</v>
      </c>
    </row>
    <row r="146" spans="1:10">
      <c r="A146" s="36" t="str">
        <f>IF(Values_Entered,A145+1,"")</f>
        <v/>
      </c>
      <c r="B146" s="35" t="str">
        <f t="shared" ref="B146:B209" si="16">IF(Pay_Num&lt;&gt;"",DATE(YEAR(Loan_Start),MONTH(Loan_Start)+(Pay_Num)*12/Num_Pmt_Per_Year,DAY(Loan_Start)),"")</f>
        <v/>
      </c>
      <c r="C146" s="33" t="str">
        <f t="shared" si="14"/>
        <v/>
      </c>
      <c r="D146" s="33" t="str">
        <f t="shared" ref="D146:D209" si="17">IF(Pay_Num&lt;&gt;"",Scheduled_Monthly_Payment,"")</f>
        <v/>
      </c>
      <c r="E146" s="34" t="e">
        <f t="shared" ref="E146:E209" si="18">IF(AND(Pay_Num&lt;&gt;"",Sched_Pay+Scheduled_Extra_Payments&lt;Beg_Bal),Scheduled_Extra_Payments,IF(AND(Pay_Num&lt;&gt;"",Beg_Bal-Sched_Pay&gt;0),Beg_Bal-Sched_Pay,IF(Pay_Num&lt;&gt;"",0,"")))</f>
        <v>#VALUE!</v>
      </c>
      <c r="F146" s="33" t="e">
        <f t="shared" ref="F146:F209" si="19">IF(AND(Pay_Num&lt;&gt;"",Sched_Pay+Extra_Pay&lt;Beg_Bal),Sched_Pay+Extra_Pay,IF(Pay_Num&lt;&gt;"",Beg_Bal,""))</f>
        <v>#VALUE!</v>
      </c>
      <c r="G146" s="33" t="str">
        <f t="shared" ref="G146:G209" si="20">IF(Pay_Num&lt;&gt;"",Total_Pay-Int,"")</f>
        <v/>
      </c>
      <c r="H146" s="33" t="str">
        <f t="shared" si="15"/>
        <v/>
      </c>
      <c r="I146" s="33" t="e">
        <f t="shared" ref="I146:I209" si="21">IF(AND(Pay_Num&lt;&gt;"",Sched_Pay+Extra_Pay&lt;Beg_Bal),Beg_Bal-Princ,IF(Pay_Num&lt;&gt;"",0,""))</f>
        <v>#VALUE!</v>
      </c>
      <c r="J146" s="33">
        <f>SUM($H$18:$H146)</f>
        <v>0</v>
      </c>
    </row>
    <row r="147" spans="1:10">
      <c r="A147" s="36" t="str">
        <f>IF(Values_Entered,A146+1,"")</f>
        <v/>
      </c>
      <c r="B147" s="35" t="str">
        <f t="shared" si="16"/>
        <v/>
      </c>
      <c r="C147" s="33" t="str">
        <f t="shared" ref="C147:C210" si="22">IF(Pay_Num&lt;&gt;"",I146,"")</f>
        <v/>
      </c>
      <c r="D147" s="33" t="str">
        <f t="shared" si="17"/>
        <v/>
      </c>
      <c r="E147" s="34" t="e">
        <f t="shared" si="18"/>
        <v>#VALUE!</v>
      </c>
      <c r="F147" s="33" t="e">
        <f t="shared" si="19"/>
        <v>#VALUE!</v>
      </c>
      <c r="G147" s="33" t="str">
        <f t="shared" si="20"/>
        <v/>
      </c>
      <c r="H147" s="33" t="str">
        <f t="shared" ref="H147:H210" si="23">IF(Pay_Num&lt;&gt;"",Beg_Bal*Interest_Rate/Num_Pmt_Per_Year,"")</f>
        <v/>
      </c>
      <c r="I147" s="33" t="e">
        <f t="shared" si="21"/>
        <v>#VALUE!</v>
      </c>
      <c r="J147" s="33">
        <f>SUM($H$18:$H147)</f>
        <v>0</v>
      </c>
    </row>
    <row r="148" spans="1:10">
      <c r="A148" s="36" t="str">
        <f>IF(Values_Entered,A147+1,"")</f>
        <v/>
      </c>
      <c r="B148" s="35" t="str">
        <f t="shared" si="16"/>
        <v/>
      </c>
      <c r="C148" s="33" t="str">
        <f t="shared" si="22"/>
        <v/>
      </c>
      <c r="D148" s="33" t="str">
        <f t="shared" si="17"/>
        <v/>
      </c>
      <c r="E148" s="34" t="e">
        <f t="shared" si="18"/>
        <v>#VALUE!</v>
      </c>
      <c r="F148" s="33" t="e">
        <f t="shared" si="19"/>
        <v>#VALUE!</v>
      </c>
      <c r="G148" s="33" t="str">
        <f t="shared" si="20"/>
        <v/>
      </c>
      <c r="H148" s="33" t="str">
        <f t="shared" si="23"/>
        <v/>
      </c>
      <c r="I148" s="33" t="e">
        <f t="shared" si="21"/>
        <v>#VALUE!</v>
      </c>
      <c r="J148" s="33">
        <f>SUM($H$18:$H148)</f>
        <v>0</v>
      </c>
    </row>
    <row r="149" spans="1:10">
      <c r="A149" s="36" t="str">
        <f>IF(Values_Entered,A148+1,"")</f>
        <v/>
      </c>
      <c r="B149" s="35" t="str">
        <f t="shared" si="16"/>
        <v/>
      </c>
      <c r="C149" s="33" t="str">
        <f t="shared" si="22"/>
        <v/>
      </c>
      <c r="D149" s="33" t="str">
        <f t="shared" si="17"/>
        <v/>
      </c>
      <c r="E149" s="34" t="e">
        <f t="shared" si="18"/>
        <v>#VALUE!</v>
      </c>
      <c r="F149" s="33" t="e">
        <f t="shared" si="19"/>
        <v>#VALUE!</v>
      </c>
      <c r="G149" s="33" t="str">
        <f t="shared" si="20"/>
        <v/>
      </c>
      <c r="H149" s="33" t="str">
        <f t="shared" si="23"/>
        <v/>
      </c>
      <c r="I149" s="33" t="e">
        <f t="shared" si="21"/>
        <v>#VALUE!</v>
      </c>
      <c r="J149" s="33">
        <f>SUM($H$18:$H149)</f>
        <v>0</v>
      </c>
    </row>
    <row r="150" spans="1:10">
      <c r="A150" s="36" t="str">
        <f>IF(Values_Entered,A149+1,"")</f>
        <v/>
      </c>
      <c r="B150" s="35" t="str">
        <f t="shared" si="16"/>
        <v/>
      </c>
      <c r="C150" s="33" t="str">
        <f t="shared" si="22"/>
        <v/>
      </c>
      <c r="D150" s="33" t="str">
        <f t="shared" si="17"/>
        <v/>
      </c>
      <c r="E150" s="34" t="e">
        <f t="shared" si="18"/>
        <v>#VALUE!</v>
      </c>
      <c r="F150" s="33" t="e">
        <f t="shared" si="19"/>
        <v>#VALUE!</v>
      </c>
      <c r="G150" s="33" t="str">
        <f t="shared" si="20"/>
        <v/>
      </c>
      <c r="H150" s="33" t="str">
        <f t="shared" si="23"/>
        <v/>
      </c>
      <c r="I150" s="33" t="e">
        <f t="shared" si="21"/>
        <v>#VALUE!</v>
      </c>
      <c r="J150" s="33">
        <f>SUM($H$18:$H150)</f>
        <v>0</v>
      </c>
    </row>
    <row r="151" spans="1:10">
      <c r="A151" s="36" t="str">
        <f>IF(Values_Entered,A150+1,"")</f>
        <v/>
      </c>
      <c r="B151" s="35" t="str">
        <f t="shared" si="16"/>
        <v/>
      </c>
      <c r="C151" s="33" t="str">
        <f t="shared" si="22"/>
        <v/>
      </c>
      <c r="D151" s="33" t="str">
        <f t="shared" si="17"/>
        <v/>
      </c>
      <c r="E151" s="34" t="e">
        <f t="shared" si="18"/>
        <v>#VALUE!</v>
      </c>
      <c r="F151" s="33" t="e">
        <f t="shared" si="19"/>
        <v>#VALUE!</v>
      </c>
      <c r="G151" s="33" t="str">
        <f t="shared" si="20"/>
        <v/>
      </c>
      <c r="H151" s="33" t="str">
        <f t="shared" si="23"/>
        <v/>
      </c>
      <c r="I151" s="33" t="e">
        <f t="shared" si="21"/>
        <v>#VALUE!</v>
      </c>
      <c r="J151" s="33">
        <f>SUM($H$18:$H151)</f>
        <v>0</v>
      </c>
    </row>
    <row r="152" spans="1:10">
      <c r="A152" s="36" t="str">
        <f>IF(Values_Entered,A151+1,"")</f>
        <v/>
      </c>
      <c r="B152" s="35" t="str">
        <f t="shared" si="16"/>
        <v/>
      </c>
      <c r="C152" s="33" t="str">
        <f t="shared" si="22"/>
        <v/>
      </c>
      <c r="D152" s="33" t="str">
        <f t="shared" si="17"/>
        <v/>
      </c>
      <c r="E152" s="34" t="e">
        <f t="shared" si="18"/>
        <v>#VALUE!</v>
      </c>
      <c r="F152" s="33" t="e">
        <f t="shared" si="19"/>
        <v>#VALUE!</v>
      </c>
      <c r="G152" s="33" t="str">
        <f t="shared" si="20"/>
        <v/>
      </c>
      <c r="H152" s="33" t="str">
        <f t="shared" si="23"/>
        <v/>
      </c>
      <c r="I152" s="33" t="e">
        <f t="shared" si="21"/>
        <v>#VALUE!</v>
      </c>
      <c r="J152" s="33">
        <f>SUM($H$18:$H152)</f>
        <v>0</v>
      </c>
    </row>
    <row r="153" spans="1:10">
      <c r="A153" s="36" t="str">
        <f>IF(Values_Entered,A152+1,"")</f>
        <v/>
      </c>
      <c r="B153" s="35" t="str">
        <f t="shared" si="16"/>
        <v/>
      </c>
      <c r="C153" s="33" t="str">
        <f t="shared" si="22"/>
        <v/>
      </c>
      <c r="D153" s="33" t="str">
        <f t="shared" si="17"/>
        <v/>
      </c>
      <c r="E153" s="34" t="e">
        <f t="shared" si="18"/>
        <v>#VALUE!</v>
      </c>
      <c r="F153" s="33" t="e">
        <f t="shared" si="19"/>
        <v>#VALUE!</v>
      </c>
      <c r="G153" s="33" t="str">
        <f t="shared" si="20"/>
        <v/>
      </c>
      <c r="H153" s="33" t="str">
        <f t="shared" si="23"/>
        <v/>
      </c>
      <c r="I153" s="33" t="e">
        <f t="shared" si="21"/>
        <v>#VALUE!</v>
      </c>
      <c r="J153" s="33">
        <f>SUM($H$18:$H153)</f>
        <v>0</v>
      </c>
    </row>
    <row r="154" spans="1:10">
      <c r="A154" s="36" t="str">
        <f>IF(Values_Entered,A153+1,"")</f>
        <v/>
      </c>
      <c r="B154" s="35" t="str">
        <f t="shared" si="16"/>
        <v/>
      </c>
      <c r="C154" s="33" t="str">
        <f t="shared" si="22"/>
        <v/>
      </c>
      <c r="D154" s="33" t="str">
        <f t="shared" si="17"/>
        <v/>
      </c>
      <c r="E154" s="34" t="e">
        <f t="shared" si="18"/>
        <v>#VALUE!</v>
      </c>
      <c r="F154" s="33" t="e">
        <f t="shared" si="19"/>
        <v>#VALUE!</v>
      </c>
      <c r="G154" s="33" t="str">
        <f t="shared" si="20"/>
        <v/>
      </c>
      <c r="H154" s="33" t="str">
        <f t="shared" si="23"/>
        <v/>
      </c>
      <c r="I154" s="33" t="e">
        <f t="shared" si="21"/>
        <v>#VALUE!</v>
      </c>
      <c r="J154" s="33">
        <f>SUM($H$18:$H154)</f>
        <v>0</v>
      </c>
    </row>
    <row r="155" spans="1:10">
      <c r="A155" s="36" t="str">
        <f>IF(Values_Entered,A154+1,"")</f>
        <v/>
      </c>
      <c r="B155" s="35" t="str">
        <f t="shared" si="16"/>
        <v/>
      </c>
      <c r="C155" s="33" t="str">
        <f t="shared" si="22"/>
        <v/>
      </c>
      <c r="D155" s="33" t="str">
        <f t="shared" si="17"/>
        <v/>
      </c>
      <c r="E155" s="34" t="e">
        <f t="shared" si="18"/>
        <v>#VALUE!</v>
      </c>
      <c r="F155" s="33" t="e">
        <f t="shared" si="19"/>
        <v>#VALUE!</v>
      </c>
      <c r="G155" s="33" t="str">
        <f t="shared" si="20"/>
        <v/>
      </c>
      <c r="H155" s="33" t="str">
        <f t="shared" si="23"/>
        <v/>
      </c>
      <c r="I155" s="33" t="e">
        <f t="shared" si="21"/>
        <v>#VALUE!</v>
      </c>
      <c r="J155" s="33">
        <f>SUM($H$18:$H155)</f>
        <v>0</v>
      </c>
    </row>
    <row r="156" spans="1:10">
      <c r="A156" s="36" t="str">
        <f>IF(Values_Entered,A155+1,"")</f>
        <v/>
      </c>
      <c r="B156" s="35" t="str">
        <f t="shared" si="16"/>
        <v/>
      </c>
      <c r="C156" s="33" t="str">
        <f t="shared" si="22"/>
        <v/>
      </c>
      <c r="D156" s="33" t="str">
        <f t="shared" si="17"/>
        <v/>
      </c>
      <c r="E156" s="34" t="e">
        <f t="shared" si="18"/>
        <v>#VALUE!</v>
      </c>
      <c r="F156" s="33" t="e">
        <f t="shared" si="19"/>
        <v>#VALUE!</v>
      </c>
      <c r="G156" s="33" t="str">
        <f t="shared" si="20"/>
        <v/>
      </c>
      <c r="H156" s="33" t="str">
        <f t="shared" si="23"/>
        <v/>
      </c>
      <c r="I156" s="33" t="e">
        <f t="shared" si="21"/>
        <v>#VALUE!</v>
      </c>
      <c r="J156" s="33">
        <f>SUM($H$18:$H156)</f>
        <v>0</v>
      </c>
    </row>
    <row r="157" spans="1:10">
      <c r="A157" s="36" t="str">
        <f>IF(Values_Entered,A156+1,"")</f>
        <v/>
      </c>
      <c r="B157" s="35" t="str">
        <f t="shared" si="16"/>
        <v/>
      </c>
      <c r="C157" s="33" t="str">
        <f t="shared" si="22"/>
        <v/>
      </c>
      <c r="D157" s="33" t="str">
        <f t="shared" si="17"/>
        <v/>
      </c>
      <c r="E157" s="34" t="e">
        <f t="shared" si="18"/>
        <v>#VALUE!</v>
      </c>
      <c r="F157" s="33" t="e">
        <f t="shared" si="19"/>
        <v>#VALUE!</v>
      </c>
      <c r="G157" s="33" t="str">
        <f t="shared" si="20"/>
        <v/>
      </c>
      <c r="H157" s="33" t="str">
        <f t="shared" si="23"/>
        <v/>
      </c>
      <c r="I157" s="33" t="e">
        <f t="shared" si="21"/>
        <v>#VALUE!</v>
      </c>
      <c r="J157" s="33">
        <f>SUM($H$18:$H157)</f>
        <v>0</v>
      </c>
    </row>
    <row r="158" spans="1:10">
      <c r="A158" s="36" t="str">
        <f>IF(Values_Entered,A157+1,"")</f>
        <v/>
      </c>
      <c r="B158" s="35" t="str">
        <f t="shared" si="16"/>
        <v/>
      </c>
      <c r="C158" s="33" t="str">
        <f t="shared" si="22"/>
        <v/>
      </c>
      <c r="D158" s="33" t="str">
        <f t="shared" si="17"/>
        <v/>
      </c>
      <c r="E158" s="34" t="e">
        <f t="shared" si="18"/>
        <v>#VALUE!</v>
      </c>
      <c r="F158" s="33" t="e">
        <f t="shared" si="19"/>
        <v>#VALUE!</v>
      </c>
      <c r="G158" s="33" t="str">
        <f t="shared" si="20"/>
        <v/>
      </c>
      <c r="H158" s="33" t="str">
        <f t="shared" si="23"/>
        <v/>
      </c>
      <c r="I158" s="33" t="e">
        <f t="shared" si="21"/>
        <v>#VALUE!</v>
      </c>
      <c r="J158" s="33">
        <f>SUM($H$18:$H158)</f>
        <v>0</v>
      </c>
    </row>
    <row r="159" spans="1:10">
      <c r="A159" s="36" t="str">
        <f>IF(Values_Entered,A158+1,"")</f>
        <v/>
      </c>
      <c r="B159" s="35" t="str">
        <f t="shared" si="16"/>
        <v/>
      </c>
      <c r="C159" s="33" t="str">
        <f t="shared" si="22"/>
        <v/>
      </c>
      <c r="D159" s="33" t="str">
        <f t="shared" si="17"/>
        <v/>
      </c>
      <c r="E159" s="34" t="e">
        <f t="shared" si="18"/>
        <v>#VALUE!</v>
      </c>
      <c r="F159" s="33" t="e">
        <f t="shared" si="19"/>
        <v>#VALUE!</v>
      </c>
      <c r="G159" s="33" t="str">
        <f t="shared" si="20"/>
        <v/>
      </c>
      <c r="H159" s="33" t="str">
        <f t="shared" si="23"/>
        <v/>
      </c>
      <c r="I159" s="33" t="e">
        <f t="shared" si="21"/>
        <v>#VALUE!</v>
      </c>
      <c r="J159" s="33">
        <f>SUM($H$18:$H159)</f>
        <v>0</v>
      </c>
    </row>
    <row r="160" spans="1:10">
      <c r="A160" s="36" t="str">
        <f>IF(Values_Entered,A159+1,"")</f>
        <v/>
      </c>
      <c r="B160" s="35" t="str">
        <f t="shared" si="16"/>
        <v/>
      </c>
      <c r="C160" s="33" t="str">
        <f t="shared" si="22"/>
        <v/>
      </c>
      <c r="D160" s="33" t="str">
        <f t="shared" si="17"/>
        <v/>
      </c>
      <c r="E160" s="34" t="e">
        <f t="shared" si="18"/>
        <v>#VALUE!</v>
      </c>
      <c r="F160" s="33" t="e">
        <f t="shared" si="19"/>
        <v>#VALUE!</v>
      </c>
      <c r="G160" s="33" t="str">
        <f t="shared" si="20"/>
        <v/>
      </c>
      <c r="H160" s="33" t="str">
        <f t="shared" si="23"/>
        <v/>
      </c>
      <c r="I160" s="33" t="e">
        <f t="shared" si="21"/>
        <v>#VALUE!</v>
      </c>
      <c r="J160" s="33">
        <f>SUM($H$18:$H160)</f>
        <v>0</v>
      </c>
    </row>
    <row r="161" spans="1:10">
      <c r="A161" s="36" t="str">
        <f>IF(Values_Entered,A160+1,"")</f>
        <v/>
      </c>
      <c r="B161" s="35" t="str">
        <f t="shared" si="16"/>
        <v/>
      </c>
      <c r="C161" s="33" t="str">
        <f t="shared" si="22"/>
        <v/>
      </c>
      <c r="D161" s="33" t="str">
        <f t="shared" si="17"/>
        <v/>
      </c>
      <c r="E161" s="34" t="e">
        <f t="shared" si="18"/>
        <v>#VALUE!</v>
      </c>
      <c r="F161" s="33" t="e">
        <f t="shared" si="19"/>
        <v>#VALUE!</v>
      </c>
      <c r="G161" s="33" t="str">
        <f t="shared" si="20"/>
        <v/>
      </c>
      <c r="H161" s="33" t="str">
        <f t="shared" si="23"/>
        <v/>
      </c>
      <c r="I161" s="33" t="e">
        <f t="shared" si="21"/>
        <v>#VALUE!</v>
      </c>
      <c r="J161" s="33">
        <f>SUM($H$18:$H161)</f>
        <v>0</v>
      </c>
    </row>
    <row r="162" spans="1:10">
      <c r="A162" s="36" t="str">
        <f>IF(Values_Entered,A161+1,"")</f>
        <v/>
      </c>
      <c r="B162" s="35" t="str">
        <f t="shared" si="16"/>
        <v/>
      </c>
      <c r="C162" s="33" t="str">
        <f t="shared" si="22"/>
        <v/>
      </c>
      <c r="D162" s="33" t="str">
        <f t="shared" si="17"/>
        <v/>
      </c>
      <c r="E162" s="34" t="e">
        <f t="shared" si="18"/>
        <v>#VALUE!</v>
      </c>
      <c r="F162" s="33" t="e">
        <f t="shared" si="19"/>
        <v>#VALUE!</v>
      </c>
      <c r="G162" s="33" t="str">
        <f t="shared" si="20"/>
        <v/>
      </c>
      <c r="H162" s="33" t="str">
        <f t="shared" si="23"/>
        <v/>
      </c>
      <c r="I162" s="33" t="e">
        <f t="shared" si="21"/>
        <v>#VALUE!</v>
      </c>
      <c r="J162" s="33">
        <f>SUM($H$18:$H162)</f>
        <v>0</v>
      </c>
    </row>
    <row r="163" spans="1:10">
      <c r="A163" s="36" t="str">
        <f>IF(Values_Entered,A162+1,"")</f>
        <v/>
      </c>
      <c r="B163" s="35" t="str">
        <f t="shared" si="16"/>
        <v/>
      </c>
      <c r="C163" s="33" t="str">
        <f t="shared" si="22"/>
        <v/>
      </c>
      <c r="D163" s="33" t="str">
        <f t="shared" si="17"/>
        <v/>
      </c>
      <c r="E163" s="34" t="e">
        <f t="shared" si="18"/>
        <v>#VALUE!</v>
      </c>
      <c r="F163" s="33" t="e">
        <f t="shared" si="19"/>
        <v>#VALUE!</v>
      </c>
      <c r="G163" s="33" t="str">
        <f t="shared" si="20"/>
        <v/>
      </c>
      <c r="H163" s="33" t="str">
        <f t="shared" si="23"/>
        <v/>
      </c>
      <c r="I163" s="33" t="e">
        <f t="shared" si="21"/>
        <v>#VALUE!</v>
      </c>
      <c r="J163" s="33">
        <f>SUM($H$18:$H163)</f>
        <v>0</v>
      </c>
    </row>
    <row r="164" spans="1:10">
      <c r="A164" s="36" t="str">
        <f>IF(Values_Entered,A163+1,"")</f>
        <v/>
      </c>
      <c r="B164" s="35" t="str">
        <f t="shared" si="16"/>
        <v/>
      </c>
      <c r="C164" s="33" t="str">
        <f t="shared" si="22"/>
        <v/>
      </c>
      <c r="D164" s="33" t="str">
        <f t="shared" si="17"/>
        <v/>
      </c>
      <c r="E164" s="34" t="e">
        <f t="shared" si="18"/>
        <v>#VALUE!</v>
      </c>
      <c r="F164" s="33" t="e">
        <f t="shared" si="19"/>
        <v>#VALUE!</v>
      </c>
      <c r="G164" s="33" t="str">
        <f t="shared" si="20"/>
        <v/>
      </c>
      <c r="H164" s="33" t="str">
        <f t="shared" si="23"/>
        <v/>
      </c>
      <c r="I164" s="33" t="e">
        <f t="shared" si="21"/>
        <v>#VALUE!</v>
      </c>
      <c r="J164" s="33">
        <f>SUM($H$18:$H164)</f>
        <v>0</v>
      </c>
    </row>
    <row r="165" spans="1:10">
      <c r="A165" s="36" t="str">
        <f>IF(Values_Entered,A164+1,"")</f>
        <v/>
      </c>
      <c r="B165" s="35" t="str">
        <f t="shared" si="16"/>
        <v/>
      </c>
      <c r="C165" s="33" t="str">
        <f t="shared" si="22"/>
        <v/>
      </c>
      <c r="D165" s="33" t="str">
        <f t="shared" si="17"/>
        <v/>
      </c>
      <c r="E165" s="34" t="e">
        <f t="shared" si="18"/>
        <v>#VALUE!</v>
      </c>
      <c r="F165" s="33" t="e">
        <f t="shared" si="19"/>
        <v>#VALUE!</v>
      </c>
      <c r="G165" s="33" t="str">
        <f t="shared" si="20"/>
        <v/>
      </c>
      <c r="H165" s="33" t="str">
        <f t="shared" si="23"/>
        <v/>
      </c>
      <c r="I165" s="33" t="e">
        <f t="shared" si="21"/>
        <v>#VALUE!</v>
      </c>
      <c r="J165" s="33">
        <f>SUM($H$18:$H165)</f>
        <v>0</v>
      </c>
    </row>
    <row r="166" spans="1:10">
      <c r="A166" s="36" t="str">
        <f>IF(Values_Entered,A165+1,"")</f>
        <v/>
      </c>
      <c r="B166" s="35" t="str">
        <f t="shared" si="16"/>
        <v/>
      </c>
      <c r="C166" s="33" t="str">
        <f t="shared" si="22"/>
        <v/>
      </c>
      <c r="D166" s="33" t="str">
        <f t="shared" si="17"/>
        <v/>
      </c>
      <c r="E166" s="34" t="e">
        <f t="shared" si="18"/>
        <v>#VALUE!</v>
      </c>
      <c r="F166" s="33" t="e">
        <f t="shared" si="19"/>
        <v>#VALUE!</v>
      </c>
      <c r="G166" s="33" t="str">
        <f t="shared" si="20"/>
        <v/>
      </c>
      <c r="H166" s="33" t="str">
        <f t="shared" si="23"/>
        <v/>
      </c>
      <c r="I166" s="33" t="e">
        <f t="shared" si="21"/>
        <v>#VALUE!</v>
      </c>
      <c r="J166" s="33">
        <f>SUM($H$18:$H166)</f>
        <v>0</v>
      </c>
    </row>
    <row r="167" spans="1:10">
      <c r="A167" s="36" t="str">
        <f>IF(Values_Entered,A166+1,"")</f>
        <v/>
      </c>
      <c r="B167" s="35" t="str">
        <f t="shared" si="16"/>
        <v/>
      </c>
      <c r="C167" s="33" t="str">
        <f t="shared" si="22"/>
        <v/>
      </c>
      <c r="D167" s="33" t="str">
        <f t="shared" si="17"/>
        <v/>
      </c>
      <c r="E167" s="34" t="e">
        <f t="shared" si="18"/>
        <v>#VALUE!</v>
      </c>
      <c r="F167" s="33" t="e">
        <f t="shared" si="19"/>
        <v>#VALUE!</v>
      </c>
      <c r="G167" s="33" t="str">
        <f t="shared" si="20"/>
        <v/>
      </c>
      <c r="H167" s="33" t="str">
        <f t="shared" si="23"/>
        <v/>
      </c>
      <c r="I167" s="33" t="e">
        <f t="shared" si="21"/>
        <v>#VALUE!</v>
      </c>
      <c r="J167" s="33">
        <f>SUM($H$18:$H167)</f>
        <v>0</v>
      </c>
    </row>
    <row r="168" spans="1:10">
      <c r="A168" s="36" t="str">
        <f>IF(Values_Entered,A167+1,"")</f>
        <v/>
      </c>
      <c r="B168" s="35" t="str">
        <f t="shared" si="16"/>
        <v/>
      </c>
      <c r="C168" s="33" t="str">
        <f t="shared" si="22"/>
        <v/>
      </c>
      <c r="D168" s="33" t="str">
        <f t="shared" si="17"/>
        <v/>
      </c>
      <c r="E168" s="34" t="e">
        <f t="shared" si="18"/>
        <v>#VALUE!</v>
      </c>
      <c r="F168" s="33" t="e">
        <f t="shared" si="19"/>
        <v>#VALUE!</v>
      </c>
      <c r="G168" s="33" t="str">
        <f t="shared" si="20"/>
        <v/>
      </c>
      <c r="H168" s="33" t="str">
        <f t="shared" si="23"/>
        <v/>
      </c>
      <c r="I168" s="33" t="e">
        <f t="shared" si="21"/>
        <v>#VALUE!</v>
      </c>
      <c r="J168" s="33">
        <f>SUM($H$18:$H168)</f>
        <v>0</v>
      </c>
    </row>
    <row r="169" spans="1:10">
      <c r="A169" s="36" t="str">
        <f>IF(Values_Entered,A168+1,"")</f>
        <v/>
      </c>
      <c r="B169" s="35" t="str">
        <f t="shared" si="16"/>
        <v/>
      </c>
      <c r="C169" s="33" t="str">
        <f t="shared" si="22"/>
        <v/>
      </c>
      <c r="D169" s="33" t="str">
        <f t="shared" si="17"/>
        <v/>
      </c>
      <c r="E169" s="34" t="e">
        <f t="shared" si="18"/>
        <v>#VALUE!</v>
      </c>
      <c r="F169" s="33" t="e">
        <f t="shared" si="19"/>
        <v>#VALUE!</v>
      </c>
      <c r="G169" s="33" t="str">
        <f t="shared" si="20"/>
        <v/>
      </c>
      <c r="H169" s="33" t="str">
        <f t="shared" si="23"/>
        <v/>
      </c>
      <c r="I169" s="33" t="e">
        <f t="shared" si="21"/>
        <v>#VALUE!</v>
      </c>
      <c r="J169" s="33">
        <f>SUM($H$18:$H169)</f>
        <v>0</v>
      </c>
    </row>
    <row r="170" spans="1:10">
      <c r="A170" s="36" t="str">
        <f>IF(Values_Entered,A169+1,"")</f>
        <v/>
      </c>
      <c r="B170" s="35" t="str">
        <f t="shared" si="16"/>
        <v/>
      </c>
      <c r="C170" s="33" t="str">
        <f t="shared" si="22"/>
        <v/>
      </c>
      <c r="D170" s="33" t="str">
        <f t="shared" si="17"/>
        <v/>
      </c>
      <c r="E170" s="34" t="e">
        <f t="shared" si="18"/>
        <v>#VALUE!</v>
      </c>
      <c r="F170" s="33" t="e">
        <f t="shared" si="19"/>
        <v>#VALUE!</v>
      </c>
      <c r="G170" s="33" t="str">
        <f t="shared" si="20"/>
        <v/>
      </c>
      <c r="H170" s="33" t="str">
        <f t="shared" si="23"/>
        <v/>
      </c>
      <c r="I170" s="33" t="e">
        <f t="shared" si="21"/>
        <v>#VALUE!</v>
      </c>
      <c r="J170" s="33">
        <f>SUM($H$18:$H170)</f>
        <v>0</v>
      </c>
    </row>
    <row r="171" spans="1:10">
      <c r="A171" s="36" t="str">
        <f>IF(Values_Entered,A170+1,"")</f>
        <v/>
      </c>
      <c r="B171" s="35" t="str">
        <f t="shared" si="16"/>
        <v/>
      </c>
      <c r="C171" s="33" t="str">
        <f t="shared" si="22"/>
        <v/>
      </c>
      <c r="D171" s="33" t="str">
        <f t="shared" si="17"/>
        <v/>
      </c>
      <c r="E171" s="34" t="e">
        <f t="shared" si="18"/>
        <v>#VALUE!</v>
      </c>
      <c r="F171" s="33" t="e">
        <f t="shared" si="19"/>
        <v>#VALUE!</v>
      </c>
      <c r="G171" s="33" t="str">
        <f t="shared" si="20"/>
        <v/>
      </c>
      <c r="H171" s="33" t="str">
        <f t="shared" si="23"/>
        <v/>
      </c>
      <c r="I171" s="33" t="e">
        <f t="shared" si="21"/>
        <v>#VALUE!</v>
      </c>
      <c r="J171" s="33">
        <f>SUM($H$18:$H171)</f>
        <v>0</v>
      </c>
    </row>
    <row r="172" spans="1:10">
      <c r="A172" s="36" t="str">
        <f>IF(Values_Entered,A171+1,"")</f>
        <v/>
      </c>
      <c r="B172" s="35" t="str">
        <f t="shared" si="16"/>
        <v/>
      </c>
      <c r="C172" s="33" t="str">
        <f t="shared" si="22"/>
        <v/>
      </c>
      <c r="D172" s="33" t="str">
        <f t="shared" si="17"/>
        <v/>
      </c>
      <c r="E172" s="34" t="e">
        <f t="shared" si="18"/>
        <v>#VALUE!</v>
      </c>
      <c r="F172" s="33" t="e">
        <f t="shared" si="19"/>
        <v>#VALUE!</v>
      </c>
      <c r="G172" s="33" t="str">
        <f t="shared" si="20"/>
        <v/>
      </c>
      <c r="H172" s="33" t="str">
        <f t="shared" si="23"/>
        <v/>
      </c>
      <c r="I172" s="33" t="e">
        <f t="shared" si="21"/>
        <v>#VALUE!</v>
      </c>
      <c r="J172" s="33">
        <f>SUM($H$18:$H172)</f>
        <v>0</v>
      </c>
    </row>
    <row r="173" spans="1:10">
      <c r="A173" s="36" t="str">
        <f>IF(Values_Entered,A172+1,"")</f>
        <v/>
      </c>
      <c r="B173" s="35" t="str">
        <f t="shared" si="16"/>
        <v/>
      </c>
      <c r="C173" s="33" t="str">
        <f t="shared" si="22"/>
        <v/>
      </c>
      <c r="D173" s="33" t="str">
        <f t="shared" si="17"/>
        <v/>
      </c>
      <c r="E173" s="34" t="e">
        <f t="shared" si="18"/>
        <v>#VALUE!</v>
      </c>
      <c r="F173" s="33" t="e">
        <f t="shared" si="19"/>
        <v>#VALUE!</v>
      </c>
      <c r="G173" s="33" t="str">
        <f t="shared" si="20"/>
        <v/>
      </c>
      <c r="H173" s="33" t="str">
        <f t="shared" si="23"/>
        <v/>
      </c>
      <c r="I173" s="33" t="e">
        <f t="shared" si="21"/>
        <v>#VALUE!</v>
      </c>
      <c r="J173" s="33">
        <f>SUM($H$18:$H173)</f>
        <v>0</v>
      </c>
    </row>
    <row r="174" spans="1:10">
      <c r="A174" s="36" t="str">
        <f>IF(Values_Entered,A173+1,"")</f>
        <v/>
      </c>
      <c r="B174" s="35" t="str">
        <f t="shared" si="16"/>
        <v/>
      </c>
      <c r="C174" s="33" t="str">
        <f t="shared" si="22"/>
        <v/>
      </c>
      <c r="D174" s="33" t="str">
        <f t="shared" si="17"/>
        <v/>
      </c>
      <c r="E174" s="34" t="e">
        <f t="shared" si="18"/>
        <v>#VALUE!</v>
      </c>
      <c r="F174" s="33" t="e">
        <f t="shared" si="19"/>
        <v>#VALUE!</v>
      </c>
      <c r="G174" s="33" t="str">
        <f t="shared" si="20"/>
        <v/>
      </c>
      <c r="H174" s="33" t="str">
        <f t="shared" si="23"/>
        <v/>
      </c>
      <c r="I174" s="33" t="e">
        <f t="shared" si="21"/>
        <v>#VALUE!</v>
      </c>
      <c r="J174" s="33">
        <f>SUM($H$18:$H174)</f>
        <v>0</v>
      </c>
    </row>
    <row r="175" spans="1:10">
      <c r="A175" s="36" t="str">
        <f>IF(Values_Entered,A174+1,"")</f>
        <v/>
      </c>
      <c r="B175" s="35" t="str">
        <f t="shared" si="16"/>
        <v/>
      </c>
      <c r="C175" s="33" t="str">
        <f t="shared" si="22"/>
        <v/>
      </c>
      <c r="D175" s="33" t="str">
        <f t="shared" si="17"/>
        <v/>
      </c>
      <c r="E175" s="34" t="e">
        <f t="shared" si="18"/>
        <v>#VALUE!</v>
      </c>
      <c r="F175" s="33" t="e">
        <f t="shared" si="19"/>
        <v>#VALUE!</v>
      </c>
      <c r="G175" s="33" t="str">
        <f t="shared" si="20"/>
        <v/>
      </c>
      <c r="H175" s="33" t="str">
        <f t="shared" si="23"/>
        <v/>
      </c>
      <c r="I175" s="33" t="e">
        <f t="shared" si="21"/>
        <v>#VALUE!</v>
      </c>
      <c r="J175" s="33">
        <f>SUM($H$18:$H175)</f>
        <v>0</v>
      </c>
    </row>
    <row r="176" spans="1:10">
      <c r="A176" s="36" t="str">
        <f>IF(Values_Entered,A175+1,"")</f>
        <v/>
      </c>
      <c r="B176" s="35" t="str">
        <f t="shared" si="16"/>
        <v/>
      </c>
      <c r="C176" s="33" t="str">
        <f t="shared" si="22"/>
        <v/>
      </c>
      <c r="D176" s="33" t="str">
        <f t="shared" si="17"/>
        <v/>
      </c>
      <c r="E176" s="34" t="e">
        <f t="shared" si="18"/>
        <v>#VALUE!</v>
      </c>
      <c r="F176" s="33" t="e">
        <f t="shared" si="19"/>
        <v>#VALUE!</v>
      </c>
      <c r="G176" s="33" t="str">
        <f t="shared" si="20"/>
        <v/>
      </c>
      <c r="H176" s="33" t="str">
        <f t="shared" si="23"/>
        <v/>
      </c>
      <c r="I176" s="33" t="e">
        <f t="shared" si="21"/>
        <v>#VALUE!</v>
      </c>
      <c r="J176" s="33">
        <f>SUM($H$18:$H176)</f>
        <v>0</v>
      </c>
    </row>
    <row r="177" spans="1:10">
      <c r="A177" s="36" t="str">
        <f>IF(Values_Entered,A176+1,"")</f>
        <v/>
      </c>
      <c r="B177" s="35" t="str">
        <f t="shared" si="16"/>
        <v/>
      </c>
      <c r="C177" s="33" t="str">
        <f t="shared" si="22"/>
        <v/>
      </c>
      <c r="D177" s="33" t="str">
        <f t="shared" si="17"/>
        <v/>
      </c>
      <c r="E177" s="34" t="e">
        <f t="shared" si="18"/>
        <v>#VALUE!</v>
      </c>
      <c r="F177" s="33" t="e">
        <f t="shared" si="19"/>
        <v>#VALUE!</v>
      </c>
      <c r="G177" s="33" t="str">
        <f t="shared" si="20"/>
        <v/>
      </c>
      <c r="H177" s="33" t="str">
        <f t="shared" si="23"/>
        <v/>
      </c>
      <c r="I177" s="33" t="e">
        <f t="shared" si="21"/>
        <v>#VALUE!</v>
      </c>
      <c r="J177" s="33">
        <f>SUM($H$18:$H177)</f>
        <v>0</v>
      </c>
    </row>
    <row r="178" spans="1:10">
      <c r="A178" s="36" t="str">
        <f>IF(Values_Entered,A177+1,"")</f>
        <v/>
      </c>
      <c r="B178" s="35" t="str">
        <f t="shared" si="16"/>
        <v/>
      </c>
      <c r="C178" s="33" t="str">
        <f t="shared" si="22"/>
        <v/>
      </c>
      <c r="D178" s="33" t="str">
        <f t="shared" si="17"/>
        <v/>
      </c>
      <c r="E178" s="34" t="e">
        <f t="shared" si="18"/>
        <v>#VALUE!</v>
      </c>
      <c r="F178" s="33" t="e">
        <f t="shared" si="19"/>
        <v>#VALUE!</v>
      </c>
      <c r="G178" s="33" t="str">
        <f t="shared" si="20"/>
        <v/>
      </c>
      <c r="H178" s="33" t="str">
        <f t="shared" si="23"/>
        <v/>
      </c>
      <c r="I178" s="33" t="e">
        <f t="shared" si="21"/>
        <v>#VALUE!</v>
      </c>
      <c r="J178" s="33">
        <f>SUM($H$18:$H178)</f>
        <v>0</v>
      </c>
    </row>
    <row r="179" spans="1:10">
      <c r="A179" s="36" t="str">
        <f>IF(Values_Entered,A178+1,"")</f>
        <v/>
      </c>
      <c r="B179" s="35" t="str">
        <f t="shared" si="16"/>
        <v/>
      </c>
      <c r="C179" s="33" t="str">
        <f t="shared" si="22"/>
        <v/>
      </c>
      <c r="D179" s="33" t="str">
        <f t="shared" si="17"/>
        <v/>
      </c>
      <c r="E179" s="34" t="e">
        <f t="shared" si="18"/>
        <v>#VALUE!</v>
      </c>
      <c r="F179" s="33" t="e">
        <f t="shared" si="19"/>
        <v>#VALUE!</v>
      </c>
      <c r="G179" s="33" t="str">
        <f t="shared" si="20"/>
        <v/>
      </c>
      <c r="H179" s="33" t="str">
        <f t="shared" si="23"/>
        <v/>
      </c>
      <c r="I179" s="33" t="e">
        <f t="shared" si="21"/>
        <v>#VALUE!</v>
      </c>
      <c r="J179" s="33">
        <f>SUM($H$18:$H179)</f>
        <v>0</v>
      </c>
    </row>
    <row r="180" spans="1:10">
      <c r="A180" s="36" t="str">
        <f>IF(Values_Entered,A179+1,"")</f>
        <v/>
      </c>
      <c r="B180" s="35" t="str">
        <f t="shared" si="16"/>
        <v/>
      </c>
      <c r="C180" s="33" t="str">
        <f t="shared" si="22"/>
        <v/>
      </c>
      <c r="D180" s="33" t="str">
        <f t="shared" si="17"/>
        <v/>
      </c>
      <c r="E180" s="34" t="e">
        <f t="shared" si="18"/>
        <v>#VALUE!</v>
      </c>
      <c r="F180" s="33" t="e">
        <f t="shared" si="19"/>
        <v>#VALUE!</v>
      </c>
      <c r="G180" s="33" t="str">
        <f t="shared" si="20"/>
        <v/>
      </c>
      <c r="H180" s="33" t="str">
        <f t="shared" si="23"/>
        <v/>
      </c>
      <c r="I180" s="33" t="e">
        <f t="shared" si="21"/>
        <v>#VALUE!</v>
      </c>
      <c r="J180" s="33">
        <f>SUM($H$18:$H180)</f>
        <v>0</v>
      </c>
    </row>
    <row r="181" spans="1:10">
      <c r="A181" s="36" t="str">
        <f>IF(Values_Entered,A180+1,"")</f>
        <v/>
      </c>
      <c r="B181" s="35" t="str">
        <f t="shared" si="16"/>
        <v/>
      </c>
      <c r="C181" s="33" t="str">
        <f t="shared" si="22"/>
        <v/>
      </c>
      <c r="D181" s="33" t="str">
        <f t="shared" si="17"/>
        <v/>
      </c>
      <c r="E181" s="34" t="e">
        <f t="shared" si="18"/>
        <v>#VALUE!</v>
      </c>
      <c r="F181" s="33" t="e">
        <f t="shared" si="19"/>
        <v>#VALUE!</v>
      </c>
      <c r="G181" s="33" t="str">
        <f t="shared" si="20"/>
        <v/>
      </c>
      <c r="H181" s="33" t="str">
        <f t="shared" si="23"/>
        <v/>
      </c>
      <c r="I181" s="33" t="e">
        <f t="shared" si="21"/>
        <v>#VALUE!</v>
      </c>
      <c r="J181" s="33">
        <f>SUM($H$18:$H181)</f>
        <v>0</v>
      </c>
    </row>
    <row r="182" spans="1:10">
      <c r="A182" s="36" t="str">
        <f>IF(Values_Entered,A181+1,"")</f>
        <v/>
      </c>
      <c r="B182" s="35" t="str">
        <f t="shared" si="16"/>
        <v/>
      </c>
      <c r="C182" s="33" t="str">
        <f t="shared" si="22"/>
        <v/>
      </c>
      <c r="D182" s="33" t="str">
        <f t="shared" si="17"/>
        <v/>
      </c>
      <c r="E182" s="34" t="e">
        <f t="shared" si="18"/>
        <v>#VALUE!</v>
      </c>
      <c r="F182" s="33" t="e">
        <f t="shared" si="19"/>
        <v>#VALUE!</v>
      </c>
      <c r="G182" s="33" t="str">
        <f t="shared" si="20"/>
        <v/>
      </c>
      <c r="H182" s="33" t="str">
        <f t="shared" si="23"/>
        <v/>
      </c>
      <c r="I182" s="33" t="e">
        <f t="shared" si="21"/>
        <v>#VALUE!</v>
      </c>
      <c r="J182" s="33">
        <f>SUM($H$18:$H182)</f>
        <v>0</v>
      </c>
    </row>
    <row r="183" spans="1:10">
      <c r="A183" s="36" t="str">
        <f>IF(Values_Entered,A182+1,"")</f>
        <v/>
      </c>
      <c r="B183" s="35" t="str">
        <f t="shared" si="16"/>
        <v/>
      </c>
      <c r="C183" s="33" t="str">
        <f t="shared" si="22"/>
        <v/>
      </c>
      <c r="D183" s="33" t="str">
        <f t="shared" si="17"/>
        <v/>
      </c>
      <c r="E183" s="34" t="e">
        <f t="shared" si="18"/>
        <v>#VALUE!</v>
      </c>
      <c r="F183" s="33" t="e">
        <f t="shared" si="19"/>
        <v>#VALUE!</v>
      </c>
      <c r="G183" s="33" t="str">
        <f t="shared" si="20"/>
        <v/>
      </c>
      <c r="H183" s="33" t="str">
        <f t="shared" si="23"/>
        <v/>
      </c>
      <c r="I183" s="33" t="e">
        <f t="shared" si="21"/>
        <v>#VALUE!</v>
      </c>
      <c r="J183" s="33">
        <f>SUM($H$18:$H183)</f>
        <v>0</v>
      </c>
    </row>
    <row r="184" spans="1:10">
      <c r="A184" s="36" t="str">
        <f>IF(Values_Entered,A183+1,"")</f>
        <v/>
      </c>
      <c r="B184" s="35" t="str">
        <f t="shared" si="16"/>
        <v/>
      </c>
      <c r="C184" s="33" t="str">
        <f t="shared" si="22"/>
        <v/>
      </c>
      <c r="D184" s="33" t="str">
        <f t="shared" si="17"/>
        <v/>
      </c>
      <c r="E184" s="34" t="e">
        <f t="shared" si="18"/>
        <v>#VALUE!</v>
      </c>
      <c r="F184" s="33" t="e">
        <f t="shared" si="19"/>
        <v>#VALUE!</v>
      </c>
      <c r="G184" s="33" t="str">
        <f t="shared" si="20"/>
        <v/>
      </c>
      <c r="H184" s="33" t="str">
        <f t="shared" si="23"/>
        <v/>
      </c>
      <c r="I184" s="33" t="e">
        <f t="shared" si="21"/>
        <v>#VALUE!</v>
      </c>
      <c r="J184" s="33">
        <f>SUM($H$18:$H184)</f>
        <v>0</v>
      </c>
    </row>
    <row r="185" spans="1:10">
      <c r="A185" s="36" t="str">
        <f>IF(Values_Entered,A184+1,"")</f>
        <v/>
      </c>
      <c r="B185" s="35" t="str">
        <f t="shared" si="16"/>
        <v/>
      </c>
      <c r="C185" s="33" t="str">
        <f t="shared" si="22"/>
        <v/>
      </c>
      <c r="D185" s="33" t="str">
        <f t="shared" si="17"/>
        <v/>
      </c>
      <c r="E185" s="34" t="e">
        <f t="shared" si="18"/>
        <v>#VALUE!</v>
      </c>
      <c r="F185" s="33" t="e">
        <f t="shared" si="19"/>
        <v>#VALUE!</v>
      </c>
      <c r="G185" s="33" t="str">
        <f t="shared" si="20"/>
        <v/>
      </c>
      <c r="H185" s="33" t="str">
        <f t="shared" si="23"/>
        <v/>
      </c>
      <c r="I185" s="33" t="e">
        <f t="shared" si="21"/>
        <v>#VALUE!</v>
      </c>
      <c r="J185" s="33">
        <f>SUM($H$18:$H185)</f>
        <v>0</v>
      </c>
    </row>
    <row r="186" spans="1:10">
      <c r="A186" s="36" t="str">
        <f>IF(Values_Entered,A185+1,"")</f>
        <v/>
      </c>
      <c r="B186" s="35" t="str">
        <f t="shared" si="16"/>
        <v/>
      </c>
      <c r="C186" s="33" t="str">
        <f t="shared" si="22"/>
        <v/>
      </c>
      <c r="D186" s="33" t="str">
        <f t="shared" si="17"/>
        <v/>
      </c>
      <c r="E186" s="34" t="e">
        <f t="shared" si="18"/>
        <v>#VALUE!</v>
      </c>
      <c r="F186" s="33" t="e">
        <f t="shared" si="19"/>
        <v>#VALUE!</v>
      </c>
      <c r="G186" s="33" t="str">
        <f t="shared" si="20"/>
        <v/>
      </c>
      <c r="H186" s="33" t="str">
        <f t="shared" si="23"/>
        <v/>
      </c>
      <c r="I186" s="33" t="e">
        <f t="shared" si="21"/>
        <v>#VALUE!</v>
      </c>
      <c r="J186" s="33">
        <f>SUM($H$18:$H186)</f>
        <v>0</v>
      </c>
    </row>
    <row r="187" spans="1:10">
      <c r="A187" s="36" t="str">
        <f>IF(Values_Entered,A186+1,"")</f>
        <v/>
      </c>
      <c r="B187" s="35" t="str">
        <f t="shared" si="16"/>
        <v/>
      </c>
      <c r="C187" s="33" t="str">
        <f t="shared" si="22"/>
        <v/>
      </c>
      <c r="D187" s="33" t="str">
        <f t="shared" si="17"/>
        <v/>
      </c>
      <c r="E187" s="34" t="e">
        <f t="shared" si="18"/>
        <v>#VALUE!</v>
      </c>
      <c r="F187" s="33" t="e">
        <f t="shared" si="19"/>
        <v>#VALUE!</v>
      </c>
      <c r="G187" s="33" t="str">
        <f t="shared" si="20"/>
        <v/>
      </c>
      <c r="H187" s="33" t="str">
        <f t="shared" si="23"/>
        <v/>
      </c>
      <c r="I187" s="33" t="e">
        <f t="shared" si="21"/>
        <v>#VALUE!</v>
      </c>
      <c r="J187" s="33">
        <f>SUM($H$18:$H187)</f>
        <v>0</v>
      </c>
    </row>
    <row r="188" spans="1:10">
      <c r="A188" s="36" t="str">
        <f>IF(Values_Entered,A187+1,"")</f>
        <v/>
      </c>
      <c r="B188" s="35" t="str">
        <f t="shared" si="16"/>
        <v/>
      </c>
      <c r="C188" s="33" t="str">
        <f t="shared" si="22"/>
        <v/>
      </c>
      <c r="D188" s="33" t="str">
        <f t="shared" si="17"/>
        <v/>
      </c>
      <c r="E188" s="34" t="e">
        <f t="shared" si="18"/>
        <v>#VALUE!</v>
      </c>
      <c r="F188" s="33" t="e">
        <f t="shared" si="19"/>
        <v>#VALUE!</v>
      </c>
      <c r="G188" s="33" t="str">
        <f t="shared" si="20"/>
        <v/>
      </c>
      <c r="H188" s="33" t="str">
        <f t="shared" si="23"/>
        <v/>
      </c>
      <c r="I188" s="33" t="e">
        <f t="shared" si="21"/>
        <v>#VALUE!</v>
      </c>
      <c r="J188" s="33">
        <f>SUM($H$18:$H188)</f>
        <v>0</v>
      </c>
    </row>
    <row r="189" spans="1:10">
      <c r="A189" s="36" t="str">
        <f>IF(Values_Entered,A188+1,"")</f>
        <v/>
      </c>
      <c r="B189" s="35" t="str">
        <f t="shared" si="16"/>
        <v/>
      </c>
      <c r="C189" s="33" t="str">
        <f t="shared" si="22"/>
        <v/>
      </c>
      <c r="D189" s="33" t="str">
        <f t="shared" si="17"/>
        <v/>
      </c>
      <c r="E189" s="34" t="e">
        <f t="shared" si="18"/>
        <v>#VALUE!</v>
      </c>
      <c r="F189" s="33" t="e">
        <f t="shared" si="19"/>
        <v>#VALUE!</v>
      </c>
      <c r="G189" s="33" t="str">
        <f t="shared" si="20"/>
        <v/>
      </c>
      <c r="H189" s="33" t="str">
        <f t="shared" si="23"/>
        <v/>
      </c>
      <c r="I189" s="33" t="e">
        <f t="shared" si="21"/>
        <v>#VALUE!</v>
      </c>
      <c r="J189" s="33">
        <f>SUM($H$18:$H189)</f>
        <v>0</v>
      </c>
    </row>
    <row r="190" spans="1:10">
      <c r="A190" s="36" t="str">
        <f>IF(Values_Entered,A189+1,"")</f>
        <v/>
      </c>
      <c r="B190" s="35" t="str">
        <f t="shared" si="16"/>
        <v/>
      </c>
      <c r="C190" s="33" t="str">
        <f t="shared" si="22"/>
        <v/>
      </c>
      <c r="D190" s="33" t="str">
        <f t="shared" si="17"/>
        <v/>
      </c>
      <c r="E190" s="34" t="e">
        <f t="shared" si="18"/>
        <v>#VALUE!</v>
      </c>
      <c r="F190" s="33" t="e">
        <f t="shared" si="19"/>
        <v>#VALUE!</v>
      </c>
      <c r="G190" s="33" t="str">
        <f t="shared" si="20"/>
        <v/>
      </c>
      <c r="H190" s="33" t="str">
        <f t="shared" si="23"/>
        <v/>
      </c>
      <c r="I190" s="33" t="e">
        <f t="shared" si="21"/>
        <v>#VALUE!</v>
      </c>
      <c r="J190" s="33">
        <f>SUM($H$18:$H190)</f>
        <v>0</v>
      </c>
    </row>
    <row r="191" spans="1:10">
      <c r="A191" s="36" t="str">
        <f>IF(Values_Entered,A190+1,"")</f>
        <v/>
      </c>
      <c r="B191" s="35" t="str">
        <f t="shared" si="16"/>
        <v/>
      </c>
      <c r="C191" s="33" t="str">
        <f t="shared" si="22"/>
        <v/>
      </c>
      <c r="D191" s="33" t="str">
        <f t="shared" si="17"/>
        <v/>
      </c>
      <c r="E191" s="34" t="e">
        <f t="shared" si="18"/>
        <v>#VALUE!</v>
      </c>
      <c r="F191" s="33" t="e">
        <f t="shared" si="19"/>
        <v>#VALUE!</v>
      </c>
      <c r="G191" s="33" t="str">
        <f t="shared" si="20"/>
        <v/>
      </c>
      <c r="H191" s="33" t="str">
        <f t="shared" si="23"/>
        <v/>
      </c>
      <c r="I191" s="33" t="e">
        <f t="shared" si="21"/>
        <v>#VALUE!</v>
      </c>
      <c r="J191" s="33">
        <f>SUM($H$18:$H191)</f>
        <v>0</v>
      </c>
    </row>
    <row r="192" spans="1:10">
      <c r="A192" s="36" t="str">
        <f>IF(Values_Entered,A191+1,"")</f>
        <v/>
      </c>
      <c r="B192" s="35" t="str">
        <f t="shared" si="16"/>
        <v/>
      </c>
      <c r="C192" s="33" t="str">
        <f t="shared" si="22"/>
        <v/>
      </c>
      <c r="D192" s="33" t="str">
        <f t="shared" si="17"/>
        <v/>
      </c>
      <c r="E192" s="34" t="e">
        <f t="shared" si="18"/>
        <v>#VALUE!</v>
      </c>
      <c r="F192" s="33" t="e">
        <f t="shared" si="19"/>
        <v>#VALUE!</v>
      </c>
      <c r="G192" s="33" t="str">
        <f t="shared" si="20"/>
        <v/>
      </c>
      <c r="H192" s="33" t="str">
        <f t="shared" si="23"/>
        <v/>
      </c>
      <c r="I192" s="33" t="e">
        <f t="shared" si="21"/>
        <v>#VALUE!</v>
      </c>
      <c r="J192" s="33">
        <f>SUM($H$18:$H192)</f>
        <v>0</v>
      </c>
    </row>
    <row r="193" spans="1:10">
      <c r="A193" s="36" t="str">
        <f>IF(Values_Entered,A192+1,"")</f>
        <v/>
      </c>
      <c r="B193" s="35" t="str">
        <f t="shared" si="16"/>
        <v/>
      </c>
      <c r="C193" s="33" t="str">
        <f t="shared" si="22"/>
        <v/>
      </c>
      <c r="D193" s="33" t="str">
        <f t="shared" si="17"/>
        <v/>
      </c>
      <c r="E193" s="34" t="e">
        <f t="shared" si="18"/>
        <v>#VALUE!</v>
      </c>
      <c r="F193" s="33" t="e">
        <f t="shared" si="19"/>
        <v>#VALUE!</v>
      </c>
      <c r="G193" s="33" t="str">
        <f t="shared" si="20"/>
        <v/>
      </c>
      <c r="H193" s="33" t="str">
        <f t="shared" si="23"/>
        <v/>
      </c>
      <c r="I193" s="33" t="e">
        <f t="shared" si="21"/>
        <v>#VALUE!</v>
      </c>
      <c r="J193" s="33">
        <f>SUM($H$18:$H193)</f>
        <v>0</v>
      </c>
    </row>
    <row r="194" spans="1:10">
      <c r="A194" s="36" t="str">
        <f>IF(Values_Entered,A193+1,"")</f>
        <v/>
      </c>
      <c r="B194" s="35" t="str">
        <f t="shared" si="16"/>
        <v/>
      </c>
      <c r="C194" s="33" t="str">
        <f t="shared" si="22"/>
        <v/>
      </c>
      <c r="D194" s="33" t="str">
        <f t="shared" si="17"/>
        <v/>
      </c>
      <c r="E194" s="34" t="e">
        <f t="shared" si="18"/>
        <v>#VALUE!</v>
      </c>
      <c r="F194" s="33" t="e">
        <f t="shared" si="19"/>
        <v>#VALUE!</v>
      </c>
      <c r="G194" s="33" t="str">
        <f t="shared" si="20"/>
        <v/>
      </c>
      <c r="H194" s="33" t="str">
        <f t="shared" si="23"/>
        <v/>
      </c>
      <c r="I194" s="33" t="e">
        <f t="shared" si="21"/>
        <v>#VALUE!</v>
      </c>
      <c r="J194" s="33">
        <f>SUM($H$18:$H194)</f>
        <v>0</v>
      </c>
    </row>
    <row r="195" spans="1:10">
      <c r="A195" s="36" t="str">
        <f>IF(Values_Entered,A194+1,"")</f>
        <v/>
      </c>
      <c r="B195" s="35" t="str">
        <f t="shared" si="16"/>
        <v/>
      </c>
      <c r="C195" s="33" t="str">
        <f t="shared" si="22"/>
        <v/>
      </c>
      <c r="D195" s="33" t="str">
        <f t="shared" si="17"/>
        <v/>
      </c>
      <c r="E195" s="34" t="e">
        <f t="shared" si="18"/>
        <v>#VALUE!</v>
      </c>
      <c r="F195" s="33" t="e">
        <f t="shared" si="19"/>
        <v>#VALUE!</v>
      </c>
      <c r="G195" s="33" t="str">
        <f t="shared" si="20"/>
        <v/>
      </c>
      <c r="H195" s="33" t="str">
        <f t="shared" si="23"/>
        <v/>
      </c>
      <c r="I195" s="33" t="e">
        <f t="shared" si="21"/>
        <v>#VALUE!</v>
      </c>
      <c r="J195" s="33">
        <f>SUM($H$18:$H195)</f>
        <v>0</v>
      </c>
    </row>
    <row r="196" spans="1:10">
      <c r="A196" s="36" t="str">
        <f>IF(Values_Entered,A195+1,"")</f>
        <v/>
      </c>
      <c r="B196" s="35" t="str">
        <f t="shared" si="16"/>
        <v/>
      </c>
      <c r="C196" s="33" t="str">
        <f t="shared" si="22"/>
        <v/>
      </c>
      <c r="D196" s="33" t="str">
        <f t="shared" si="17"/>
        <v/>
      </c>
      <c r="E196" s="34" t="e">
        <f t="shared" si="18"/>
        <v>#VALUE!</v>
      </c>
      <c r="F196" s="33" t="e">
        <f t="shared" si="19"/>
        <v>#VALUE!</v>
      </c>
      <c r="G196" s="33" t="str">
        <f t="shared" si="20"/>
        <v/>
      </c>
      <c r="H196" s="33" t="str">
        <f t="shared" si="23"/>
        <v/>
      </c>
      <c r="I196" s="33" t="e">
        <f t="shared" si="21"/>
        <v>#VALUE!</v>
      </c>
      <c r="J196" s="33">
        <f>SUM($H$18:$H196)</f>
        <v>0</v>
      </c>
    </row>
    <row r="197" spans="1:10">
      <c r="A197" s="36" t="str">
        <f>IF(Values_Entered,A196+1,"")</f>
        <v/>
      </c>
      <c r="B197" s="35" t="str">
        <f t="shared" si="16"/>
        <v/>
      </c>
      <c r="C197" s="33" t="str">
        <f t="shared" si="22"/>
        <v/>
      </c>
      <c r="D197" s="33" t="str">
        <f t="shared" si="17"/>
        <v/>
      </c>
      <c r="E197" s="34" t="e">
        <f t="shared" si="18"/>
        <v>#VALUE!</v>
      </c>
      <c r="F197" s="33" t="e">
        <f t="shared" si="19"/>
        <v>#VALUE!</v>
      </c>
      <c r="G197" s="33" t="str">
        <f t="shared" si="20"/>
        <v/>
      </c>
      <c r="H197" s="33" t="str">
        <f t="shared" si="23"/>
        <v/>
      </c>
      <c r="I197" s="33" t="e">
        <f t="shared" si="21"/>
        <v>#VALUE!</v>
      </c>
      <c r="J197" s="33">
        <f>SUM($H$18:$H197)</f>
        <v>0</v>
      </c>
    </row>
    <row r="198" spans="1:10">
      <c r="A198" s="36" t="str">
        <f>IF(Values_Entered,A197+1,"")</f>
        <v/>
      </c>
      <c r="B198" s="35" t="str">
        <f t="shared" si="16"/>
        <v/>
      </c>
      <c r="C198" s="33" t="str">
        <f t="shared" si="22"/>
        <v/>
      </c>
      <c r="D198" s="33" t="str">
        <f t="shared" si="17"/>
        <v/>
      </c>
      <c r="E198" s="34" t="e">
        <f t="shared" si="18"/>
        <v>#VALUE!</v>
      </c>
      <c r="F198" s="33" t="e">
        <f t="shared" si="19"/>
        <v>#VALUE!</v>
      </c>
      <c r="G198" s="33" t="str">
        <f t="shared" si="20"/>
        <v/>
      </c>
      <c r="H198" s="33" t="str">
        <f t="shared" si="23"/>
        <v/>
      </c>
      <c r="I198" s="33" t="e">
        <f t="shared" si="21"/>
        <v>#VALUE!</v>
      </c>
      <c r="J198" s="33">
        <f>SUM($H$18:$H198)</f>
        <v>0</v>
      </c>
    </row>
    <row r="199" spans="1:10">
      <c r="A199" s="36" t="str">
        <f>IF(Values_Entered,A198+1,"")</f>
        <v/>
      </c>
      <c r="B199" s="35" t="str">
        <f t="shared" si="16"/>
        <v/>
      </c>
      <c r="C199" s="33" t="str">
        <f t="shared" si="22"/>
        <v/>
      </c>
      <c r="D199" s="33" t="str">
        <f t="shared" si="17"/>
        <v/>
      </c>
      <c r="E199" s="34" t="e">
        <f t="shared" si="18"/>
        <v>#VALUE!</v>
      </c>
      <c r="F199" s="33" t="e">
        <f t="shared" si="19"/>
        <v>#VALUE!</v>
      </c>
      <c r="G199" s="33" t="str">
        <f t="shared" si="20"/>
        <v/>
      </c>
      <c r="H199" s="33" t="str">
        <f t="shared" si="23"/>
        <v/>
      </c>
      <c r="I199" s="33" t="e">
        <f t="shared" si="21"/>
        <v>#VALUE!</v>
      </c>
      <c r="J199" s="33">
        <f>SUM($H$18:$H199)</f>
        <v>0</v>
      </c>
    </row>
    <row r="200" spans="1:10">
      <c r="A200" s="36" t="str">
        <f>IF(Values_Entered,A199+1,"")</f>
        <v/>
      </c>
      <c r="B200" s="35" t="str">
        <f t="shared" si="16"/>
        <v/>
      </c>
      <c r="C200" s="33" t="str">
        <f t="shared" si="22"/>
        <v/>
      </c>
      <c r="D200" s="33" t="str">
        <f t="shared" si="17"/>
        <v/>
      </c>
      <c r="E200" s="34" t="e">
        <f t="shared" si="18"/>
        <v>#VALUE!</v>
      </c>
      <c r="F200" s="33" t="e">
        <f t="shared" si="19"/>
        <v>#VALUE!</v>
      </c>
      <c r="G200" s="33" t="str">
        <f t="shared" si="20"/>
        <v/>
      </c>
      <c r="H200" s="33" t="str">
        <f t="shared" si="23"/>
        <v/>
      </c>
      <c r="I200" s="33" t="e">
        <f t="shared" si="21"/>
        <v>#VALUE!</v>
      </c>
      <c r="J200" s="33">
        <f>SUM($H$18:$H200)</f>
        <v>0</v>
      </c>
    </row>
    <row r="201" spans="1:10">
      <c r="A201" s="36" t="str">
        <f>IF(Values_Entered,A200+1,"")</f>
        <v/>
      </c>
      <c r="B201" s="35" t="str">
        <f t="shared" si="16"/>
        <v/>
      </c>
      <c r="C201" s="33" t="str">
        <f t="shared" si="22"/>
        <v/>
      </c>
      <c r="D201" s="33" t="str">
        <f t="shared" si="17"/>
        <v/>
      </c>
      <c r="E201" s="34" t="e">
        <f t="shared" si="18"/>
        <v>#VALUE!</v>
      </c>
      <c r="F201" s="33" t="e">
        <f t="shared" si="19"/>
        <v>#VALUE!</v>
      </c>
      <c r="G201" s="33" t="str">
        <f t="shared" si="20"/>
        <v/>
      </c>
      <c r="H201" s="33" t="str">
        <f t="shared" si="23"/>
        <v/>
      </c>
      <c r="I201" s="33" t="e">
        <f t="shared" si="21"/>
        <v>#VALUE!</v>
      </c>
      <c r="J201" s="33">
        <f>SUM($H$18:$H201)</f>
        <v>0</v>
      </c>
    </row>
    <row r="202" spans="1:10">
      <c r="A202" s="36" t="str">
        <f>IF(Values_Entered,A201+1,"")</f>
        <v/>
      </c>
      <c r="B202" s="35" t="str">
        <f t="shared" si="16"/>
        <v/>
      </c>
      <c r="C202" s="33" t="str">
        <f t="shared" si="22"/>
        <v/>
      </c>
      <c r="D202" s="33" t="str">
        <f t="shared" si="17"/>
        <v/>
      </c>
      <c r="E202" s="34" t="e">
        <f t="shared" si="18"/>
        <v>#VALUE!</v>
      </c>
      <c r="F202" s="33" t="e">
        <f t="shared" si="19"/>
        <v>#VALUE!</v>
      </c>
      <c r="G202" s="33" t="str">
        <f t="shared" si="20"/>
        <v/>
      </c>
      <c r="H202" s="33" t="str">
        <f t="shared" si="23"/>
        <v/>
      </c>
      <c r="I202" s="33" t="e">
        <f t="shared" si="21"/>
        <v>#VALUE!</v>
      </c>
      <c r="J202" s="33">
        <f>SUM($H$18:$H202)</f>
        <v>0</v>
      </c>
    </row>
    <row r="203" spans="1:10">
      <c r="A203" s="36" t="str">
        <f>IF(Values_Entered,A202+1,"")</f>
        <v/>
      </c>
      <c r="B203" s="35" t="str">
        <f t="shared" si="16"/>
        <v/>
      </c>
      <c r="C203" s="33" t="str">
        <f t="shared" si="22"/>
        <v/>
      </c>
      <c r="D203" s="33" t="str">
        <f t="shared" si="17"/>
        <v/>
      </c>
      <c r="E203" s="34" t="e">
        <f t="shared" si="18"/>
        <v>#VALUE!</v>
      </c>
      <c r="F203" s="33" t="e">
        <f t="shared" si="19"/>
        <v>#VALUE!</v>
      </c>
      <c r="G203" s="33" t="str">
        <f t="shared" si="20"/>
        <v/>
      </c>
      <c r="H203" s="33" t="str">
        <f t="shared" si="23"/>
        <v/>
      </c>
      <c r="I203" s="33" t="e">
        <f t="shared" si="21"/>
        <v>#VALUE!</v>
      </c>
      <c r="J203" s="33">
        <f>SUM($H$18:$H203)</f>
        <v>0</v>
      </c>
    </row>
    <row r="204" spans="1:10">
      <c r="A204" s="36" t="str">
        <f>IF(Values_Entered,A203+1,"")</f>
        <v/>
      </c>
      <c r="B204" s="35" t="str">
        <f t="shared" si="16"/>
        <v/>
      </c>
      <c r="C204" s="33" t="str">
        <f t="shared" si="22"/>
        <v/>
      </c>
      <c r="D204" s="33" t="str">
        <f t="shared" si="17"/>
        <v/>
      </c>
      <c r="E204" s="34" t="e">
        <f t="shared" si="18"/>
        <v>#VALUE!</v>
      </c>
      <c r="F204" s="33" t="e">
        <f t="shared" si="19"/>
        <v>#VALUE!</v>
      </c>
      <c r="G204" s="33" t="str">
        <f t="shared" si="20"/>
        <v/>
      </c>
      <c r="H204" s="33" t="str">
        <f t="shared" si="23"/>
        <v/>
      </c>
      <c r="I204" s="33" t="e">
        <f t="shared" si="21"/>
        <v>#VALUE!</v>
      </c>
      <c r="J204" s="33">
        <f>SUM($H$18:$H204)</f>
        <v>0</v>
      </c>
    </row>
    <row r="205" spans="1:10">
      <c r="A205" s="36" t="str">
        <f>IF(Values_Entered,A204+1,"")</f>
        <v/>
      </c>
      <c r="B205" s="35" t="str">
        <f t="shared" si="16"/>
        <v/>
      </c>
      <c r="C205" s="33" t="str">
        <f t="shared" si="22"/>
        <v/>
      </c>
      <c r="D205" s="33" t="str">
        <f t="shared" si="17"/>
        <v/>
      </c>
      <c r="E205" s="34" t="e">
        <f t="shared" si="18"/>
        <v>#VALUE!</v>
      </c>
      <c r="F205" s="33" t="e">
        <f t="shared" si="19"/>
        <v>#VALUE!</v>
      </c>
      <c r="G205" s="33" t="str">
        <f t="shared" si="20"/>
        <v/>
      </c>
      <c r="H205" s="33" t="str">
        <f t="shared" si="23"/>
        <v/>
      </c>
      <c r="I205" s="33" t="e">
        <f t="shared" si="21"/>
        <v>#VALUE!</v>
      </c>
      <c r="J205" s="33">
        <f>SUM($H$18:$H205)</f>
        <v>0</v>
      </c>
    </row>
    <row r="206" spans="1:10">
      <c r="A206" s="36" t="str">
        <f>IF(Values_Entered,A205+1,"")</f>
        <v/>
      </c>
      <c r="B206" s="35" t="str">
        <f t="shared" si="16"/>
        <v/>
      </c>
      <c r="C206" s="33" t="str">
        <f t="shared" si="22"/>
        <v/>
      </c>
      <c r="D206" s="33" t="str">
        <f t="shared" si="17"/>
        <v/>
      </c>
      <c r="E206" s="34" t="e">
        <f t="shared" si="18"/>
        <v>#VALUE!</v>
      </c>
      <c r="F206" s="33" t="e">
        <f t="shared" si="19"/>
        <v>#VALUE!</v>
      </c>
      <c r="G206" s="33" t="str">
        <f t="shared" si="20"/>
        <v/>
      </c>
      <c r="H206" s="33" t="str">
        <f t="shared" si="23"/>
        <v/>
      </c>
      <c r="I206" s="33" t="e">
        <f t="shared" si="21"/>
        <v>#VALUE!</v>
      </c>
      <c r="J206" s="33">
        <f>SUM($H$18:$H206)</f>
        <v>0</v>
      </c>
    </row>
    <row r="207" spans="1:10">
      <c r="A207" s="36" t="str">
        <f>IF(Values_Entered,A206+1,"")</f>
        <v/>
      </c>
      <c r="B207" s="35" t="str">
        <f t="shared" si="16"/>
        <v/>
      </c>
      <c r="C207" s="33" t="str">
        <f t="shared" si="22"/>
        <v/>
      </c>
      <c r="D207" s="33" t="str">
        <f t="shared" si="17"/>
        <v/>
      </c>
      <c r="E207" s="34" t="e">
        <f t="shared" si="18"/>
        <v>#VALUE!</v>
      </c>
      <c r="F207" s="33" t="e">
        <f t="shared" si="19"/>
        <v>#VALUE!</v>
      </c>
      <c r="G207" s="33" t="str">
        <f t="shared" si="20"/>
        <v/>
      </c>
      <c r="H207" s="33" t="str">
        <f t="shared" si="23"/>
        <v/>
      </c>
      <c r="I207" s="33" t="e">
        <f t="shared" si="21"/>
        <v>#VALUE!</v>
      </c>
      <c r="J207" s="33">
        <f>SUM($H$18:$H207)</f>
        <v>0</v>
      </c>
    </row>
    <row r="208" spans="1:10">
      <c r="A208" s="36" t="str">
        <f>IF(Values_Entered,A207+1,"")</f>
        <v/>
      </c>
      <c r="B208" s="35" t="str">
        <f t="shared" si="16"/>
        <v/>
      </c>
      <c r="C208" s="33" t="str">
        <f t="shared" si="22"/>
        <v/>
      </c>
      <c r="D208" s="33" t="str">
        <f t="shared" si="17"/>
        <v/>
      </c>
      <c r="E208" s="34" t="e">
        <f t="shared" si="18"/>
        <v>#VALUE!</v>
      </c>
      <c r="F208" s="33" t="e">
        <f t="shared" si="19"/>
        <v>#VALUE!</v>
      </c>
      <c r="G208" s="33" t="str">
        <f t="shared" si="20"/>
        <v/>
      </c>
      <c r="H208" s="33" t="str">
        <f t="shared" si="23"/>
        <v/>
      </c>
      <c r="I208" s="33" t="e">
        <f t="shared" si="21"/>
        <v>#VALUE!</v>
      </c>
      <c r="J208" s="33">
        <f>SUM($H$18:$H208)</f>
        <v>0</v>
      </c>
    </row>
    <row r="209" spans="1:10">
      <c r="A209" s="36" t="str">
        <f>IF(Values_Entered,A208+1,"")</f>
        <v/>
      </c>
      <c r="B209" s="35" t="str">
        <f t="shared" si="16"/>
        <v/>
      </c>
      <c r="C209" s="33" t="str">
        <f t="shared" si="22"/>
        <v/>
      </c>
      <c r="D209" s="33" t="str">
        <f t="shared" si="17"/>
        <v/>
      </c>
      <c r="E209" s="34" t="e">
        <f t="shared" si="18"/>
        <v>#VALUE!</v>
      </c>
      <c r="F209" s="33" t="e">
        <f t="shared" si="19"/>
        <v>#VALUE!</v>
      </c>
      <c r="G209" s="33" t="str">
        <f t="shared" si="20"/>
        <v/>
      </c>
      <c r="H209" s="33" t="str">
        <f t="shared" si="23"/>
        <v/>
      </c>
      <c r="I209" s="33" t="e">
        <f t="shared" si="21"/>
        <v>#VALUE!</v>
      </c>
      <c r="J209" s="33">
        <f>SUM($H$18:$H209)</f>
        <v>0</v>
      </c>
    </row>
    <row r="210" spans="1:10">
      <c r="A210" s="36" t="str">
        <f>IF(Values_Entered,A209+1,"")</f>
        <v/>
      </c>
      <c r="B210" s="35" t="str">
        <f t="shared" ref="B210:B273" si="24">IF(Pay_Num&lt;&gt;"",DATE(YEAR(Loan_Start),MONTH(Loan_Start)+(Pay_Num)*12/Num_Pmt_Per_Year,DAY(Loan_Start)),"")</f>
        <v/>
      </c>
      <c r="C210" s="33" t="str">
        <f t="shared" si="22"/>
        <v/>
      </c>
      <c r="D210" s="33" t="str">
        <f t="shared" ref="D210:D273" si="25">IF(Pay_Num&lt;&gt;"",Scheduled_Monthly_Payment,"")</f>
        <v/>
      </c>
      <c r="E210" s="34" t="e">
        <f t="shared" ref="E210:E273" si="26">IF(AND(Pay_Num&lt;&gt;"",Sched_Pay+Scheduled_Extra_Payments&lt;Beg_Bal),Scheduled_Extra_Payments,IF(AND(Pay_Num&lt;&gt;"",Beg_Bal-Sched_Pay&gt;0),Beg_Bal-Sched_Pay,IF(Pay_Num&lt;&gt;"",0,"")))</f>
        <v>#VALUE!</v>
      </c>
      <c r="F210" s="33" t="e">
        <f t="shared" ref="F210:F273" si="27">IF(AND(Pay_Num&lt;&gt;"",Sched_Pay+Extra_Pay&lt;Beg_Bal),Sched_Pay+Extra_Pay,IF(Pay_Num&lt;&gt;"",Beg_Bal,""))</f>
        <v>#VALUE!</v>
      </c>
      <c r="G210" s="33" t="str">
        <f t="shared" ref="G210:G273" si="28">IF(Pay_Num&lt;&gt;"",Total_Pay-Int,"")</f>
        <v/>
      </c>
      <c r="H210" s="33" t="str">
        <f t="shared" si="23"/>
        <v/>
      </c>
      <c r="I210" s="33" t="e">
        <f t="shared" ref="I210:I273" si="29">IF(AND(Pay_Num&lt;&gt;"",Sched_Pay+Extra_Pay&lt;Beg_Bal),Beg_Bal-Princ,IF(Pay_Num&lt;&gt;"",0,""))</f>
        <v>#VALUE!</v>
      </c>
      <c r="J210" s="33">
        <f>SUM($H$18:$H210)</f>
        <v>0</v>
      </c>
    </row>
    <row r="211" spans="1:10">
      <c r="A211" s="36" t="str">
        <f>IF(Values_Entered,A210+1,"")</f>
        <v/>
      </c>
      <c r="B211" s="35" t="str">
        <f t="shared" si="24"/>
        <v/>
      </c>
      <c r="C211" s="33" t="str">
        <f t="shared" ref="C211:C274" si="30">IF(Pay_Num&lt;&gt;"",I210,"")</f>
        <v/>
      </c>
      <c r="D211" s="33" t="str">
        <f t="shared" si="25"/>
        <v/>
      </c>
      <c r="E211" s="34" t="e">
        <f t="shared" si="26"/>
        <v>#VALUE!</v>
      </c>
      <c r="F211" s="33" t="e">
        <f t="shared" si="27"/>
        <v>#VALUE!</v>
      </c>
      <c r="G211" s="33" t="str">
        <f t="shared" si="28"/>
        <v/>
      </c>
      <c r="H211" s="33" t="str">
        <f t="shared" ref="H211:H274" si="31">IF(Pay_Num&lt;&gt;"",Beg_Bal*Interest_Rate/Num_Pmt_Per_Year,"")</f>
        <v/>
      </c>
      <c r="I211" s="33" t="e">
        <f t="shared" si="29"/>
        <v>#VALUE!</v>
      </c>
      <c r="J211" s="33">
        <f>SUM($H$18:$H211)</f>
        <v>0</v>
      </c>
    </row>
    <row r="212" spans="1:10">
      <c r="A212" s="36" t="str">
        <f>IF(Values_Entered,A211+1,"")</f>
        <v/>
      </c>
      <c r="B212" s="35" t="str">
        <f t="shared" si="24"/>
        <v/>
      </c>
      <c r="C212" s="33" t="str">
        <f t="shared" si="30"/>
        <v/>
      </c>
      <c r="D212" s="33" t="str">
        <f t="shared" si="25"/>
        <v/>
      </c>
      <c r="E212" s="34" t="e">
        <f t="shared" si="26"/>
        <v>#VALUE!</v>
      </c>
      <c r="F212" s="33" t="e">
        <f t="shared" si="27"/>
        <v>#VALUE!</v>
      </c>
      <c r="G212" s="33" t="str">
        <f t="shared" si="28"/>
        <v/>
      </c>
      <c r="H212" s="33" t="str">
        <f t="shared" si="31"/>
        <v/>
      </c>
      <c r="I212" s="33" t="e">
        <f t="shared" si="29"/>
        <v>#VALUE!</v>
      </c>
      <c r="J212" s="33">
        <f>SUM($H$18:$H212)</f>
        <v>0</v>
      </c>
    </row>
    <row r="213" spans="1:10">
      <c r="A213" s="36" t="str">
        <f>IF(Values_Entered,A212+1,"")</f>
        <v/>
      </c>
      <c r="B213" s="35" t="str">
        <f t="shared" si="24"/>
        <v/>
      </c>
      <c r="C213" s="33" t="str">
        <f t="shared" si="30"/>
        <v/>
      </c>
      <c r="D213" s="33" t="str">
        <f t="shared" si="25"/>
        <v/>
      </c>
      <c r="E213" s="34" t="e">
        <f t="shared" si="26"/>
        <v>#VALUE!</v>
      </c>
      <c r="F213" s="33" t="e">
        <f t="shared" si="27"/>
        <v>#VALUE!</v>
      </c>
      <c r="G213" s="33" t="str">
        <f t="shared" si="28"/>
        <v/>
      </c>
      <c r="H213" s="33" t="str">
        <f t="shared" si="31"/>
        <v/>
      </c>
      <c r="I213" s="33" t="e">
        <f t="shared" si="29"/>
        <v>#VALUE!</v>
      </c>
      <c r="J213" s="33">
        <f>SUM($H$18:$H213)</f>
        <v>0</v>
      </c>
    </row>
    <row r="214" spans="1:10">
      <c r="A214" s="36" t="str">
        <f>IF(Values_Entered,A213+1,"")</f>
        <v/>
      </c>
      <c r="B214" s="35" t="str">
        <f t="shared" si="24"/>
        <v/>
      </c>
      <c r="C214" s="33" t="str">
        <f t="shared" si="30"/>
        <v/>
      </c>
      <c r="D214" s="33" t="str">
        <f t="shared" si="25"/>
        <v/>
      </c>
      <c r="E214" s="34" t="e">
        <f t="shared" si="26"/>
        <v>#VALUE!</v>
      </c>
      <c r="F214" s="33" t="e">
        <f t="shared" si="27"/>
        <v>#VALUE!</v>
      </c>
      <c r="G214" s="33" t="str">
        <f t="shared" si="28"/>
        <v/>
      </c>
      <c r="H214" s="33" t="str">
        <f t="shared" si="31"/>
        <v/>
      </c>
      <c r="I214" s="33" t="e">
        <f t="shared" si="29"/>
        <v>#VALUE!</v>
      </c>
      <c r="J214" s="33">
        <f>SUM($H$18:$H214)</f>
        <v>0</v>
      </c>
    </row>
    <row r="215" spans="1:10">
      <c r="A215" s="36" t="str">
        <f>IF(Values_Entered,A214+1,"")</f>
        <v/>
      </c>
      <c r="B215" s="35" t="str">
        <f t="shared" si="24"/>
        <v/>
      </c>
      <c r="C215" s="33" t="str">
        <f t="shared" si="30"/>
        <v/>
      </c>
      <c r="D215" s="33" t="str">
        <f t="shared" si="25"/>
        <v/>
      </c>
      <c r="E215" s="34" t="e">
        <f t="shared" si="26"/>
        <v>#VALUE!</v>
      </c>
      <c r="F215" s="33" t="e">
        <f t="shared" si="27"/>
        <v>#VALUE!</v>
      </c>
      <c r="G215" s="33" t="str">
        <f t="shared" si="28"/>
        <v/>
      </c>
      <c r="H215" s="33" t="str">
        <f t="shared" si="31"/>
        <v/>
      </c>
      <c r="I215" s="33" t="e">
        <f t="shared" si="29"/>
        <v>#VALUE!</v>
      </c>
      <c r="J215" s="33">
        <f>SUM($H$18:$H215)</f>
        <v>0</v>
      </c>
    </row>
    <row r="216" spans="1:10">
      <c r="A216" s="36" t="str">
        <f>IF(Values_Entered,A215+1,"")</f>
        <v/>
      </c>
      <c r="B216" s="35" t="str">
        <f t="shared" si="24"/>
        <v/>
      </c>
      <c r="C216" s="33" t="str">
        <f t="shared" si="30"/>
        <v/>
      </c>
      <c r="D216" s="33" t="str">
        <f t="shared" si="25"/>
        <v/>
      </c>
      <c r="E216" s="34" t="e">
        <f t="shared" si="26"/>
        <v>#VALUE!</v>
      </c>
      <c r="F216" s="33" t="e">
        <f t="shared" si="27"/>
        <v>#VALUE!</v>
      </c>
      <c r="G216" s="33" t="str">
        <f t="shared" si="28"/>
        <v/>
      </c>
      <c r="H216" s="33" t="str">
        <f t="shared" si="31"/>
        <v/>
      </c>
      <c r="I216" s="33" t="e">
        <f t="shared" si="29"/>
        <v>#VALUE!</v>
      </c>
      <c r="J216" s="33">
        <f>SUM($H$18:$H216)</f>
        <v>0</v>
      </c>
    </row>
    <row r="217" spans="1:10">
      <c r="A217" s="36" t="str">
        <f>IF(Values_Entered,A216+1,"")</f>
        <v/>
      </c>
      <c r="B217" s="35" t="str">
        <f t="shared" si="24"/>
        <v/>
      </c>
      <c r="C217" s="33" t="str">
        <f t="shared" si="30"/>
        <v/>
      </c>
      <c r="D217" s="33" t="str">
        <f t="shared" si="25"/>
        <v/>
      </c>
      <c r="E217" s="34" t="e">
        <f t="shared" si="26"/>
        <v>#VALUE!</v>
      </c>
      <c r="F217" s="33" t="e">
        <f t="shared" si="27"/>
        <v>#VALUE!</v>
      </c>
      <c r="G217" s="33" t="str">
        <f t="shared" si="28"/>
        <v/>
      </c>
      <c r="H217" s="33" t="str">
        <f t="shared" si="31"/>
        <v/>
      </c>
      <c r="I217" s="33" t="e">
        <f t="shared" si="29"/>
        <v>#VALUE!</v>
      </c>
      <c r="J217" s="33">
        <f>SUM($H$18:$H217)</f>
        <v>0</v>
      </c>
    </row>
    <row r="218" spans="1:10">
      <c r="A218" s="36" t="str">
        <f>IF(Values_Entered,A217+1,"")</f>
        <v/>
      </c>
      <c r="B218" s="35" t="str">
        <f t="shared" si="24"/>
        <v/>
      </c>
      <c r="C218" s="33" t="str">
        <f t="shared" si="30"/>
        <v/>
      </c>
      <c r="D218" s="33" t="str">
        <f t="shared" si="25"/>
        <v/>
      </c>
      <c r="E218" s="34" t="e">
        <f t="shared" si="26"/>
        <v>#VALUE!</v>
      </c>
      <c r="F218" s="33" t="e">
        <f t="shared" si="27"/>
        <v>#VALUE!</v>
      </c>
      <c r="G218" s="33" t="str">
        <f t="shared" si="28"/>
        <v/>
      </c>
      <c r="H218" s="33" t="str">
        <f t="shared" si="31"/>
        <v/>
      </c>
      <c r="I218" s="33" t="e">
        <f t="shared" si="29"/>
        <v>#VALUE!</v>
      </c>
      <c r="J218" s="33">
        <f>SUM($H$18:$H218)</f>
        <v>0</v>
      </c>
    </row>
    <row r="219" spans="1:10">
      <c r="A219" s="36" t="str">
        <f>IF(Values_Entered,A218+1,"")</f>
        <v/>
      </c>
      <c r="B219" s="35" t="str">
        <f t="shared" si="24"/>
        <v/>
      </c>
      <c r="C219" s="33" t="str">
        <f t="shared" si="30"/>
        <v/>
      </c>
      <c r="D219" s="33" t="str">
        <f t="shared" si="25"/>
        <v/>
      </c>
      <c r="E219" s="34" t="e">
        <f t="shared" si="26"/>
        <v>#VALUE!</v>
      </c>
      <c r="F219" s="33" t="e">
        <f t="shared" si="27"/>
        <v>#VALUE!</v>
      </c>
      <c r="G219" s="33" t="str">
        <f t="shared" si="28"/>
        <v/>
      </c>
      <c r="H219" s="33" t="str">
        <f t="shared" si="31"/>
        <v/>
      </c>
      <c r="I219" s="33" t="e">
        <f t="shared" si="29"/>
        <v>#VALUE!</v>
      </c>
      <c r="J219" s="33">
        <f>SUM($H$18:$H219)</f>
        <v>0</v>
      </c>
    </row>
    <row r="220" spans="1:10">
      <c r="A220" s="36" t="str">
        <f>IF(Values_Entered,A219+1,"")</f>
        <v/>
      </c>
      <c r="B220" s="35" t="str">
        <f t="shared" si="24"/>
        <v/>
      </c>
      <c r="C220" s="33" t="str">
        <f t="shared" si="30"/>
        <v/>
      </c>
      <c r="D220" s="33" t="str">
        <f t="shared" si="25"/>
        <v/>
      </c>
      <c r="E220" s="34" t="e">
        <f t="shared" si="26"/>
        <v>#VALUE!</v>
      </c>
      <c r="F220" s="33" t="e">
        <f t="shared" si="27"/>
        <v>#VALUE!</v>
      </c>
      <c r="G220" s="33" t="str">
        <f t="shared" si="28"/>
        <v/>
      </c>
      <c r="H220" s="33" t="str">
        <f t="shared" si="31"/>
        <v/>
      </c>
      <c r="I220" s="33" t="e">
        <f t="shared" si="29"/>
        <v>#VALUE!</v>
      </c>
      <c r="J220" s="33">
        <f>SUM($H$18:$H220)</f>
        <v>0</v>
      </c>
    </row>
    <row r="221" spans="1:10">
      <c r="A221" s="36" t="str">
        <f>IF(Values_Entered,A220+1,"")</f>
        <v/>
      </c>
      <c r="B221" s="35" t="str">
        <f t="shared" si="24"/>
        <v/>
      </c>
      <c r="C221" s="33" t="str">
        <f t="shared" si="30"/>
        <v/>
      </c>
      <c r="D221" s="33" t="str">
        <f t="shared" si="25"/>
        <v/>
      </c>
      <c r="E221" s="34" t="e">
        <f t="shared" si="26"/>
        <v>#VALUE!</v>
      </c>
      <c r="F221" s="33" t="e">
        <f t="shared" si="27"/>
        <v>#VALUE!</v>
      </c>
      <c r="G221" s="33" t="str">
        <f t="shared" si="28"/>
        <v/>
      </c>
      <c r="H221" s="33" t="str">
        <f t="shared" si="31"/>
        <v/>
      </c>
      <c r="I221" s="33" t="e">
        <f t="shared" si="29"/>
        <v>#VALUE!</v>
      </c>
      <c r="J221" s="33">
        <f>SUM($H$18:$H221)</f>
        <v>0</v>
      </c>
    </row>
    <row r="222" spans="1:10">
      <c r="A222" s="36" t="str">
        <f>IF(Values_Entered,A221+1,"")</f>
        <v/>
      </c>
      <c r="B222" s="35" t="str">
        <f t="shared" si="24"/>
        <v/>
      </c>
      <c r="C222" s="33" t="str">
        <f t="shared" si="30"/>
        <v/>
      </c>
      <c r="D222" s="33" t="str">
        <f t="shared" si="25"/>
        <v/>
      </c>
      <c r="E222" s="34" t="e">
        <f t="shared" si="26"/>
        <v>#VALUE!</v>
      </c>
      <c r="F222" s="33" t="e">
        <f t="shared" si="27"/>
        <v>#VALUE!</v>
      </c>
      <c r="G222" s="33" t="str">
        <f t="shared" si="28"/>
        <v/>
      </c>
      <c r="H222" s="33" t="str">
        <f t="shared" si="31"/>
        <v/>
      </c>
      <c r="I222" s="33" t="e">
        <f t="shared" si="29"/>
        <v>#VALUE!</v>
      </c>
      <c r="J222" s="33">
        <f>SUM($H$18:$H222)</f>
        <v>0</v>
      </c>
    </row>
    <row r="223" spans="1:10">
      <c r="A223" s="36" t="str">
        <f>IF(Values_Entered,A222+1,"")</f>
        <v/>
      </c>
      <c r="B223" s="35" t="str">
        <f t="shared" si="24"/>
        <v/>
      </c>
      <c r="C223" s="33" t="str">
        <f t="shared" si="30"/>
        <v/>
      </c>
      <c r="D223" s="33" t="str">
        <f t="shared" si="25"/>
        <v/>
      </c>
      <c r="E223" s="34" t="e">
        <f t="shared" si="26"/>
        <v>#VALUE!</v>
      </c>
      <c r="F223" s="33" t="e">
        <f t="shared" si="27"/>
        <v>#VALUE!</v>
      </c>
      <c r="G223" s="33" t="str">
        <f t="shared" si="28"/>
        <v/>
      </c>
      <c r="H223" s="33" t="str">
        <f t="shared" si="31"/>
        <v/>
      </c>
      <c r="I223" s="33" t="e">
        <f t="shared" si="29"/>
        <v>#VALUE!</v>
      </c>
      <c r="J223" s="33">
        <f>SUM($H$18:$H223)</f>
        <v>0</v>
      </c>
    </row>
    <row r="224" spans="1:10">
      <c r="A224" s="36" t="str">
        <f>IF(Values_Entered,A223+1,"")</f>
        <v/>
      </c>
      <c r="B224" s="35" t="str">
        <f t="shared" si="24"/>
        <v/>
      </c>
      <c r="C224" s="33" t="str">
        <f t="shared" si="30"/>
        <v/>
      </c>
      <c r="D224" s="33" t="str">
        <f t="shared" si="25"/>
        <v/>
      </c>
      <c r="E224" s="34" t="e">
        <f t="shared" si="26"/>
        <v>#VALUE!</v>
      </c>
      <c r="F224" s="33" t="e">
        <f t="shared" si="27"/>
        <v>#VALUE!</v>
      </c>
      <c r="G224" s="33" t="str">
        <f t="shared" si="28"/>
        <v/>
      </c>
      <c r="H224" s="33" t="str">
        <f t="shared" si="31"/>
        <v/>
      </c>
      <c r="I224" s="33" t="e">
        <f t="shared" si="29"/>
        <v>#VALUE!</v>
      </c>
      <c r="J224" s="33">
        <f>SUM($H$18:$H224)</f>
        <v>0</v>
      </c>
    </row>
    <row r="225" spans="1:10">
      <c r="A225" s="36" t="str">
        <f>IF(Values_Entered,A224+1,"")</f>
        <v/>
      </c>
      <c r="B225" s="35" t="str">
        <f t="shared" si="24"/>
        <v/>
      </c>
      <c r="C225" s="33" t="str">
        <f t="shared" si="30"/>
        <v/>
      </c>
      <c r="D225" s="33" t="str">
        <f t="shared" si="25"/>
        <v/>
      </c>
      <c r="E225" s="34" t="e">
        <f t="shared" si="26"/>
        <v>#VALUE!</v>
      </c>
      <c r="F225" s="33" t="e">
        <f t="shared" si="27"/>
        <v>#VALUE!</v>
      </c>
      <c r="G225" s="33" t="str">
        <f t="shared" si="28"/>
        <v/>
      </c>
      <c r="H225" s="33" t="str">
        <f t="shared" si="31"/>
        <v/>
      </c>
      <c r="I225" s="33" t="e">
        <f t="shared" si="29"/>
        <v>#VALUE!</v>
      </c>
      <c r="J225" s="33">
        <f>SUM($H$18:$H225)</f>
        <v>0</v>
      </c>
    </row>
    <row r="226" spans="1:10">
      <c r="A226" s="36" t="str">
        <f>IF(Values_Entered,A225+1,"")</f>
        <v/>
      </c>
      <c r="B226" s="35" t="str">
        <f t="shared" si="24"/>
        <v/>
      </c>
      <c r="C226" s="33" t="str">
        <f t="shared" si="30"/>
        <v/>
      </c>
      <c r="D226" s="33" t="str">
        <f t="shared" si="25"/>
        <v/>
      </c>
      <c r="E226" s="34" t="e">
        <f t="shared" si="26"/>
        <v>#VALUE!</v>
      </c>
      <c r="F226" s="33" t="e">
        <f t="shared" si="27"/>
        <v>#VALUE!</v>
      </c>
      <c r="G226" s="33" t="str">
        <f t="shared" si="28"/>
        <v/>
      </c>
      <c r="H226" s="33" t="str">
        <f t="shared" si="31"/>
        <v/>
      </c>
      <c r="I226" s="33" t="e">
        <f t="shared" si="29"/>
        <v>#VALUE!</v>
      </c>
      <c r="J226" s="33">
        <f>SUM($H$18:$H226)</f>
        <v>0</v>
      </c>
    </row>
    <row r="227" spans="1:10">
      <c r="A227" s="36" t="str">
        <f>IF(Values_Entered,A226+1,"")</f>
        <v/>
      </c>
      <c r="B227" s="35" t="str">
        <f t="shared" si="24"/>
        <v/>
      </c>
      <c r="C227" s="33" t="str">
        <f t="shared" si="30"/>
        <v/>
      </c>
      <c r="D227" s="33" t="str">
        <f t="shared" si="25"/>
        <v/>
      </c>
      <c r="E227" s="34" t="e">
        <f t="shared" si="26"/>
        <v>#VALUE!</v>
      </c>
      <c r="F227" s="33" t="e">
        <f t="shared" si="27"/>
        <v>#VALUE!</v>
      </c>
      <c r="G227" s="33" t="str">
        <f t="shared" si="28"/>
        <v/>
      </c>
      <c r="H227" s="33" t="str">
        <f t="shared" si="31"/>
        <v/>
      </c>
      <c r="I227" s="33" t="e">
        <f t="shared" si="29"/>
        <v>#VALUE!</v>
      </c>
      <c r="J227" s="33">
        <f>SUM($H$18:$H227)</f>
        <v>0</v>
      </c>
    </row>
    <row r="228" spans="1:10">
      <c r="A228" s="36" t="str">
        <f>IF(Values_Entered,A227+1,"")</f>
        <v/>
      </c>
      <c r="B228" s="35" t="str">
        <f t="shared" si="24"/>
        <v/>
      </c>
      <c r="C228" s="33" t="str">
        <f t="shared" si="30"/>
        <v/>
      </c>
      <c r="D228" s="33" t="str">
        <f t="shared" si="25"/>
        <v/>
      </c>
      <c r="E228" s="34" t="e">
        <f t="shared" si="26"/>
        <v>#VALUE!</v>
      </c>
      <c r="F228" s="33" t="e">
        <f t="shared" si="27"/>
        <v>#VALUE!</v>
      </c>
      <c r="G228" s="33" t="str">
        <f t="shared" si="28"/>
        <v/>
      </c>
      <c r="H228" s="33" t="str">
        <f t="shared" si="31"/>
        <v/>
      </c>
      <c r="I228" s="33" t="e">
        <f t="shared" si="29"/>
        <v>#VALUE!</v>
      </c>
      <c r="J228" s="33">
        <f>SUM($H$18:$H228)</f>
        <v>0</v>
      </c>
    </row>
    <row r="229" spans="1:10">
      <c r="A229" s="36" t="str">
        <f>IF(Values_Entered,A228+1,"")</f>
        <v/>
      </c>
      <c r="B229" s="35" t="str">
        <f t="shared" si="24"/>
        <v/>
      </c>
      <c r="C229" s="33" t="str">
        <f t="shared" si="30"/>
        <v/>
      </c>
      <c r="D229" s="33" t="str">
        <f t="shared" si="25"/>
        <v/>
      </c>
      <c r="E229" s="34" t="e">
        <f t="shared" si="26"/>
        <v>#VALUE!</v>
      </c>
      <c r="F229" s="33" t="e">
        <f t="shared" si="27"/>
        <v>#VALUE!</v>
      </c>
      <c r="G229" s="33" t="str">
        <f t="shared" si="28"/>
        <v/>
      </c>
      <c r="H229" s="33" t="str">
        <f t="shared" si="31"/>
        <v/>
      </c>
      <c r="I229" s="33" t="e">
        <f t="shared" si="29"/>
        <v>#VALUE!</v>
      </c>
      <c r="J229" s="33">
        <f>SUM($H$18:$H229)</f>
        <v>0</v>
      </c>
    </row>
    <row r="230" spans="1:10">
      <c r="A230" s="36" t="str">
        <f>IF(Values_Entered,A229+1,"")</f>
        <v/>
      </c>
      <c r="B230" s="35" t="str">
        <f t="shared" si="24"/>
        <v/>
      </c>
      <c r="C230" s="33" t="str">
        <f t="shared" si="30"/>
        <v/>
      </c>
      <c r="D230" s="33" t="str">
        <f t="shared" si="25"/>
        <v/>
      </c>
      <c r="E230" s="34" t="e">
        <f t="shared" si="26"/>
        <v>#VALUE!</v>
      </c>
      <c r="F230" s="33" t="e">
        <f t="shared" si="27"/>
        <v>#VALUE!</v>
      </c>
      <c r="G230" s="33" t="str">
        <f t="shared" si="28"/>
        <v/>
      </c>
      <c r="H230" s="33" t="str">
        <f t="shared" si="31"/>
        <v/>
      </c>
      <c r="I230" s="33" t="e">
        <f t="shared" si="29"/>
        <v>#VALUE!</v>
      </c>
      <c r="J230" s="33">
        <f>SUM($H$18:$H230)</f>
        <v>0</v>
      </c>
    </row>
    <row r="231" spans="1:10">
      <c r="A231" s="36" t="str">
        <f>IF(Values_Entered,A230+1,"")</f>
        <v/>
      </c>
      <c r="B231" s="35" t="str">
        <f t="shared" si="24"/>
        <v/>
      </c>
      <c r="C231" s="33" t="str">
        <f t="shared" si="30"/>
        <v/>
      </c>
      <c r="D231" s="33" t="str">
        <f t="shared" si="25"/>
        <v/>
      </c>
      <c r="E231" s="34" t="e">
        <f t="shared" si="26"/>
        <v>#VALUE!</v>
      </c>
      <c r="F231" s="33" t="e">
        <f t="shared" si="27"/>
        <v>#VALUE!</v>
      </c>
      <c r="G231" s="33" t="str">
        <f t="shared" si="28"/>
        <v/>
      </c>
      <c r="H231" s="33" t="str">
        <f t="shared" si="31"/>
        <v/>
      </c>
      <c r="I231" s="33" t="e">
        <f t="shared" si="29"/>
        <v>#VALUE!</v>
      </c>
      <c r="J231" s="33">
        <f>SUM($H$18:$H231)</f>
        <v>0</v>
      </c>
    </row>
    <row r="232" spans="1:10">
      <c r="A232" s="36" t="str">
        <f>IF(Values_Entered,A231+1,"")</f>
        <v/>
      </c>
      <c r="B232" s="35" t="str">
        <f t="shared" si="24"/>
        <v/>
      </c>
      <c r="C232" s="33" t="str">
        <f t="shared" si="30"/>
        <v/>
      </c>
      <c r="D232" s="33" t="str">
        <f t="shared" si="25"/>
        <v/>
      </c>
      <c r="E232" s="34" t="e">
        <f t="shared" si="26"/>
        <v>#VALUE!</v>
      </c>
      <c r="F232" s="33" t="e">
        <f t="shared" si="27"/>
        <v>#VALUE!</v>
      </c>
      <c r="G232" s="33" t="str">
        <f t="shared" si="28"/>
        <v/>
      </c>
      <c r="H232" s="33" t="str">
        <f t="shared" si="31"/>
        <v/>
      </c>
      <c r="I232" s="33" t="e">
        <f t="shared" si="29"/>
        <v>#VALUE!</v>
      </c>
      <c r="J232" s="33">
        <f>SUM($H$18:$H232)</f>
        <v>0</v>
      </c>
    </row>
    <row r="233" spans="1:10">
      <c r="A233" s="36" t="str">
        <f>IF(Values_Entered,A232+1,"")</f>
        <v/>
      </c>
      <c r="B233" s="35" t="str">
        <f t="shared" si="24"/>
        <v/>
      </c>
      <c r="C233" s="33" t="str">
        <f t="shared" si="30"/>
        <v/>
      </c>
      <c r="D233" s="33" t="str">
        <f t="shared" si="25"/>
        <v/>
      </c>
      <c r="E233" s="34" t="e">
        <f t="shared" si="26"/>
        <v>#VALUE!</v>
      </c>
      <c r="F233" s="33" t="e">
        <f t="shared" si="27"/>
        <v>#VALUE!</v>
      </c>
      <c r="G233" s="33" t="str">
        <f t="shared" si="28"/>
        <v/>
      </c>
      <c r="H233" s="33" t="str">
        <f t="shared" si="31"/>
        <v/>
      </c>
      <c r="I233" s="33" t="e">
        <f t="shared" si="29"/>
        <v>#VALUE!</v>
      </c>
      <c r="J233" s="33">
        <f>SUM($H$18:$H233)</f>
        <v>0</v>
      </c>
    </row>
    <row r="234" spans="1:10">
      <c r="A234" s="36" t="str">
        <f>IF(Values_Entered,A233+1,"")</f>
        <v/>
      </c>
      <c r="B234" s="35" t="str">
        <f t="shared" si="24"/>
        <v/>
      </c>
      <c r="C234" s="33" t="str">
        <f t="shared" si="30"/>
        <v/>
      </c>
      <c r="D234" s="33" t="str">
        <f t="shared" si="25"/>
        <v/>
      </c>
      <c r="E234" s="34" t="e">
        <f t="shared" si="26"/>
        <v>#VALUE!</v>
      </c>
      <c r="F234" s="33" t="e">
        <f t="shared" si="27"/>
        <v>#VALUE!</v>
      </c>
      <c r="G234" s="33" t="str">
        <f t="shared" si="28"/>
        <v/>
      </c>
      <c r="H234" s="33" t="str">
        <f t="shared" si="31"/>
        <v/>
      </c>
      <c r="I234" s="33" t="e">
        <f t="shared" si="29"/>
        <v>#VALUE!</v>
      </c>
      <c r="J234" s="33">
        <f>SUM($H$18:$H234)</f>
        <v>0</v>
      </c>
    </row>
    <row r="235" spans="1:10">
      <c r="A235" s="36" t="str">
        <f>IF(Values_Entered,A234+1,"")</f>
        <v/>
      </c>
      <c r="B235" s="35" t="str">
        <f t="shared" si="24"/>
        <v/>
      </c>
      <c r="C235" s="33" t="str">
        <f t="shared" si="30"/>
        <v/>
      </c>
      <c r="D235" s="33" t="str">
        <f t="shared" si="25"/>
        <v/>
      </c>
      <c r="E235" s="34" t="e">
        <f t="shared" si="26"/>
        <v>#VALUE!</v>
      </c>
      <c r="F235" s="33" t="e">
        <f t="shared" si="27"/>
        <v>#VALUE!</v>
      </c>
      <c r="G235" s="33" t="str">
        <f t="shared" si="28"/>
        <v/>
      </c>
      <c r="H235" s="33" t="str">
        <f t="shared" si="31"/>
        <v/>
      </c>
      <c r="I235" s="33" t="e">
        <f t="shared" si="29"/>
        <v>#VALUE!</v>
      </c>
      <c r="J235" s="33">
        <f>SUM($H$18:$H235)</f>
        <v>0</v>
      </c>
    </row>
    <row r="236" spans="1:10">
      <c r="A236" s="36" t="str">
        <f>IF(Values_Entered,A235+1,"")</f>
        <v/>
      </c>
      <c r="B236" s="35" t="str">
        <f t="shared" si="24"/>
        <v/>
      </c>
      <c r="C236" s="33" t="str">
        <f t="shared" si="30"/>
        <v/>
      </c>
      <c r="D236" s="33" t="str">
        <f t="shared" si="25"/>
        <v/>
      </c>
      <c r="E236" s="34" t="e">
        <f t="shared" si="26"/>
        <v>#VALUE!</v>
      </c>
      <c r="F236" s="33" t="e">
        <f t="shared" si="27"/>
        <v>#VALUE!</v>
      </c>
      <c r="G236" s="33" t="str">
        <f t="shared" si="28"/>
        <v/>
      </c>
      <c r="H236" s="33" t="str">
        <f t="shared" si="31"/>
        <v/>
      </c>
      <c r="I236" s="33" t="e">
        <f t="shared" si="29"/>
        <v>#VALUE!</v>
      </c>
      <c r="J236" s="33">
        <f>SUM($H$18:$H236)</f>
        <v>0</v>
      </c>
    </row>
    <row r="237" spans="1:10">
      <c r="A237" s="36" t="str">
        <f>IF(Values_Entered,A236+1,"")</f>
        <v/>
      </c>
      <c r="B237" s="35" t="str">
        <f t="shared" si="24"/>
        <v/>
      </c>
      <c r="C237" s="33" t="str">
        <f t="shared" si="30"/>
        <v/>
      </c>
      <c r="D237" s="33" t="str">
        <f t="shared" si="25"/>
        <v/>
      </c>
      <c r="E237" s="34" t="e">
        <f t="shared" si="26"/>
        <v>#VALUE!</v>
      </c>
      <c r="F237" s="33" t="e">
        <f t="shared" si="27"/>
        <v>#VALUE!</v>
      </c>
      <c r="G237" s="33" t="str">
        <f t="shared" si="28"/>
        <v/>
      </c>
      <c r="H237" s="33" t="str">
        <f t="shared" si="31"/>
        <v/>
      </c>
      <c r="I237" s="33" t="e">
        <f t="shared" si="29"/>
        <v>#VALUE!</v>
      </c>
      <c r="J237" s="33">
        <f>SUM($H$18:$H237)</f>
        <v>0</v>
      </c>
    </row>
    <row r="238" spans="1:10">
      <c r="A238" s="36" t="str">
        <f>IF(Values_Entered,A237+1,"")</f>
        <v/>
      </c>
      <c r="B238" s="35" t="str">
        <f t="shared" si="24"/>
        <v/>
      </c>
      <c r="C238" s="33" t="str">
        <f t="shared" si="30"/>
        <v/>
      </c>
      <c r="D238" s="33" t="str">
        <f t="shared" si="25"/>
        <v/>
      </c>
      <c r="E238" s="34" t="e">
        <f t="shared" si="26"/>
        <v>#VALUE!</v>
      </c>
      <c r="F238" s="33" t="e">
        <f t="shared" si="27"/>
        <v>#VALUE!</v>
      </c>
      <c r="G238" s="33" t="str">
        <f t="shared" si="28"/>
        <v/>
      </c>
      <c r="H238" s="33" t="str">
        <f t="shared" si="31"/>
        <v/>
      </c>
      <c r="I238" s="33" t="e">
        <f t="shared" si="29"/>
        <v>#VALUE!</v>
      </c>
      <c r="J238" s="33">
        <f>SUM($H$18:$H238)</f>
        <v>0</v>
      </c>
    </row>
    <row r="239" spans="1:10">
      <c r="A239" s="36" t="str">
        <f>IF(Values_Entered,A238+1,"")</f>
        <v/>
      </c>
      <c r="B239" s="35" t="str">
        <f t="shared" si="24"/>
        <v/>
      </c>
      <c r="C239" s="33" t="str">
        <f t="shared" si="30"/>
        <v/>
      </c>
      <c r="D239" s="33" t="str">
        <f t="shared" si="25"/>
        <v/>
      </c>
      <c r="E239" s="34" t="e">
        <f t="shared" si="26"/>
        <v>#VALUE!</v>
      </c>
      <c r="F239" s="33" t="e">
        <f t="shared" si="27"/>
        <v>#VALUE!</v>
      </c>
      <c r="G239" s="33" t="str">
        <f t="shared" si="28"/>
        <v/>
      </c>
      <c r="H239" s="33" t="str">
        <f t="shared" si="31"/>
        <v/>
      </c>
      <c r="I239" s="33" t="e">
        <f t="shared" si="29"/>
        <v>#VALUE!</v>
      </c>
      <c r="J239" s="33">
        <f>SUM($H$18:$H239)</f>
        <v>0</v>
      </c>
    </row>
    <row r="240" spans="1:10">
      <c r="A240" s="36" t="str">
        <f>IF(Values_Entered,A239+1,"")</f>
        <v/>
      </c>
      <c r="B240" s="35" t="str">
        <f t="shared" si="24"/>
        <v/>
      </c>
      <c r="C240" s="33" t="str">
        <f t="shared" si="30"/>
        <v/>
      </c>
      <c r="D240" s="33" t="str">
        <f t="shared" si="25"/>
        <v/>
      </c>
      <c r="E240" s="34" t="e">
        <f t="shared" si="26"/>
        <v>#VALUE!</v>
      </c>
      <c r="F240" s="33" t="e">
        <f t="shared" si="27"/>
        <v>#VALUE!</v>
      </c>
      <c r="G240" s="33" t="str">
        <f t="shared" si="28"/>
        <v/>
      </c>
      <c r="H240" s="33" t="str">
        <f t="shared" si="31"/>
        <v/>
      </c>
      <c r="I240" s="33" t="e">
        <f t="shared" si="29"/>
        <v>#VALUE!</v>
      </c>
      <c r="J240" s="33">
        <f>SUM($H$18:$H240)</f>
        <v>0</v>
      </c>
    </row>
    <row r="241" spans="1:10">
      <c r="A241" s="36" t="str">
        <f>IF(Values_Entered,A240+1,"")</f>
        <v/>
      </c>
      <c r="B241" s="35" t="str">
        <f t="shared" si="24"/>
        <v/>
      </c>
      <c r="C241" s="33" t="str">
        <f t="shared" si="30"/>
        <v/>
      </c>
      <c r="D241" s="33" t="str">
        <f t="shared" si="25"/>
        <v/>
      </c>
      <c r="E241" s="34" t="e">
        <f t="shared" si="26"/>
        <v>#VALUE!</v>
      </c>
      <c r="F241" s="33" t="e">
        <f t="shared" si="27"/>
        <v>#VALUE!</v>
      </c>
      <c r="G241" s="33" t="str">
        <f t="shared" si="28"/>
        <v/>
      </c>
      <c r="H241" s="33" t="str">
        <f t="shared" si="31"/>
        <v/>
      </c>
      <c r="I241" s="33" t="e">
        <f t="shared" si="29"/>
        <v>#VALUE!</v>
      </c>
      <c r="J241" s="33">
        <f>SUM($H$18:$H241)</f>
        <v>0</v>
      </c>
    </row>
    <row r="242" spans="1:10">
      <c r="A242" s="36" t="str">
        <f>IF(Values_Entered,A241+1,"")</f>
        <v/>
      </c>
      <c r="B242" s="35" t="str">
        <f t="shared" si="24"/>
        <v/>
      </c>
      <c r="C242" s="33" t="str">
        <f t="shared" si="30"/>
        <v/>
      </c>
      <c r="D242" s="33" t="str">
        <f t="shared" si="25"/>
        <v/>
      </c>
      <c r="E242" s="34" t="e">
        <f t="shared" si="26"/>
        <v>#VALUE!</v>
      </c>
      <c r="F242" s="33" t="e">
        <f t="shared" si="27"/>
        <v>#VALUE!</v>
      </c>
      <c r="G242" s="33" t="str">
        <f t="shared" si="28"/>
        <v/>
      </c>
      <c r="H242" s="33" t="str">
        <f t="shared" si="31"/>
        <v/>
      </c>
      <c r="I242" s="33" t="e">
        <f t="shared" si="29"/>
        <v>#VALUE!</v>
      </c>
      <c r="J242" s="33">
        <f>SUM($H$18:$H242)</f>
        <v>0</v>
      </c>
    </row>
    <row r="243" spans="1:10">
      <c r="A243" s="36" t="str">
        <f>IF(Values_Entered,A242+1,"")</f>
        <v/>
      </c>
      <c r="B243" s="35" t="str">
        <f t="shared" si="24"/>
        <v/>
      </c>
      <c r="C243" s="33" t="str">
        <f t="shared" si="30"/>
        <v/>
      </c>
      <c r="D243" s="33" t="str">
        <f t="shared" si="25"/>
        <v/>
      </c>
      <c r="E243" s="34" t="e">
        <f t="shared" si="26"/>
        <v>#VALUE!</v>
      </c>
      <c r="F243" s="33" t="e">
        <f t="shared" si="27"/>
        <v>#VALUE!</v>
      </c>
      <c r="G243" s="33" t="str">
        <f t="shared" si="28"/>
        <v/>
      </c>
      <c r="H243" s="33" t="str">
        <f t="shared" si="31"/>
        <v/>
      </c>
      <c r="I243" s="33" t="e">
        <f t="shared" si="29"/>
        <v>#VALUE!</v>
      </c>
      <c r="J243" s="33">
        <f>SUM($H$18:$H243)</f>
        <v>0</v>
      </c>
    </row>
    <row r="244" spans="1:10">
      <c r="A244" s="36" t="str">
        <f>IF(Values_Entered,A243+1,"")</f>
        <v/>
      </c>
      <c r="B244" s="35" t="str">
        <f t="shared" si="24"/>
        <v/>
      </c>
      <c r="C244" s="33" t="str">
        <f t="shared" si="30"/>
        <v/>
      </c>
      <c r="D244" s="33" t="str">
        <f t="shared" si="25"/>
        <v/>
      </c>
      <c r="E244" s="34" t="e">
        <f t="shared" si="26"/>
        <v>#VALUE!</v>
      </c>
      <c r="F244" s="33" t="e">
        <f t="shared" si="27"/>
        <v>#VALUE!</v>
      </c>
      <c r="G244" s="33" t="str">
        <f t="shared" si="28"/>
        <v/>
      </c>
      <c r="H244" s="33" t="str">
        <f t="shared" si="31"/>
        <v/>
      </c>
      <c r="I244" s="33" t="e">
        <f t="shared" si="29"/>
        <v>#VALUE!</v>
      </c>
      <c r="J244" s="33">
        <f>SUM($H$18:$H244)</f>
        <v>0</v>
      </c>
    </row>
    <row r="245" spans="1:10">
      <c r="A245" s="36" t="str">
        <f>IF(Values_Entered,A244+1,"")</f>
        <v/>
      </c>
      <c r="B245" s="35" t="str">
        <f t="shared" si="24"/>
        <v/>
      </c>
      <c r="C245" s="33" t="str">
        <f t="shared" si="30"/>
        <v/>
      </c>
      <c r="D245" s="33" t="str">
        <f t="shared" si="25"/>
        <v/>
      </c>
      <c r="E245" s="34" t="e">
        <f t="shared" si="26"/>
        <v>#VALUE!</v>
      </c>
      <c r="F245" s="33" t="e">
        <f t="shared" si="27"/>
        <v>#VALUE!</v>
      </c>
      <c r="G245" s="33" t="str">
        <f t="shared" si="28"/>
        <v/>
      </c>
      <c r="H245" s="33" t="str">
        <f t="shared" si="31"/>
        <v/>
      </c>
      <c r="I245" s="33" t="e">
        <f t="shared" si="29"/>
        <v>#VALUE!</v>
      </c>
      <c r="J245" s="33">
        <f>SUM($H$18:$H245)</f>
        <v>0</v>
      </c>
    </row>
    <row r="246" spans="1:10">
      <c r="A246" s="36" t="str">
        <f>IF(Values_Entered,A245+1,"")</f>
        <v/>
      </c>
      <c r="B246" s="35" t="str">
        <f t="shared" si="24"/>
        <v/>
      </c>
      <c r="C246" s="33" t="str">
        <f t="shared" si="30"/>
        <v/>
      </c>
      <c r="D246" s="33" t="str">
        <f t="shared" si="25"/>
        <v/>
      </c>
      <c r="E246" s="34" t="e">
        <f t="shared" si="26"/>
        <v>#VALUE!</v>
      </c>
      <c r="F246" s="33" t="e">
        <f t="shared" si="27"/>
        <v>#VALUE!</v>
      </c>
      <c r="G246" s="33" t="str">
        <f t="shared" si="28"/>
        <v/>
      </c>
      <c r="H246" s="33" t="str">
        <f t="shared" si="31"/>
        <v/>
      </c>
      <c r="I246" s="33" t="e">
        <f t="shared" si="29"/>
        <v>#VALUE!</v>
      </c>
      <c r="J246" s="33">
        <f>SUM($H$18:$H246)</f>
        <v>0</v>
      </c>
    </row>
    <row r="247" spans="1:10">
      <c r="A247" s="36" t="str">
        <f>IF(Values_Entered,A246+1,"")</f>
        <v/>
      </c>
      <c r="B247" s="35" t="str">
        <f t="shared" si="24"/>
        <v/>
      </c>
      <c r="C247" s="33" t="str">
        <f t="shared" si="30"/>
        <v/>
      </c>
      <c r="D247" s="33" t="str">
        <f t="shared" si="25"/>
        <v/>
      </c>
      <c r="E247" s="34" t="e">
        <f t="shared" si="26"/>
        <v>#VALUE!</v>
      </c>
      <c r="F247" s="33" t="e">
        <f t="shared" si="27"/>
        <v>#VALUE!</v>
      </c>
      <c r="G247" s="33" t="str">
        <f t="shared" si="28"/>
        <v/>
      </c>
      <c r="H247" s="33" t="str">
        <f t="shared" si="31"/>
        <v/>
      </c>
      <c r="I247" s="33" t="e">
        <f t="shared" si="29"/>
        <v>#VALUE!</v>
      </c>
      <c r="J247" s="33">
        <f>SUM($H$18:$H247)</f>
        <v>0</v>
      </c>
    </row>
    <row r="248" spans="1:10">
      <c r="A248" s="36" t="str">
        <f>IF(Values_Entered,A247+1,"")</f>
        <v/>
      </c>
      <c r="B248" s="35" t="str">
        <f t="shared" si="24"/>
        <v/>
      </c>
      <c r="C248" s="33" t="str">
        <f t="shared" si="30"/>
        <v/>
      </c>
      <c r="D248" s="33" t="str">
        <f t="shared" si="25"/>
        <v/>
      </c>
      <c r="E248" s="34" t="e">
        <f t="shared" si="26"/>
        <v>#VALUE!</v>
      </c>
      <c r="F248" s="33" t="e">
        <f t="shared" si="27"/>
        <v>#VALUE!</v>
      </c>
      <c r="G248" s="33" t="str">
        <f t="shared" si="28"/>
        <v/>
      </c>
      <c r="H248" s="33" t="str">
        <f t="shared" si="31"/>
        <v/>
      </c>
      <c r="I248" s="33" t="e">
        <f t="shared" si="29"/>
        <v>#VALUE!</v>
      </c>
      <c r="J248" s="33">
        <f>SUM($H$18:$H248)</f>
        <v>0</v>
      </c>
    </row>
    <row r="249" spans="1:10">
      <c r="A249" s="36" t="str">
        <f>IF(Values_Entered,A248+1,"")</f>
        <v/>
      </c>
      <c r="B249" s="35" t="str">
        <f t="shared" si="24"/>
        <v/>
      </c>
      <c r="C249" s="33" t="str">
        <f t="shared" si="30"/>
        <v/>
      </c>
      <c r="D249" s="33" t="str">
        <f t="shared" si="25"/>
        <v/>
      </c>
      <c r="E249" s="34" t="e">
        <f t="shared" si="26"/>
        <v>#VALUE!</v>
      </c>
      <c r="F249" s="33" t="e">
        <f t="shared" si="27"/>
        <v>#VALUE!</v>
      </c>
      <c r="G249" s="33" t="str">
        <f t="shared" si="28"/>
        <v/>
      </c>
      <c r="H249" s="33" t="str">
        <f t="shared" si="31"/>
        <v/>
      </c>
      <c r="I249" s="33" t="e">
        <f t="shared" si="29"/>
        <v>#VALUE!</v>
      </c>
      <c r="J249" s="33">
        <f>SUM($H$18:$H249)</f>
        <v>0</v>
      </c>
    </row>
    <row r="250" spans="1:10">
      <c r="A250" s="36" t="str">
        <f>IF(Values_Entered,A249+1,"")</f>
        <v/>
      </c>
      <c r="B250" s="35" t="str">
        <f t="shared" si="24"/>
        <v/>
      </c>
      <c r="C250" s="33" t="str">
        <f t="shared" si="30"/>
        <v/>
      </c>
      <c r="D250" s="33" t="str">
        <f t="shared" si="25"/>
        <v/>
      </c>
      <c r="E250" s="34" t="e">
        <f t="shared" si="26"/>
        <v>#VALUE!</v>
      </c>
      <c r="F250" s="33" t="e">
        <f t="shared" si="27"/>
        <v>#VALUE!</v>
      </c>
      <c r="G250" s="33" t="str">
        <f t="shared" si="28"/>
        <v/>
      </c>
      <c r="H250" s="33" t="str">
        <f t="shared" si="31"/>
        <v/>
      </c>
      <c r="I250" s="33" t="e">
        <f t="shared" si="29"/>
        <v>#VALUE!</v>
      </c>
      <c r="J250" s="33">
        <f>SUM($H$18:$H250)</f>
        <v>0</v>
      </c>
    </row>
    <row r="251" spans="1:10">
      <c r="A251" s="36" t="str">
        <f>IF(Values_Entered,A250+1,"")</f>
        <v/>
      </c>
      <c r="B251" s="35" t="str">
        <f t="shared" si="24"/>
        <v/>
      </c>
      <c r="C251" s="33" t="str">
        <f t="shared" si="30"/>
        <v/>
      </c>
      <c r="D251" s="33" t="str">
        <f t="shared" si="25"/>
        <v/>
      </c>
      <c r="E251" s="34" t="e">
        <f t="shared" si="26"/>
        <v>#VALUE!</v>
      </c>
      <c r="F251" s="33" t="e">
        <f t="shared" si="27"/>
        <v>#VALUE!</v>
      </c>
      <c r="G251" s="33" t="str">
        <f t="shared" si="28"/>
        <v/>
      </c>
      <c r="H251" s="33" t="str">
        <f t="shared" si="31"/>
        <v/>
      </c>
      <c r="I251" s="33" t="e">
        <f t="shared" si="29"/>
        <v>#VALUE!</v>
      </c>
      <c r="J251" s="33">
        <f>SUM($H$18:$H251)</f>
        <v>0</v>
      </c>
    </row>
    <row r="252" spans="1:10">
      <c r="A252" s="36" t="str">
        <f>IF(Values_Entered,A251+1,"")</f>
        <v/>
      </c>
      <c r="B252" s="35" t="str">
        <f t="shared" si="24"/>
        <v/>
      </c>
      <c r="C252" s="33" t="str">
        <f t="shared" si="30"/>
        <v/>
      </c>
      <c r="D252" s="33" t="str">
        <f t="shared" si="25"/>
        <v/>
      </c>
      <c r="E252" s="34" t="e">
        <f t="shared" si="26"/>
        <v>#VALUE!</v>
      </c>
      <c r="F252" s="33" t="e">
        <f t="shared" si="27"/>
        <v>#VALUE!</v>
      </c>
      <c r="G252" s="33" t="str">
        <f t="shared" si="28"/>
        <v/>
      </c>
      <c r="H252" s="33" t="str">
        <f t="shared" si="31"/>
        <v/>
      </c>
      <c r="I252" s="33" t="e">
        <f t="shared" si="29"/>
        <v>#VALUE!</v>
      </c>
      <c r="J252" s="33">
        <f>SUM($H$18:$H252)</f>
        <v>0</v>
      </c>
    </row>
    <row r="253" spans="1:10">
      <c r="A253" s="36" t="str">
        <f>IF(Values_Entered,A252+1,"")</f>
        <v/>
      </c>
      <c r="B253" s="35" t="str">
        <f t="shared" si="24"/>
        <v/>
      </c>
      <c r="C253" s="33" t="str">
        <f t="shared" si="30"/>
        <v/>
      </c>
      <c r="D253" s="33" t="str">
        <f t="shared" si="25"/>
        <v/>
      </c>
      <c r="E253" s="34" t="e">
        <f t="shared" si="26"/>
        <v>#VALUE!</v>
      </c>
      <c r="F253" s="33" t="e">
        <f t="shared" si="27"/>
        <v>#VALUE!</v>
      </c>
      <c r="G253" s="33" t="str">
        <f t="shared" si="28"/>
        <v/>
      </c>
      <c r="H253" s="33" t="str">
        <f t="shared" si="31"/>
        <v/>
      </c>
      <c r="I253" s="33" t="e">
        <f t="shared" si="29"/>
        <v>#VALUE!</v>
      </c>
      <c r="J253" s="33">
        <f>SUM($H$18:$H253)</f>
        <v>0</v>
      </c>
    </row>
    <row r="254" spans="1:10">
      <c r="A254" s="36" t="str">
        <f>IF(Values_Entered,A253+1,"")</f>
        <v/>
      </c>
      <c r="B254" s="35" t="str">
        <f t="shared" si="24"/>
        <v/>
      </c>
      <c r="C254" s="33" t="str">
        <f t="shared" si="30"/>
        <v/>
      </c>
      <c r="D254" s="33" t="str">
        <f t="shared" si="25"/>
        <v/>
      </c>
      <c r="E254" s="34" t="e">
        <f t="shared" si="26"/>
        <v>#VALUE!</v>
      </c>
      <c r="F254" s="33" t="e">
        <f t="shared" si="27"/>
        <v>#VALUE!</v>
      </c>
      <c r="G254" s="33" t="str">
        <f t="shared" si="28"/>
        <v/>
      </c>
      <c r="H254" s="33" t="str">
        <f t="shared" si="31"/>
        <v/>
      </c>
      <c r="I254" s="33" t="e">
        <f t="shared" si="29"/>
        <v>#VALUE!</v>
      </c>
      <c r="J254" s="33">
        <f>SUM($H$18:$H254)</f>
        <v>0</v>
      </c>
    </row>
    <row r="255" spans="1:10">
      <c r="A255" s="36" t="str">
        <f>IF(Values_Entered,A254+1,"")</f>
        <v/>
      </c>
      <c r="B255" s="35" t="str">
        <f t="shared" si="24"/>
        <v/>
      </c>
      <c r="C255" s="33" t="str">
        <f t="shared" si="30"/>
        <v/>
      </c>
      <c r="D255" s="33" t="str">
        <f t="shared" si="25"/>
        <v/>
      </c>
      <c r="E255" s="34" t="e">
        <f t="shared" si="26"/>
        <v>#VALUE!</v>
      </c>
      <c r="F255" s="33" t="e">
        <f t="shared" si="27"/>
        <v>#VALUE!</v>
      </c>
      <c r="G255" s="33" t="str">
        <f t="shared" si="28"/>
        <v/>
      </c>
      <c r="H255" s="33" t="str">
        <f t="shared" si="31"/>
        <v/>
      </c>
      <c r="I255" s="33" t="e">
        <f t="shared" si="29"/>
        <v>#VALUE!</v>
      </c>
      <c r="J255" s="33">
        <f>SUM($H$18:$H255)</f>
        <v>0</v>
      </c>
    </row>
    <row r="256" spans="1:10">
      <c r="A256" s="36" t="str">
        <f>IF(Values_Entered,A255+1,"")</f>
        <v/>
      </c>
      <c r="B256" s="35" t="str">
        <f t="shared" si="24"/>
        <v/>
      </c>
      <c r="C256" s="33" t="str">
        <f t="shared" si="30"/>
        <v/>
      </c>
      <c r="D256" s="33" t="str">
        <f t="shared" si="25"/>
        <v/>
      </c>
      <c r="E256" s="34" t="e">
        <f t="shared" si="26"/>
        <v>#VALUE!</v>
      </c>
      <c r="F256" s="33" t="e">
        <f t="shared" si="27"/>
        <v>#VALUE!</v>
      </c>
      <c r="G256" s="33" t="str">
        <f t="shared" si="28"/>
        <v/>
      </c>
      <c r="H256" s="33" t="str">
        <f t="shared" si="31"/>
        <v/>
      </c>
      <c r="I256" s="33" t="e">
        <f t="shared" si="29"/>
        <v>#VALUE!</v>
      </c>
      <c r="J256" s="33">
        <f>SUM($H$18:$H256)</f>
        <v>0</v>
      </c>
    </row>
    <row r="257" spans="1:10">
      <c r="A257" s="36" t="str">
        <f>IF(Values_Entered,A256+1,"")</f>
        <v/>
      </c>
      <c r="B257" s="35" t="str">
        <f t="shared" si="24"/>
        <v/>
      </c>
      <c r="C257" s="33" t="str">
        <f t="shared" si="30"/>
        <v/>
      </c>
      <c r="D257" s="33" t="str">
        <f t="shared" si="25"/>
        <v/>
      </c>
      <c r="E257" s="34" t="e">
        <f t="shared" si="26"/>
        <v>#VALUE!</v>
      </c>
      <c r="F257" s="33" t="e">
        <f t="shared" si="27"/>
        <v>#VALUE!</v>
      </c>
      <c r="G257" s="33" t="str">
        <f t="shared" si="28"/>
        <v/>
      </c>
      <c r="H257" s="33" t="str">
        <f t="shared" si="31"/>
        <v/>
      </c>
      <c r="I257" s="33" t="e">
        <f t="shared" si="29"/>
        <v>#VALUE!</v>
      </c>
      <c r="J257" s="33">
        <f>SUM($H$18:$H257)</f>
        <v>0</v>
      </c>
    </row>
    <row r="258" spans="1:10">
      <c r="A258" s="36" t="str">
        <f>IF(Values_Entered,A257+1,"")</f>
        <v/>
      </c>
      <c r="B258" s="35" t="str">
        <f t="shared" si="24"/>
        <v/>
      </c>
      <c r="C258" s="33" t="str">
        <f t="shared" si="30"/>
        <v/>
      </c>
      <c r="D258" s="33" t="str">
        <f t="shared" si="25"/>
        <v/>
      </c>
      <c r="E258" s="34" t="e">
        <f t="shared" si="26"/>
        <v>#VALUE!</v>
      </c>
      <c r="F258" s="33" t="e">
        <f t="shared" si="27"/>
        <v>#VALUE!</v>
      </c>
      <c r="G258" s="33" t="str">
        <f t="shared" si="28"/>
        <v/>
      </c>
      <c r="H258" s="33" t="str">
        <f t="shared" si="31"/>
        <v/>
      </c>
      <c r="I258" s="33" t="e">
        <f t="shared" si="29"/>
        <v>#VALUE!</v>
      </c>
      <c r="J258" s="33">
        <f>SUM($H$18:$H258)</f>
        <v>0</v>
      </c>
    </row>
    <row r="259" spans="1:10">
      <c r="A259" s="36" t="str">
        <f>IF(Values_Entered,A258+1,"")</f>
        <v/>
      </c>
      <c r="B259" s="35" t="str">
        <f t="shared" si="24"/>
        <v/>
      </c>
      <c r="C259" s="33" t="str">
        <f t="shared" si="30"/>
        <v/>
      </c>
      <c r="D259" s="33" t="str">
        <f t="shared" si="25"/>
        <v/>
      </c>
      <c r="E259" s="34" t="e">
        <f t="shared" si="26"/>
        <v>#VALUE!</v>
      </c>
      <c r="F259" s="33" t="e">
        <f t="shared" si="27"/>
        <v>#VALUE!</v>
      </c>
      <c r="G259" s="33" t="str">
        <f t="shared" si="28"/>
        <v/>
      </c>
      <c r="H259" s="33" t="str">
        <f t="shared" si="31"/>
        <v/>
      </c>
      <c r="I259" s="33" t="e">
        <f t="shared" si="29"/>
        <v>#VALUE!</v>
      </c>
      <c r="J259" s="33">
        <f>SUM($H$18:$H259)</f>
        <v>0</v>
      </c>
    </row>
    <row r="260" spans="1:10">
      <c r="A260" s="36" t="str">
        <f>IF(Values_Entered,A259+1,"")</f>
        <v/>
      </c>
      <c r="B260" s="35" t="str">
        <f t="shared" si="24"/>
        <v/>
      </c>
      <c r="C260" s="33" t="str">
        <f t="shared" si="30"/>
        <v/>
      </c>
      <c r="D260" s="33" t="str">
        <f t="shared" si="25"/>
        <v/>
      </c>
      <c r="E260" s="34" t="e">
        <f t="shared" si="26"/>
        <v>#VALUE!</v>
      </c>
      <c r="F260" s="33" t="e">
        <f t="shared" si="27"/>
        <v>#VALUE!</v>
      </c>
      <c r="G260" s="33" t="str">
        <f t="shared" si="28"/>
        <v/>
      </c>
      <c r="H260" s="33" t="str">
        <f t="shared" si="31"/>
        <v/>
      </c>
      <c r="I260" s="33" t="e">
        <f t="shared" si="29"/>
        <v>#VALUE!</v>
      </c>
      <c r="J260" s="33">
        <f>SUM($H$18:$H260)</f>
        <v>0</v>
      </c>
    </row>
    <row r="261" spans="1:10">
      <c r="A261" s="36" t="str">
        <f>IF(Values_Entered,A260+1,"")</f>
        <v/>
      </c>
      <c r="B261" s="35" t="str">
        <f t="shared" si="24"/>
        <v/>
      </c>
      <c r="C261" s="33" t="str">
        <f t="shared" si="30"/>
        <v/>
      </c>
      <c r="D261" s="33" t="str">
        <f t="shared" si="25"/>
        <v/>
      </c>
      <c r="E261" s="34" t="e">
        <f t="shared" si="26"/>
        <v>#VALUE!</v>
      </c>
      <c r="F261" s="33" t="e">
        <f t="shared" si="27"/>
        <v>#VALUE!</v>
      </c>
      <c r="G261" s="33" t="str">
        <f t="shared" si="28"/>
        <v/>
      </c>
      <c r="H261" s="33" t="str">
        <f t="shared" si="31"/>
        <v/>
      </c>
      <c r="I261" s="33" t="e">
        <f t="shared" si="29"/>
        <v>#VALUE!</v>
      </c>
      <c r="J261" s="33">
        <f>SUM($H$18:$H261)</f>
        <v>0</v>
      </c>
    </row>
    <row r="262" spans="1:10">
      <c r="A262" s="36" t="str">
        <f>IF(Values_Entered,A261+1,"")</f>
        <v/>
      </c>
      <c r="B262" s="35" t="str">
        <f t="shared" si="24"/>
        <v/>
      </c>
      <c r="C262" s="33" t="str">
        <f t="shared" si="30"/>
        <v/>
      </c>
      <c r="D262" s="33" t="str">
        <f t="shared" si="25"/>
        <v/>
      </c>
      <c r="E262" s="34" t="e">
        <f t="shared" si="26"/>
        <v>#VALUE!</v>
      </c>
      <c r="F262" s="33" t="e">
        <f t="shared" si="27"/>
        <v>#VALUE!</v>
      </c>
      <c r="G262" s="33" t="str">
        <f t="shared" si="28"/>
        <v/>
      </c>
      <c r="H262" s="33" t="str">
        <f t="shared" si="31"/>
        <v/>
      </c>
      <c r="I262" s="33" t="e">
        <f t="shared" si="29"/>
        <v>#VALUE!</v>
      </c>
      <c r="J262" s="33">
        <f>SUM($H$18:$H262)</f>
        <v>0</v>
      </c>
    </row>
    <row r="263" spans="1:10">
      <c r="A263" s="36" t="str">
        <f>IF(Values_Entered,A262+1,"")</f>
        <v/>
      </c>
      <c r="B263" s="35" t="str">
        <f t="shared" si="24"/>
        <v/>
      </c>
      <c r="C263" s="33" t="str">
        <f t="shared" si="30"/>
        <v/>
      </c>
      <c r="D263" s="33" t="str">
        <f t="shared" si="25"/>
        <v/>
      </c>
      <c r="E263" s="34" t="e">
        <f t="shared" si="26"/>
        <v>#VALUE!</v>
      </c>
      <c r="F263" s="33" t="e">
        <f t="shared" si="27"/>
        <v>#VALUE!</v>
      </c>
      <c r="G263" s="33" t="str">
        <f t="shared" si="28"/>
        <v/>
      </c>
      <c r="H263" s="33" t="str">
        <f t="shared" si="31"/>
        <v/>
      </c>
      <c r="I263" s="33" t="e">
        <f t="shared" si="29"/>
        <v>#VALUE!</v>
      </c>
      <c r="J263" s="33">
        <f>SUM($H$18:$H263)</f>
        <v>0</v>
      </c>
    </row>
    <row r="264" spans="1:10">
      <c r="A264" s="36" t="str">
        <f>IF(Values_Entered,A263+1,"")</f>
        <v/>
      </c>
      <c r="B264" s="35" t="str">
        <f t="shared" si="24"/>
        <v/>
      </c>
      <c r="C264" s="33" t="str">
        <f t="shared" si="30"/>
        <v/>
      </c>
      <c r="D264" s="33" t="str">
        <f t="shared" si="25"/>
        <v/>
      </c>
      <c r="E264" s="34" t="e">
        <f t="shared" si="26"/>
        <v>#VALUE!</v>
      </c>
      <c r="F264" s="33" t="e">
        <f t="shared" si="27"/>
        <v>#VALUE!</v>
      </c>
      <c r="G264" s="33" t="str">
        <f t="shared" si="28"/>
        <v/>
      </c>
      <c r="H264" s="33" t="str">
        <f t="shared" si="31"/>
        <v/>
      </c>
      <c r="I264" s="33" t="e">
        <f t="shared" si="29"/>
        <v>#VALUE!</v>
      </c>
      <c r="J264" s="33">
        <f>SUM($H$18:$H264)</f>
        <v>0</v>
      </c>
    </row>
    <row r="265" spans="1:10">
      <c r="A265" s="36" t="str">
        <f>IF(Values_Entered,A264+1,"")</f>
        <v/>
      </c>
      <c r="B265" s="35" t="str">
        <f t="shared" si="24"/>
        <v/>
      </c>
      <c r="C265" s="33" t="str">
        <f t="shared" si="30"/>
        <v/>
      </c>
      <c r="D265" s="33" t="str">
        <f t="shared" si="25"/>
        <v/>
      </c>
      <c r="E265" s="34" t="e">
        <f t="shared" si="26"/>
        <v>#VALUE!</v>
      </c>
      <c r="F265" s="33" t="e">
        <f t="shared" si="27"/>
        <v>#VALUE!</v>
      </c>
      <c r="G265" s="33" t="str">
        <f t="shared" si="28"/>
        <v/>
      </c>
      <c r="H265" s="33" t="str">
        <f t="shared" si="31"/>
        <v/>
      </c>
      <c r="I265" s="33" t="e">
        <f t="shared" si="29"/>
        <v>#VALUE!</v>
      </c>
      <c r="J265" s="33">
        <f>SUM($H$18:$H265)</f>
        <v>0</v>
      </c>
    </row>
    <row r="266" spans="1:10">
      <c r="A266" s="36" t="str">
        <f>IF(Values_Entered,A265+1,"")</f>
        <v/>
      </c>
      <c r="B266" s="35" t="str">
        <f t="shared" si="24"/>
        <v/>
      </c>
      <c r="C266" s="33" t="str">
        <f t="shared" si="30"/>
        <v/>
      </c>
      <c r="D266" s="33" t="str">
        <f t="shared" si="25"/>
        <v/>
      </c>
      <c r="E266" s="34" t="e">
        <f t="shared" si="26"/>
        <v>#VALUE!</v>
      </c>
      <c r="F266" s="33" t="e">
        <f t="shared" si="27"/>
        <v>#VALUE!</v>
      </c>
      <c r="G266" s="33" t="str">
        <f t="shared" si="28"/>
        <v/>
      </c>
      <c r="H266" s="33" t="str">
        <f t="shared" si="31"/>
        <v/>
      </c>
      <c r="I266" s="33" t="e">
        <f t="shared" si="29"/>
        <v>#VALUE!</v>
      </c>
      <c r="J266" s="33">
        <f>SUM($H$18:$H266)</f>
        <v>0</v>
      </c>
    </row>
    <row r="267" spans="1:10">
      <c r="A267" s="36" t="str">
        <f>IF(Values_Entered,A266+1,"")</f>
        <v/>
      </c>
      <c r="B267" s="35" t="str">
        <f t="shared" si="24"/>
        <v/>
      </c>
      <c r="C267" s="33" t="str">
        <f t="shared" si="30"/>
        <v/>
      </c>
      <c r="D267" s="33" t="str">
        <f t="shared" si="25"/>
        <v/>
      </c>
      <c r="E267" s="34" t="e">
        <f t="shared" si="26"/>
        <v>#VALUE!</v>
      </c>
      <c r="F267" s="33" t="e">
        <f t="shared" si="27"/>
        <v>#VALUE!</v>
      </c>
      <c r="G267" s="33" t="str">
        <f t="shared" si="28"/>
        <v/>
      </c>
      <c r="H267" s="33" t="str">
        <f t="shared" si="31"/>
        <v/>
      </c>
      <c r="I267" s="33" t="e">
        <f t="shared" si="29"/>
        <v>#VALUE!</v>
      </c>
      <c r="J267" s="33">
        <f>SUM($H$18:$H267)</f>
        <v>0</v>
      </c>
    </row>
    <row r="268" spans="1:10">
      <c r="A268" s="36" t="str">
        <f>IF(Values_Entered,A267+1,"")</f>
        <v/>
      </c>
      <c r="B268" s="35" t="str">
        <f t="shared" si="24"/>
        <v/>
      </c>
      <c r="C268" s="33" t="str">
        <f t="shared" si="30"/>
        <v/>
      </c>
      <c r="D268" s="33" t="str">
        <f t="shared" si="25"/>
        <v/>
      </c>
      <c r="E268" s="34" t="e">
        <f t="shared" si="26"/>
        <v>#VALUE!</v>
      </c>
      <c r="F268" s="33" t="e">
        <f t="shared" si="27"/>
        <v>#VALUE!</v>
      </c>
      <c r="G268" s="33" t="str">
        <f t="shared" si="28"/>
        <v/>
      </c>
      <c r="H268" s="33" t="str">
        <f t="shared" si="31"/>
        <v/>
      </c>
      <c r="I268" s="33" t="e">
        <f t="shared" si="29"/>
        <v>#VALUE!</v>
      </c>
      <c r="J268" s="33">
        <f>SUM($H$18:$H268)</f>
        <v>0</v>
      </c>
    </row>
    <row r="269" spans="1:10">
      <c r="A269" s="36" t="str">
        <f>IF(Values_Entered,A268+1,"")</f>
        <v/>
      </c>
      <c r="B269" s="35" t="str">
        <f t="shared" si="24"/>
        <v/>
      </c>
      <c r="C269" s="33" t="str">
        <f t="shared" si="30"/>
        <v/>
      </c>
      <c r="D269" s="33" t="str">
        <f t="shared" si="25"/>
        <v/>
      </c>
      <c r="E269" s="34" t="e">
        <f t="shared" si="26"/>
        <v>#VALUE!</v>
      </c>
      <c r="F269" s="33" t="e">
        <f t="shared" si="27"/>
        <v>#VALUE!</v>
      </c>
      <c r="G269" s="33" t="str">
        <f t="shared" si="28"/>
        <v/>
      </c>
      <c r="H269" s="33" t="str">
        <f t="shared" si="31"/>
        <v/>
      </c>
      <c r="I269" s="33" t="e">
        <f t="shared" si="29"/>
        <v>#VALUE!</v>
      </c>
      <c r="J269" s="33">
        <f>SUM($H$18:$H269)</f>
        <v>0</v>
      </c>
    </row>
    <row r="270" spans="1:10">
      <c r="A270" s="36" t="str">
        <f>IF(Values_Entered,A269+1,"")</f>
        <v/>
      </c>
      <c r="B270" s="35" t="str">
        <f t="shared" si="24"/>
        <v/>
      </c>
      <c r="C270" s="33" t="str">
        <f t="shared" si="30"/>
        <v/>
      </c>
      <c r="D270" s="33" t="str">
        <f t="shared" si="25"/>
        <v/>
      </c>
      <c r="E270" s="34" t="e">
        <f t="shared" si="26"/>
        <v>#VALUE!</v>
      </c>
      <c r="F270" s="33" t="e">
        <f t="shared" si="27"/>
        <v>#VALUE!</v>
      </c>
      <c r="G270" s="33" t="str">
        <f t="shared" si="28"/>
        <v/>
      </c>
      <c r="H270" s="33" t="str">
        <f t="shared" si="31"/>
        <v/>
      </c>
      <c r="I270" s="33" t="e">
        <f t="shared" si="29"/>
        <v>#VALUE!</v>
      </c>
      <c r="J270" s="33">
        <f>SUM($H$18:$H270)</f>
        <v>0</v>
      </c>
    </row>
    <row r="271" spans="1:10">
      <c r="A271" s="36" t="str">
        <f>IF(Values_Entered,A270+1,"")</f>
        <v/>
      </c>
      <c r="B271" s="35" t="str">
        <f t="shared" si="24"/>
        <v/>
      </c>
      <c r="C271" s="33" t="str">
        <f t="shared" si="30"/>
        <v/>
      </c>
      <c r="D271" s="33" t="str">
        <f t="shared" si="25"/>
        <v/>
      </c>
      <c r="E271" s="34" t="e">
        <f t="shared" si="26"/>
        <v>#VALUE!</v>
      </c>
      <c r="F271" s="33" t="e">
        <f t="shared" si="27"/>
        <v>#VALUE!</v>
      </c>
      <c r="G271" s="33" t="str">
        <f t="shared" si="28"/>
        <v/>
      </c>
      <c r="H271" s="33" t="str">
        <f t="shared" si="31"/>
        <v/>
      </c>
      <c r="I271" s="33" t="e">
        <f t="shared" si="29"/>
        <v>#VALUE!</v>
      </c>
      <c r="J271" s="33">
        <f>SUM($H$18:$H271)</f>
        <v>0</v>
      </c>
    </row>
    <row r="272" spans="1:10">
      <c r="A272" s="36" t="str">
        <f>IF(Values_Entered,A271+1,"")</f>
        <v/>
      </c>
      <c r="B272" s="35" t="str">
        <f t="shared" si="24"/>
        <v/>
      </c>
      <c r="C272" s="33" t="str">
        <f t="shared" si="30"/>
        <v/>
      </c>
      <c r="D272" s="33" t="str">
        <f t="shared" si="25"/>
        <v/>
      </c>
      <c r="E272" s="34" t="e">
        <f t="shared" si="26"/>
        <v>#VALUE!</v>
      </c>
      <c r="F272" s="33" t="e">
        <f t="shared" si="27"/>
        <v>#VALUE!</v>
      </c>
      <c r="G272" s="33" t="str">
        <f t="shared" si="28"/>
        <v/>
      </c>
      <c r="H272" s="33" t="str">
        <f t="shared" si="31"/>
        <v/>
      </c>
      <c r="I272" s="33" t="e">
        <f t="shared" si="29"/>
        <v>#VALUE!</v>
      </c>
      <c r="J272" s="33">
        <f>SUM($H$18:$H272)</f>
        <v>0</v>
      </c>
    </row>
    <row r="273" spans="1:10">
      <c r="A273" s="36" t="str">
        <f>IF(Values_Entered,A272+1,"")</f>
        <v/>
      </c>
      <c r="B273" s="35" t="str">
        <f t="shared" si="24"/>
        <v/>
      </c>
      <c r="C273" s="33" t="str">
        <f t="shared" si="30"/>
        <v/>
      </c>
      <c r="D273" s="33" t="str">
        <f t="shared" si="25"/>
        <v/>
      </c>
      <c r="E273" s="34" t="e">
        <f t="shared" si="26"/>
        <v>#VALUE!</v>
      </c>
      <c r="F273" s="33" t="e">
        <f t="shared" si="27"/>
        <v>#VALUE!</v>
      </c>
      <c r="G273" s="33" t="str">
        <f t="shared" si="28"/>
        <v/>
      </c>
      <c r="H273" s="33" t="str">
        <f t="shared" si="31"/>
        <v/>
      </c>
      <c r="I273" s="33" t="e">
        <f t="shared" si="29"/>
        <v>#VALUE!</v>
      </c>
      <c r="J273" s="33">
        <f>SUM($H$18:$H273)</f>
        <v>0</v>
      </c>
    </row>
    <row r="274" spans="1:10">
      <c r="A274" s="36" t="str">
        <f>IF(Values_Entered,A273+1,"")</f>
        <v/>
      </c>
      <c r="B274" s="35" t="str">
        <f t="shared" ref="B274:B337" si="32">IF(Pay_Num&lt;&gt;"",DATE(YEAR(Loan_Start),MONTH(Loan_Start)+(Pay_Num)*12/Num_Pmt_Per_Year,DAY(Loan_Start)),"")</f>
        <v/>
      </c>
      <c r="C274" s="33" t="str">
        <f t="shared" si="30"/>
        <v/>
      </c>
      <c r="D274" s="33" t="str">
        <f t="shared" ref="D274:D337" si="33">IF(Pay_Num&lt;&gt;"",Scheduled_Monthly_Payment,"")</f>
        <v/>
      </c>
      <c r="E274" s="34" t="e">
        <f t="shared" ref="E274:E337" si="34">IF(AND(Pay_Num&lt;&gt;"",Sched_Pay+Scheduled_Extra_Payments&lt;Beg_Bal),Scheduled_Extra_Payments,IF(AND(Pay_Num&lt;&gt;"",Beg_Bal-Sched_Pay&gt;0),Beg_Bal-Sched_Pay,IF(Pay_Num&lt;&gt;"",0,"")))</f>
        <v>#VALUE!</v>
      </c>
      <c r="F274" s="33" t="e">
        <f t="shared" ref="F274:F337" si="35">IF(AND(Pay_Num&lt;&gt;"",Sched_Pay+Extra_Pay&lt;Beg_Bal),Sched_Pay+Extra_Pay,IF(Pay_Num&lt;&gt;"",Beg_Bal,""))</f>
        <v>#VALUE!</v>
      </c>
      <c r="G274" s="33" t="str">
        <f t="shared" ref="G274:G337" si="36">IF(Pay_Num&lt;&gt;"",Total_Pay-Int,"")</f>
        <v/>
      </c>
      <c r="H274" s="33" t="str">
        <f t="shared" si="31"/>
        <v/>
      </c>
      <c r="I274" s="33" t="e">
        <f t="shared" ref="I274:I337" si="37">IF(AND(Pay_Num&lt;&gt;"",Sched_Pay+Extra_Pay&lt;Beg_Bal),Beg_Bal-Princ,IF(Pay_Num&lt;&gt;"",0,""))</f>
        <v>#VALUE!</v>
      </c>
      <c r="J274" s="33">
        <f>SUM($H$18:$H274)</f>
        <v>0</v>
      </c>
    </row>
    <row r="275" spans="1:10">
      <c r="A275" s="36" t="str">
        <f>IF(Values_Entered,A274+1,"")</f>
        <v/>
      </c>
      <c r="B275" s="35" t="str">
        <f t="shared" si="32"/>
        <v/>
      </c>
      <c r="C275" s="33" t="str">
        <f t="shared" ref="C275:C338" si="38">IF(Pay_Num&lt;&gt;"",I274,"")</f>
        <v/>
      </c>
      <c r="D275" s="33" t="str">
        <f t="shared" si="33"/>
        <v/>
      </c>
      <c r="E275" s="34" t="e">
        <f t="shared" si="34"/>
        <v>#VALUE!</v>
      </c>
      <c r="F275" s="33" t="e">
        <f t="shared" si="35"/>
        <v>#VALUE!</v>
      </c>
      <c r="G275" s="33" t="str">
        <f t="shared" si="36"/>
        <v/>
      </c>
      <c r="H275" s="33" t="str">
        <f t="shared" ref="H275:H338" si="39">IF(Pay_Num&lt;&gt;"",Beg_Bal*Interest_Rate/Num_Pmt_Per_Year,"")</f>
        <v/>
      </c>
      <c r="I275" s="33" t="e">
        <f t="shared" si="37"/>
        <v>#VALUE!</v>
      </c>
      <c r="J275" s="33">
        <f>SUM($H$18:$H275)</f>
        <v>0</v>
      </c>
    </row>
    <row r="276" spans="1:10">
      <c r="A276" s="36" t="str">
        <f>IF(Values_Entered,A275+1,"")</f>
        <v/>
      </c>
      <c r="B276" s="35" t="str">
        <f t="shared" si="32"/>
        <v/>
      </c>
      <c r="C276" s="33" t="str">
        <f t="shared" si="38"/>
        <v/>
      </c>
      <c r="D276" s="33" t="str">
        <f t="shared" si="33"/>
        <v/>
      </c>
      <c r="E276" s="34" t="e">
        <f t="shared" si="34"/>
        <v>#VALUE!</v>
      </c>
      <c r="F276" s="33" t="e">
        <f t="shared" si="35"/>
        <v>#VALUE!</v>
      </c>
      <c r="G276" s="33" t="str">
        <f t="shared" si="36"/>
        <v/>
      </c>
      <c r="H276" s="33" t="str">
        <f t="shared" si="39"/>
        <v/>
      </c>
      <c r="I276" s="33" t="e">
        <f t="shared" si="37"/>
        <v>#VALUE!</v>
      </c>
      <c r="J276" s="33">
        <f>SUM($H$18:$H276)</f>
        <v>0</v>
      </c>
    </row>
    <row r="277" spans="1:10">
      <c r="A277" s="36" t="str">
        <f>IF(Values_Entered,A276+1,"")</f>
        <v/>
      </c>
      <c r="B277" s="35" t="str">
        <f t="shared" si="32"/>
        <v/>
      </c>
      <c r="C277" s="33" t="str">
        <f t="shared" si="38"/>
        <v/>
      </c>
      <c r="D277" s="33" t="str">
        <f t="shared" si="33"/>
        <v/>
      </c>
      <c r="E277" s="34" t="e">
        <f t="shared" si="34"/>
        <v>#VALUE!</v>
      </c>
      <c r="F277" s="33" t="e">
        <f t="shared" si="35"/>
        <v>#VALUE!</v>
      </c>
      <c r="G277" s="33" t="str">
        <f t="shared" si="36"/>
        <v/>
      </c>
      <c r="H277" s="33" t="str">
        <f t="shared" si="39"/>
        <v/>
      </c>
      <c r="I277" s="33" t="e">
        <f t="shared" si="37"/>
        <v>#VALUE!</v>
      </c>
      <c r="J277" s="33">
        <f>SUM($H$18:$H277)</f>
        <v>0</v>
      </c>
    </row>
    <row r="278" spans="1:10">
      <c r="A278" s="36" t="str">
        <f>IF(Values_Entered,A277+1,"")</f>
        <v/>
      </c>
      <c r="B278" s="35" t="str">
        <f t="shared" si="32"/>
        <v/>
      </c>
      <c r="C278" s="33" t="str">
        <f t="shared" si="38"/>
        <v/>
      </c>
      <c r="D278" s="33" t="str">
        <f t="shared" si="33"/>
        <v/>
      </c>
      <c r="E278" s="34" t="e">
        <f t="shared" si="34"/>
        <v>#VALUE!</v>
      </c>
      <c r="F278" s="33" t="e">
        <f t="shared" si="35"/>
        <v>#VALUE!</v>
      </c>
      <c r="G278" s="33" t="str">
        <f t="shared" si="36"/>
        <v/>
      </c>
      <c r="H278" s="33" t="str">
        <f t="shared" si="39"/>
        <v/>
      </c>
      <c r="I278" s="33" t="e">
        <f t="shared" si="37"/>
        <v>#VALUE!</v>
      </c>
      <c r="J278" s="33">
        <f>SUM($H$18:$H278)</f>
        <v>0</v>
      </c>
    </row>
    <row r="279" spans="1:10">
      <c r="A279" s="36" t="str">
        <f>IF(Values_Entered,A278+1,"")</f>
        <v/>
      </c>
      <c r="B279" s="35" t="str">
        <f t="shared" si="32"/>
        <v/>
      </c>
      <c r="C279" s="33" t="str">
        <f t="shared" si="38"/>
        <v/>
      </c>
      <c r="D279" s="33" t="str">
        <f t="shared" si="33"/>
        <v/>
      </c>
      <c r="E279" s="34" t="e">
        <f t="shared" si="34"/>
        <v>#VALUE!</v>
      </c>
      <c r="F279" s="33" t="e">
        <f t="shared" si="35"/>
        <v>#VALUE!</v>
      </c>
      <c r="G279" s="33" t="str">
        <f t="shared" si="36"/>
        <v/>
      </c>
      <c r="H279" s="33" t="str">
        <f t="shared" si="39"/>
        <v/>
      </c>
      <c r="I279" s="33" t="e">
        <f t="shared" si="37"/>
        <v>#VALUE!</v>
      </c>
      <c r="J279" s="33">
        <f>SUM($H$18:$H279)</f>
        <v>0</v>
      </c>
    </row>
    <row r="280" spans="1:10">
      <c r="A280" s="36" t="str">
        <f>IF(Values_Entered,A279+1,"")</f>
        <v/>
      </c>
      <c r="B280" s="35" t="str">
        <f t="shared" si="32"/>
        <v/>
      </c>
      <c r="C280" s="33" t="str">
        <f t="shared" si="38"/>
        <v/>
      </c>
      <c r="D280" s="33" t="str">
        <f t="shared" si="33"/>
        <v/>
      </c>
      <c r="E280" s="34" t="e">
        <f t="shared" si="34"/>
        <v>#VALUE!</v>
      </c>
      <c r="F280" s="33" t="e">
        <f t="shared" si="35"/>
        <v>#VALUE!</v>
      </c>
      <c r="G280" s="33" t="str">
        <f t="shared" si="36"/>
        <v/>
      </c>
      <c r="H280" s="33" t="str">
        <f t="shared" si="39"/>
        <v/>
      </c>
      <c r="I280" s="33" t="e">
        <f t="shared" si="37"/>
        <v>#VALUE!</v>
      </c>
      <c r="J280" s="33">
        <f>SUM($H$18:$H280)</f>
        <v>0</v>
      </c>
    </row>
    <row r="281" spans="1:10">
      <c r="A281" s="36" t="str">
        <f>IF(Values_Entered,A280+1,"")</f>
        <v/>
      </c>
      <c r="B281" s="35" t="str">
        <f t="shared" si="32"/>
        <v/>
      </c>
      <c r="C281" s="33" t="str">
        <f t="shared" si="38"/>
        <v/>
      </c>
      <c r="D281" s="33" t="str">
        <f t="shared" si="33"/>
        <v/>
      </c>
      <c r="E281" s="34" t="e">
        <f t="shared" si="34"/>
        <v>#VALUE!</v>
      </c>
      <c r="F281" s="33" t="e">
        <f t="shared" si="35"/>
        <v>#VALUE!</v>
      </c>
      <c r="G281" s="33" t="str">
        <f t="shared" si="36"/>
        <v/>
      </c>
      <c r="H281" s="33" t="str">
        <f t="shared" si="39"/>
        <v/>
      </c>
      <c r="I281" s="33" t="e">
        <f t="shared" si="37"/>
        <v>#VALUE!</v>
      </c>
      <c r="J281" s="33">
        <f>SUM($H$18:$H281)</f>
        <v>0</v>
      </c>
    </row>
    <row r="282" spans="1:10">
      <c r="A282" s="36" t="str">
        <f>IF(Values_Entered,A281+1,"")</f>
        <v/>
      </c>
      <c r="B282" s="35" t="str">
        <f t="shared" si="32"/>
        <v/>
      </c>
      <c r="C282" s="33" t="str">
        <f t="shared" si="38"/>
        <v/>
      </c>
      <c r="D282" s="33" t="str">
        <f t="shared" si="33"/>
        <v/>
      </c>
      <c r="E282" s="34" t="e">
        <f t="shared" si="34"/>
        <v>#VALUE!</v>
      </c>
      <c r="F282" s="33" t="e">
        <f t="shared" si="35"/>
        <v>#VALUE!</v>
      </c>
      <c r="G282" s="33" t="str">
        <f t="shared" si="36"/>
        <v/>
      </c>
      <c r="H282" s="33" t="str">
        <f t="shared" si="39"/>
        <v/>
      </c>
      <c r="I282" s="33" t="e">
        <f t="shared" si="37"/>
        <v>#VALUE!</v>
      </c>
      <c r="J282" s="33">
        <f>SUM($H$18:$H282)</f>
        <v>0</v>
      </c>
    </row>
    <row r="283" spans="1:10">
      <c r="A283" s="36" t="str">
        <f>IF(Values_Entered,A282+1,"")</f>
        <v/>
      </c>
      <c r="B283" s="35" t="str">
        <f t="shared" si="32"/>
        <v/>
      </c>
      <c r="C283" s="33" t="str">
        <f t="shared" si="38"/>
        <v/>
      </c>
      <c r="D283" s="33" t="str">
        <f t="shared" si="33"/>
        <v/>
      </c>
      <c r="E283" s="34" t="e">
        <f t="shared" si="34"/>
        <v>#VALUE!</v>
      </c>
      <c r="F283" s="33" t="e">
        <f t="shared" si="35"/>
        <v>#VALUE!</v>
      </c>
      <c r="G283" s="33" t="str">
        <f t="shared" si="36"/>
        <v/>
      </c>
      <c r="H283" s="33" t="str">
        <f t="shared" si="39"/>
        <v/>
      </c>
      <c r="I283" s="33" t="e">
        <f t="shared" si="37"/>
        <v>#VALUE!</v>
      </c>
      <c r="J283" s="33">
        <f>SUM($H$18:$H283)</f>
        <v>0</v>
      </c>
    </row>
    <row r="284" spans="1:10">
      <c r="A284" s="36" t="str">
        <f>IF(Values_Entered,A283+1,"")</f>
        <v/>
      </c>
      <c r="B284" s="35" t="str">
        <f t="shared" si="32"/>
        <v/>
      </c>
      <c r="C284" s="33" t="str">
        <f t="shared" si="38"/>
        <v/>
      </c>
      <c r="D284" s="33" t="str">
        <f t="shared" si="33"/>
        <v/>
      </c>
      <c r="E284" s="34" t="e">
        <f t="shared" si="34"/>
        <v>#VALUE!</v>
      </c>
      <c r="F284" s="33" t="e">
        <f t="shared" si="35"/>
        <v>#VALUE!</v>
      </c>
      <c r="G284" s="33" t="str">
        <f t="shared" si="36"/>
        <v/>
      </c>
      <c r="H284" s="33" t="str">
        <f t="shared" si="39"/>
        <v/>
      </c>
      <c r="I284" s="33" t="e">
        <f t="shared" si="37"/>
        <v>#VALUE!</v>
      </c>
      <c r="J284" s="33">
        <f>SUM($H$18:$H284)</f>
        <v>0</v>
      </c>
    </row>
    <row r="285" spans="1:10">
      <c r="A285" s="36" t="str">
        <f>IF(Values_Entered,A284+1,"")</f>
        <v/>
      </c>
      <c r="B285" s="35" t="str">
        <f t="shared" si="32"/>
        <v/>
      </c>
      <c r="C285" s="33" t="str">
        <f t="shared" si="38"/>
        <v/>
      </c>
      <c r="D285" s="33" t="str">
        <f t="shared" si="33"/>
        <v/>
      </c>
      <c r="E285" s="34" t="e">
        <f t="shared" si="34"/>
        <v>#VALUE!</v>
      </c>
      <c r="F285" s="33" t="e">
        <f t="shared" si="35"/>
        <v>#VALUE!</v>
      </c>
      <c r="G285" s="33" t="str">
        <f t="shared" si="36"/>
        <v/>
      </c>
      <c r="H285" s="33" t="str">
        <f t="shared" si="39"/>
        <v/>
      </c>
      <c r="I285" s="33" t="e">
        <f t="shared" si="37"/>
        <v>#VALUE!</v>
      </c>
      <c r="J285" s="33">
        <f>SUM($H$18:$H285)</f>
        <v>0</v>
      </c>
    </row>
    <row r="286" spans="1:10">
      <c r="A286" s="36" t="str">
        <f>IF(Values_Entered,A285+1,"")</f>
        <v/>
      </c>
      <c r="B286" s="35" t="str">
        <f t="shared" si="32"/>
        <v/>
      </c>
      <c r="C286" s="33" t="str">
        <f t="shared" si="38"/>
        <v/>
      </c>
      <c r="D286" s="33" t="str">
        <f t="shared" si="33"/>
        <v/>
      </c>
      <c r="E286" s="34" t="e">
        <f t="shared" si="34"/>
        <v>#VALUE!</v>
      </c>
      <c r="F286" s="33" t="e">
        <f t="shared" si="35"/>
        <v>#VALUE!</v>
      </c>
      <c r="G286" s="33" t="str">
        <f t="shared" si="36"/>
        <v/>
      </c>
      <c r="H286" s="33" t="str">
        <f t="shared" si="39"/>
        <v/>
      </c>
      <c r="I286" s="33" t="e">
        <f t="shared" si="37"/>
        <v>#VALUE!</v>
      </c>
      <c r="J286" s="33">
        <f>SUM($H$18:$H286)</f>
        <v>0</v>
      </c>
    </row>
    <row r="287" spans="1:10">
      <c r="A287" s="36" t="str">
        <f>IF(Values_Entered,A286+1,"")</f>
        <v/>
      </c>
      <c r="B287" s="35" t="str">
        <f t="shared" si="32"/>
        <v/>
      </c>
      <c r="C287" s="33" t="str">
        <f t="shared" si="38"/>
        <v/>
      </c>
      <c r="D287" s="33" t="str">
        <f t="shared" si="33"/>
        <v/>
      </c>
      <c r="E287" s="34" t="e">
        <f t="shared" si="34"/>
        <v>#VALUE!</v>
      </c>
      <c r="F287" s="33" t="e">
        <f t="shared" si="35"/>
        <v>#VALUE!</v>
      </c>
      <c r="G287" s="33" t="str">
        <f t="shared" si="36"/>
        <v/>
      </c>
      <c r="H287" s="33" t="str">
        <f t="shared" si="39"/>
        <v/>
      </c>
      <c r="I287" s="33" t="e">
        <f t="shared" si="37"/>
        <v>#VALUE!</v>
      </c>
      <c r="J287" s="33">
        <f>SUM($H$18:$H287)</f>
        <v>0</v>
      </c>
    </row>
    <row r="288" spans="1:10">
      <c r="A288" s="36" t="str">
        <f>IF(Values_Entered,A287+1,"")</f>
        <v/>
      </c>
      <c r="B288" s="35" t="str">
        <f t="shared" si="32"/>
        <v/>
      </c>
      <c r="C288" s="33" t="str">
        <f t="shared" si="38"/>
        <v/>
      </c>
      <c r="D288" s="33" t="str">
        <f t="shared" si="33"/>
        <v/>
      </c>
      <c r="E288" s="34" t="e">
        <f t="shared" si="34"/>
        <v>#VALUE!</v>
      </c>
      <c r="F288" s="33" t="e">
        <f t="shared" si="35"/>
        <v>#VALUE!</v>
      </c>
      <c r="G288" s="33" t="str">
        <f t="shared" si="36"/>
        <v/>
      </c>
      <c r="H288" s="33" t="str">
        <f t="shared" si="39"/>
        <v/>
      </c>
      <c r="I288" s="33" t="e">
        <f t="shared" si="37"/>
        <v>#VALUE!</v>
      </c>
      <c r="J288" s="33">
        <f>SUM($H$18:$H288)</f>
        <v>0</v>
      </c>
    </row>
    <row r="289" spans="1:10">
      <c r="A289" s="36" t="str">
        <f>IF(Values_Entered,A288+1,"")</f>
        <v/>
      </c>
      <c r="B289" s="35" t="str">
        <f t="shared" si="32"/>
        <v/>
      </c>
      <c r="C289" s="33" t="str">
        <f t="shared" si="38"/>
        <v/>
      </c>
      <c r="D289" s="33" t="str">
        <f t="shared" si="33"/>
        <v/>
      </c>
      <c r="E289" s="34" t="e">
        <f t="shared" si="34"/>
        <v>#VALUE!</v>
      </c>
      <c r="F289" s="33" t="e">
        <f t="shared" si="35"/>
        <v>#VALUE!</v>
      </c>
      <c r="G289" s="33" t="str">
        <f t="shared" si="36"/>
        <v/>
      </c>
      <c r="H289" s="33" t="str">
        <f t="shared" si="39"/>
        <v/>
      </c>
      <c r="I289" s="33" t="e">
        <f t="shared" si="37"/>
        <v>#VALUE!</v>
      </c>
      <c r="J289" s="33">
        <f>SUM($H$18:$H289)</f>
        <v>0</v>
      </c>
    </row>
    <row r="290" spans="1:10">
      <c r="A290" s="36" t="str">
        <f>IF(Values_Entered,A289+1,"")</f>
        <v/>
      </c>
      <c r="B290" s="35" t="str">
        <f t="shared" si="32"/>
        <v/>
      </c>
      <c r="C290" s="33" t="str">
        <f t="shared" si="38"/>
        <v/>
      </c>
      <c r="D290" s="33" t="str">
        <f t="shared" si="33"/>
        <v/>
      </c>
      <c r="E290" s="34" t="e">
        <f t="shared" si="34"/>
        <v>#VALUE!</v>
      </c>
      <c r="F290" s="33" t="e">
        <f t="shared" si="35"/>
        <v>#VALUE!</v>
      </c>
      <c r="G290" s="33" t="str">
        <f t="shared" si="36"/>
        <v/>
      </c>
      <c r="H290" s="33" t="str">
        <f t="shared" si="39"/>
        <v/>
      </c>
      <c r="I290" s="33" t="e">
        <f t="shared" si="37"/>
        <v>#VALUE!</v>
      </c>
      <c r="J290" s="33">
        <f>SUM($H$18:$H290)</f>
        <v>0</v>
      </c>
    </row>
    <row r="291" spans="1:10">
      <c r="A291" s="36" t="str">
        <f>IF(Values_Entered,A290+1,"")</f>
        <v/>
      </c>
      <c r="B291" s="35" t="str">
        <f t="shared" si="32"/>
        <v/>
      </c>
      <c r="C291" s="33" t="str">
        <f t="shared" si="38"/>
        <v/>
      </c>
      <c r="D291" s="33" t="str">
        <f t="shared" si="33"/>
        <v/>
      </c>
      <c r="E291" s="34" t="e">
        <f t="shared" si="34"/>
        <v>#VALUE!</v>
      </c>
      <c r="F291" s="33" t="e">
        <f t="shared" si="35"/>
        <v>#VALUE!</v>
      </c>
      <c r="G291" s="33" t="str">
        <f t="shared" si="36"/>
        <v/>
      </c>
      <c r="H291" s="33" t="str">
        <f t="shared" si="39"/>
        <v/>
      </c>
      <c r="I291" s="33" t="e">
        <f t="shared" si="37"/>
        <v>#VALUE!</v>
      </c>
      <c r="J291" s="33">
        <f>SUM($H$18:$H291)</f>
        <v>0</v>
      </c>
    </row>
    <row r="292" spans="1:10">
      <c r="A292" s="36" t="str">
        <f>IF(Values_Entered,A291+1,"")</f>
        <v/>
      </c>
      <c r="B292" s="35" t="str">
        <f t="shared" si="32"/>
        <v/>
      </c>
      <c r="C292" s="33" t="str">
        <f t="shared" si="38"/>
        <v/>
      </c>
      <c r="D292" s="33" t="str">
        <f t="shared" si="33"/>
        <v/>
      </c>
      <c r="E292" s="34" t="e">
        <f t="shared" si="34"/>
        <v>#VALUE!</v>
      </c>
      <c r="F292" s="33" t="e">
        <f t="shared" si="35"/>
        <v>#VALUE!</v>
      </c>
      <c r="G292" s="33" t="str">
        <f t="shared" si="36"/>
        <v/>
      </c>
      <c r="H292" s="33" t="str">
        <f t="shared" si="39"/>
        <v/>
      </c>
      <c r="I292" s="33" t="e">
        <f t="shared" si="37"/>
        <v>#VALUE!</v>
      </c>
      <c r="J292" s="33">
        <f>SUM($H$18:$H292)</f>
        <v>0</v>
      </c>
    </row>
    <row r="293" spans="1:10">
      <c r="A293" s="36" t="str">
        <f>IF(Values_Entered,A292+1,"")</f>
        <v/>
      </c>
      <c r="B293" s="35" t="str">
        <f t="shared" si="32"/>
        <v/>
      </c>
      <c r="C293" s="33" t="str">
        <f t="shared" si="38"/>
        <v/>
      </c>
      <c r="D293" s="33" t="str">
        <f t="shared" si="33"/>
        <v/>
      </c>
      <c r="E293" s="34" t="e">
        <f t="shared" si="34"/>
        <v>#VALUE!</v>
      </c>
      <c r="F293" s="33" t="e">
        <f t="shared" si="35"/>
        <v>#VALUE!</v>
      </c>
      <c r="G293" s="33" t="str">
        <f t="shared" si="36"/>
        <v/>
      </c>
      <c r="H293" s="33" t="str">
        <f t="shared" si="39"/>
        <v/>
      </c>
      <c r="I293" s="33" t="e">
        <f t="shared" si="37"/>
        <v>#VALUE!</v>
      </c>
      <c r="J293" s="33">
        <f>SUM($H$18:$H293)</f>
        <v>0</v>
      </c>
    </row>
    <row r="294" spans="1:10">
      <c r="A294" s="36" t="str">
        <f>IF(Values_Entered,A293+1,"")</f>
        <v/>
      </c>
      <c r="B294" s="35" t="str">
        <f t="shared" si="32"/>
        <v/>
      </c>
      <c r="C294" s="33" t="str">
        <f t="shared" si="38"/>
        <v/>
      </c>
      <c r="D294" s="33" t="str">
        <f t="shared" si="33"/>
        <v/>
      </c>
      <c r="E294" s="34" t="e">
        <f t="shared" si="34"/>
        <v>#VALUE!</v>
      </c>
      <c r="F294" s="33" t="e">
        <f t="shared" si="35"/>
        <v>#VALUE!</v>
      </c>
      <c r="G294" s="33" t="str">
        <f t="shared" si="36"/>
        <v/>
      </c>
      <c r="H294" s="33" t="str">
        <f t="shared" si="39"/>
        <v/>
      </c>
      <c r="I294" s="33" t="e">
        <f t="shared" si="37"/>
        <v>#VALUE!</v>
      </c>
      <c r="J294" s="33">
        <f>SUM($H$18:$H294)</f>
        <v>0</v>
      </c>
    </row>
    <row r="295" spans="1:10">
      <c r="A295" s="36" t="str">
        <f>IF(Values_Entered,A294+1,"")</f>
        <v/>
      </c>
      <c r="B295" s="35" t="str">
        <f t="shared" si="32"/>
        <v/>
      </c>
      <c r="C295" s="33" t="str">
        <f t="shared" si="38"/>
        <v/>
      </c>
      <c r="D295" s="33" t="str">
        <f t="shared" si="33"/>
        <v/>
      </c>
      <c r="E295" s="34" t="e">
        <f t="shared" si="34"/>
        <v>#VALUE!</v>
      </c>
      <c r="F295" s="33" t="e">
        <f t="shared" si="35"/>
        <v>#VALUE!</v>
      </c>
      <c r="G295" s="33" t="str">
        <f t="shared" si="36"/>
        <v/>
      </c>
      <c r="H295" s="33" t="str">
        <f t="shared" si="39"/>
        <v/>
      </c>
      <c r="I295" s="33" t="e">
        <f t="shared" si="37"/>
        <v>#VALUE!</v>
      </c>
      <c r="J295" s="33">
        <f>SUM($H$18:$H295)</f>
        <v>0</v>
      </c>
    </row>
    <row r="296" spans="1:10">
      <c r="A296" s="36" t="str">
        <f>IF(Values_Entered,A295+1,"")</f>
        <v/>
      </c>
      <c r="B296" s="35" t="str">
        <f t="shared" si="32"/>
        <v/>
      </c>
      <c r="C296" s="33" t="str">
        <f t="shared" si="38"/>
        <v/>
      </c>
      <c r="D296" s="33" t="str">
        <f t="shared" si="33"/>
        <v/>
      </c>
      <c r="E296" s="34" t="e">
        <f t="shared" si="34"/>
        <v>#VALUE!</v>
      </c>
      <c r="F296" s="33" t="e">
        <f t="shared" si="35"/>
        <v>#VALUE!</v>
      </c>
      <c r="G296" s="33" t="str">
        <f t="shared" si="36"/>
        <v/>
      </c>
      <c r="H296" s="33" t="str">
        <f t="shared" si="39"/>
        <v/>
      </c>
      <c r="I296" s="33" t="e">
        <f t="shared" si="37"/>
        <v>#VALUE!</v>
      </c>
      <c r="J296" s="33">
        <f>SUM($H$18:$H296)</f>
        <v>0</v>
      </c>
    </row>
    <row r="297" spans="1:10">
      <c r="A297" s="36" t="str">
        <f>IF(Values_Entered,A296+1,"")</f>
        <v/>
      </c>
      <c r="B297" s="35" t="str">
        <f t="shared" si="32"/>
        <v/>
      </c>
      <c r="C297" s="33" t="str">
        <f t="shared" si="38"/>
        <v/>
      </c>
      <c r="D297" s="33" t="str">
        <f t="shared" si="33"/>
        <v/>
      </c>
      <c r="E297" s="34" t="e">
        <f t="shared" si="34"/>
        <v>#VALUE!</v>
      </c>
      <c r="F297" s="33" t="e">
        <f t="shared" si="35"/>
        <v>#VALUE!</v>
      </c>
      <c r="G297" s="33" t="str">
        <f t="shared" si="36"/>
        <v/>
      </c>
      <c r="H297" s="33" t="str">
        <f t="shared" si="39"/>
        <v/>
      </c>
      <c r="I297" s="33" t="e">
        <f t="shared" si="37"/>
        <v>#VALUE!</v>
      </c>
      <c r="J297" s="33">
        <f>SUM($H$18:$H297)</f>
        <v>0</v>
      </c>
    </row>
    <row r="298" spans="1:10">
      <c r="A298" s="36" t="str">
        <f>IF(Values_Entered,A297+1,"")</f>
        <v/>
      </c>
      <c r="B298" s="35" t="str">
        <f t="shared" si="32"/>
        <v/>
      </c>
      <c r="C298" s="33" t="str">
        <f t="shared" si="38"/>
        <v/>
      </c>
      <c r="D298" s="33" t="str">
        <f t="shared" si="33"/>
        <v/>
      </c>
      <c r="E298" s="34" t="e">
        <f t="shared" si="34"/>
        <v>#VALUE!</v>
      </c>
      <c r="F298" s="33" t="e">
        <f t="shared" si="35"/>
        <v>#VALUE!</v>
      </c>
      <c r="G298" s="33" t="str">
        <f t="shared" si="36"/>
        <v/>
      </c>
      <c r="H298" s="33" t="str">
        <f t="shared" si="39"/>
        <v/>
      </c>
      <c r="I298" s="33" t="e">
        <f t="shared" si="37"/>
        <v>#VALUE!</v>
      </c>
      <c r="J298" s="33">
        <f>SUM($H$18:$H298)</f>
        <v>0</v>
      </c>
    </row>
    <row r="299" spans="1:10">
      <c r="A299" s="36" t="str">
        <f>IF(Values_Entered,A298+1,"")</f>
        <v/>
      </c>
      <c r="B299" s="35" t="str">
        <f t="shared" si="32"/>
        <v/>
      </c>
      <c r="C299" s="33" t="str">
        <f t="shared" si="38"/>
        <v/>
      </c>
      <c r="D299" s="33" t="str">
        <f t="shared" si="33"/>
        <v/>
      </c>
      <c r="E299" s="34" t="e">
        <f t="shared" si="34"/>
        <v>#VALUE!</v>
      </c>
      <c r="F299" s="33" t="e">
        <f t="shared" si="35"/>
        <v>#VALUE!</v>
      </c>
      <c r="G299" s="33" t="str">
        <f t="shared" si="36"/>
        <v/>
      </c>
      <c r="H299" s="33" t="str">
        <f t="shared" si="39"/>
        <v/>
      </c>
      <c r="I299" s="33" t="e">
        <f t="shared" si="37"/>
        <v>#VALUE!</v>
      </c>
      <c r="J299" s="33">
        <f>SUM($H$18:$H299)</f>
        <v>0</v>
      </c>
    </row>
    <row r="300" spans="1:10">
      <c r="A300" s="36" t="str">
        <f>IF(Values_Entered,A299+1,"")</f>
        <v/>
      </c>
      <c r="B300" s="35" t="str">
        <f t="shared" si="32"/>
        <v/>
      </c>
      <c r="C300" s="33" t="str">
        <f t="shared" si="38"/>
        <v/>
      </c>
      <c r="D300" s="33" t="str">
        <f t="shared" si="33"/>
        <v/>
      </c>
      <c r="E300" s="34" t="e">
        <f t="shared" si="34"/>
        <v>#VALUE!</v>
      </c>
      <c r="F300" s="33" t="e">
        <f t="shared" si="35"/>
        <v>#VALUE!</v>
      </c>
      <c r="G300" s="33" t="str">
        <f t="shared" si="36"/>
        <v/>
      </c>
      <c r="H300" s="33" t="str">
        <f t="shared" si="39"/>
        <v/>
      </c>
      <c r="I300" s="33" t="e">
        <f t="shared" si="37"/>
        <v>#VALUE!</v>
      </c>
      <c r="J300" s="33">
        <f>SUM($H$18:$H300)</f>
        <v>0</v>
      </c>
    </row>
    <row r="301" spans="1:10">
      <c r="A301" s="36" t="str">
        <f>IF(Values_Entered,A300+1,"")</f>
        <v/>
      </c>
      <c r="B301" s="35" t="str">
        <f t="shared" si="32"/>
        <v/>
      </c>
      <c r="C301" s="33" t="str">
        <f t="shared" si="38"/>
        <v/>
      </c>
      <c r="D301" s="33" t="str">
        <f t="shared" si="33"/>
        <v/>
      </c>
      <c r="E301" s="34" t="e">
        <f t="shared" si="34"/>
        <v>#VALUE!</v>
      </c>
      <c r="F301" s="33" t="e">
        <f t="shared" si="35"/>
        <v>#VALUE!</v>
      </c>
      <c r="G301" s="33" t="str">
        <f t="shared" si="36"/>
        <v/>
      </c>
      <c r="H301" s="33" t="str">
        <f t="shared" si="39"/>
        <v/>
      </c>
      <c r="I301" s="33" t="e">
        <f t="shared" si="37"/>
        <v>#VALUE!</v>
      </c>
      <c r="J301" s="33">
        <f>SUM($H$18:$H301)</f>
        <v>0</v>
      </c>
    </row>
    <row r="302" spans="1:10">
      <c r="A302" s="36" t="str">
        <f>IF(Values_Entered,A301+1,"")</f>
        <v/>
      </c>
      <c r="B302" s="35" t="str">
        <f t="shared" si="32"/>
        <v/>
      </c>
      <c r="C302" s="33" t="str">
        <f t="shared" si="38"/>
        <v/>
      </c>
      <c r="D302" s="33" t="str">
        <f t="shared" si="33"/>
        <v/>
      </c>
      <c r="E302" s="34" t="e">
        <f t="shared" si="34"/>
        <v>#VALUE!</v>
      </c>
      <c r="F302" s="33" t="e">
        <f t="shared" si="35"/>
        <v>#VALUE!</v>
      </c>
      <c r="G302" s="33" t="str">
        <f t="shared" si="36"/>
        <v/>
      </c>
      <c r="H302" s="33" t="str">
        <f t="shared" si="39"/>
        <v/>
      </c>
      <c r="I302" s="33" t="e">
        <f t="shared" si="37"/>
        <v>#VALUE!</v>
      </c>
      <c r="J302" s="33">
        <f>SUM($H$18:$H302)</f>
        <v>0</v>
      </c>
    </row>
    <row r="303" spans="1:10">
      <c r="A303" s="36" t="str">
        <f>IF(Values_Entered,A302+1,"")</f>
        <v/>
      </c>
      <c r="B303" s="35" t="str">
        <f t="shared" si="32"/>
        <v/>
      </c>
      <c r="C303" s="33" t="str">
        <f t="shared" si="38"/>
        <v/>
      </c>
      <c r="D303" s="33" t="str">
        <f t="shared" si="33"/>
        <v/>
      </c>
      <c r="E303" s="34" t="e">
        <f t="shared" si="34"/>
        <v>#VALUE!</v>
      </c>
      <c r="F303" s="33" t="e">
        <f t="shared" si="35"/>
        <v>#VALUE!</v>
      </c>
      <c r="G303" s="33" t="str">
        <f t="shared" si="36"/>
        <v/>
      </c>
      <c r="H303" s="33" t="str">
        <f t="shared" si="39"/>
        <v/>
      </c>
      <c r="I303" s="33" t="e">
        <f t="shared" si="37"/>
        <v>#VALUE!</v>
      </c>
      <c r="J303" s="33">
        <f>SUM($H$18:$H303)</f>
        <v>0</v>
      </c>
    </row>
    <row r="304" spans="1:10">
      <c r="A304" s="36" t="str">
        <f>IF(Values_Entered,A303+1,"")</f>
        <v/>
      </c>
      <c r="B304" s="35" t="str">
        <f t="shared" si="32"/>
        <v/>
      </c>
      <c r="C304" s="33" t="str">
        <f t="shared" si="38"/>
        <v/>
      </c>
      <c r="D304" s="33" t="str">
        <f t="shared" si="33"/>
        <v/>
      </c>
      <c r="E304" s="34" t="e">
        <f t="shared" si="34"/>
        <v>#VALUE!</v>
      </c>
      <c r="F304" s="33" t="e">
        <f t="shared" si="35"/>
        <v>#VALUE!</v>
      </c>
      <c r="G304" s="33" t="str">
        <f t="shared" si="36"/>
        <v/>
      </c>
      <c r="H304" s="33" t="str">
        <f t="shared" si="39"/>
        <v/>
      </c>
      <c r="I304" s="33" t="e">
        <f t="shared" si="37"/>
        <v>#VALUE!</v>
      </c>
      <c r="J304" s="33">
        <f>SUM($H$18:$H304)</f>
        <v>0</v>
      </c>
    </row>
    <row r="305" spans="1:10">
      <c r="A305" s="36" t="str">
        <f>IF(Values_Entered,A304+1,"")</f>
        <v/>
      </c>
      <c r="B305" s="35" t="str">
        <f t="shared" si="32"/>
        <v/>
      </c>
      <c r="C305" s="33" t="str">
        <f t="shared" si="38"/>
        <v/>
      </c>
      <c r="D305" s="33" t="str">
        <f t="shared" si="33"/>
        <v/>
      </c>
      <c r="E305" s="34" t="e">
        <f t="shared" si="34"/>
        <v>#VALUE!</v>
      </c>
      <c r="F305" s="33" t="e">
        <f t="shared" si="35"/>
        <v>#VALUE!</v>
      </c>
      <c r="G305" s="33" t="str">
        <f t="shared" si="36"/>
        <v/>
      </c>
      <c r="H305" s="33" t="str">
        <f t="shared" si="39"/>
        <v/>
      </c>
      <c r="I305" s="33" t="e">
        <f t="shared" si="37"/>
        <v>#VALUE!</v>
      </c>
      <c r="J305" s="33">
        <f>SUM($H$18:$H305)</f>
        <v>0</v>
      </c>
    </row>
    <row r="306" spans="1:10">
      <c r="A306" s="36" t="str">
        <f>IF(Values_Entered,A305+1,"")</f>
        <v/>
      </c>
      <c r="B306" s="35" t="str">
        <f t="shared" si="32"/>
        <v/>
      </c>
      <c r="C306" s="33" t="str">
        <f t="shared" si="38"/>
        <v/>
      </c>
      <c r="D306" s="33" t="str">
        <f t="shared" si="33"/>
        <v/>
      </c>
      <c r="E306" s="34" t="e">
        <f t="shared" si="34"/>
        <v>#VALUE!</v>
      </c>
      <c r="F306" s="33" t="e">
        <f t="shared" si="35"/>
        <v>#VALUE!</v>
      </c>
      <c r="G306" s="33" t="str">
        <f t="shared" si="36"/>
        <v/>
      </c>
      <c r="H306" s="33" t="str">
        <f t="shared" si="39"/>
        <v/>
      </c>
      <c r="I306" s="33" t="e">
        <f t="shared" si="37"/>
        <v>#VALUE!</v>
      </c>
      <c r="J306" s="33">
        <f>SUM($H$18:$H306)</f>
        <v>0</v>
      </c>
    </row>
    <row r="307" spans="1:10">
      <c r="A307" s="36" t="str">
        <f>IF(Values_Entered,A306+1,"")</f>
        <v/>
      </c>
      <c r="B307" s="35" t="str">
        <f t="shared" si="32"/>
        <v/>
      </c>
      <c r="C307" s="33" t="str">
        <f t="shared" si="38"/>
        <v/>
      </c>
      <c r="D307" s="33" t="str">
        <f t="shared" si="33"/>
        <v/>
      </c>
      <c r="E307" s="34" t="e">
        <f t="shared" si="34"/>
        <v>#VALUE!</v>
      </c>
      <c r="F307" s="33" t="e">
        <f t="shared" si="35"/>
        <v>#VALUE!</v>
      </c>
      <c r="G307" s="33" t="str">
        <f t="shared" si="36"/>
        <v/>
      </c>
      <c r="H307" s="33" t="str">
        <f t="shared" si="39"/>
        <v/>
      </c>
      <c r="I307" s="33" t="e">
        <f t="shared" si="37"/>
        <v>#VALUE!</v>
      </c>
      <c r="J307" s="33">
        <f>SUM($H$18:$H307)</f>
        <v>0</v>
      </c>
    </row>
    <row r="308" spans="1:10">
      <c r="A308" s="36" t="str">
        <f>IF(Values_Entered,A307+1,"")</f>
        <v/>
      </c>
      <c r="B308" s="35" t="str">
        <f t="shared" si="32"/>
        <v/>
      </c>
      <c r="C308" s="33" t="str">
        <f t="shared" si="38"/>
        <v/>
      </c>
      <c r="D308" s="33" t="str">
        <f t="shared" si="33"/>
        <v/>
      </c>
      <c r="E308" s="34" t="e">
        <f t="shared" si="34"/>
        <v>#VALUE!</v>
      </c>
      <c r="F308" s="33" t="e">
        <f t="shared" si="35"/>
        <v>#VALUE!</v>
      </c>
      <c r="G308" s="33" t="str">
        <f t="shared" si="36"/>
        <v/>
      </c>
      <c r="H308" s="33" t="str">
        <f t="shared" si="39"/>
        <v/>
      </c>
      <c r="I308" s="33" t="e">
        <f t="shared" si="37"/>
        <v>#VALUE!</v>
      </c>
      <c r="J308" s="33">
        <f>SUM($H$18:$H308)</f>
        <v>0</v>
      </c>
    </row>
    <row r="309" spans="1:10">
      <c r="A309" s="36" t="str">
        <f>IF(Values_Entered,A308+1,"")</f>
        <v/>
      </c>
      <c r="B309" s="35" t="str">
        <f t="shared" si="32"/>
        <v/>
      </c>
      <c r="C309" s="33" t="str">
        <f t="shared" si="38"/>
        <v/>
      </c>
      <c r="D309" s="33" t="str">
        <f t="shared" si="33"/>
        <v/>
      </c>
      <c r="E309" s="34" t="e">
        <f t="shared" si="34"/>
        <v>#VALUE!</v>
      </c>
      <c r="F309" s="33" t="e">
        <f t="shared" si="35"/>
        <v>#VALUE!</v>
      </c>
      <c r="G309" s="33" t="str">
        <f t="shared" si="36"/>
        <v/>
      </c>
      <c r="H309" s="33" t="str">
        <f t="shared" si="39"/>
        <v/>
      </c>
      <c r="I309" s="33" t="e">
        <f t="shared" si="37"/>
        <v>#VALUE!</v>
      </c>
      <c r="J309" s="33">
        <f>SUM($H$18:$H309)</f>
        <v>0</v>
      </c>
    </row>
    <row r="310" spans="1:10">
      <c r="A310" s="36" t="str">
        <f>IF(Values_Entered,A309+1,"")</f>
        <v/>
      </c>
      <c r="B310" s="35" t="str">
        <f t="shared" si="32"/>
        <v/>
      </c>
      <c r="C310" s="33" t="str">
        <f t="shared" si="38"/>
        <v/>
      </c>
      <c r="D310" s="33" t="str">
        <f t="shared" si="33"/>
        <v/>
      </c>
      <c r="E310" s="34" t="e">
        <f t="shared" si="34"/>
        <v>#VALUE!</v>
      </c>
      <c r="F310" s="33" t="e">
        <f t="shared" si="35"/>
        <v>#VALUE!</v>
      </c>
      <c r="G310" s="33" t="str">
        <f t="shared" si="36"/>
        <v/>
      </c>
      <c r="H310" s="33" t="str">
        <f t="shared" si="39"/>
        <v/>
      </c>
      <c r="I310" s="33" t="e">
        <f t="shared" si="37"/>
        <v>#VALUE!</v>
      </c>
      <c r="J310" s="33">
        <f>SUM($H$18:$H310)</f>
        <v>0</v>
      </c>
    </row>
    <row r="311" spans="1:10">
      <c r="A311" s="36" t="str">
        <f>IF(Values_Entered,A310+1,"")</f>
        <v/>
      </c>
      <c r="B311" s="35" t="str">
        <f t="shared" si="32"/>
        <v/>
      </c>
      <c r="C311" s="33" t="str">
        <f t="shared" si="38"/>
        <v/>
      </c>
      <c r="D311" s="33" t="str">
        <f t="shared" si="33"/>
        <v/>
      </c>
      <c r="E311" s="34" t="e">
        <f t="shared" si="34"/>
        <v>#VALUE!</v>
      </c>
      <c r="F311" s="33" t="e">
        <f t="shared" si="35"/>
        <v>#VALUE!</v>
      </c>
      <c r="G311" s="33" t="str">
        <f t="shared" si="36"/>
        <v/>
      </c>
      <c r="H311" s="33" t="str">
        <f t="shared" si="39"/>
        <v/>
      </c>
      <c r="I311" s="33" t="e">
        <f t="shared" si="37"/>
        <v>#VALUE!</v>
      </c>
      <c r="J311" s="33">
        <f>SUM($H$18:$H311)</f>
        <v>0</v>
      </c>
    </row>
    <row r="312" spans="1:10">
      <c r="A312" s="36" t="str">
        <f>IF(Values_Entered,A311+1,"")</f>
        <v/>
      </c>
      <c r="B312" s="35" t="str">
        <f t="shared" si="32"/>
        <v/>
      </c>
      <c r="C312" s="33" t="str">
        <f t="shared" si="38"/>
        <v/>
      </c>
      <c r="D312" s="33" t="str">
        <f t="shared" si="33"/>
        <v/>
      </c>
      <c r="E312" s="34" t="e">
        <f t="shared" si="34"/>
        <v>#VALUE!</v>
      </c>
      <c r="F312" s="33" t="e">
        <f t="shared" si="35"/>
        <v>#VALUE!</v>
      </c>
      <c r="G312" s="33" t="str">
        <f t="shared" si="36"/>
        <v/>
      </c>
      <c r="H312" s="33" t="str">
        <f t="shared" si="39"/>
        <v/>
      </c>
      <c r="I312" s="33" t="e">
        <f t="shared" si="37"/>
        <v>#VALUE!</v>
      </c>
      <c r="J312" s="33">
        <f>SUM($H$18:$H312)</f>
        <v>0</v>
      </c>
    </row>
    <row r="313" spans="1:10">
      <c r="A313" s="36" t="str">
        <f>IF(Values_Entered,A312+1,"")</f>
        <v/>
      </c>
      <c r="B313" s="35" t="str">
        <f t="shared" si="32"/>
        <v/>
      </c>
      <c r="C313" s="33" t="str">
        <f t="shared" si="38"/>
        <v/>
      </c>
      <c r="D313" s="33" t="str">
        <f t="shared" si="33"/>
        <v/>
      </c>
      <c r="E313" s="34" t="e">
        <f t="shared" si="34"/>
        <v>#VALUE!</v>
      </c>
      <c r="F313" s="33" t="e">
        <f t="shared" si="35"/>
        <v>#VALUE!</v>
      </c>
      <c r="G313" s="33" t="str">
        <f t="shared" si="36"/>
        <v/>
      </c>
      <c r="H313" s="33" t="str">
        <f t="shared" si="39"/>
        <v/>
      </c>
      <c r="I313" s="33" t="e">
        <f t="shared" si="37"/>
        <v>#VALUE!</v>
      </c>
      <c r="J313" s="33">
        <f>SUM($H$18:$H313)</f>
        <v>0</v>
      </c>
    </row>
    <row r="314" spans="1:10">
      <c r="A314" s="36" t="str">
        <f>IF(Values_Entered,A313+1,"")</f>
        <v/>
      </c>
      <c r="B314" s="35" t="str">
        <f t="shared" si="32"/>
        <v/>
      </c>
      <c r="C314" s="33" t="str">
        <f t="shared" si="38"/>
        <v/>
      </c>
      <c r="D314" s="33" t="str">
        <f t="shared" si="33"/>
        <v/>
      </c>
      <c r="E314" s="34" t="e">
        <f t="shared" si="34"/>
        <v>#VALUE!</v>
      </c>
      <c r="F314" s="33" t="e">
        <f t="shared" si="35"/>
        <v>#VALUE!</v>
      </c>
      <c r="G314" s="33" t="str">
        <f t="shared" si="36"/>
        <v/>
      </c>
      <c r="H314" s="33" t="str">
        <f t="shared" si="39"/>
        <v/>
      </c>
      <c r="I314" s="33" t="e">
        <f t="shared" si="37"/>
        <v>#VALUE!</v>
      </c>
      <c r="J314" s="33">
        <f>SUM($H$18:$H314)</f>
        <v>0</v>
      </c>
    </row>
    <row r="315" spans="1:10">
      <c r="A315" s="36" t="str">
        <f>IF(Values_Entered,A314+1,"")</f>
        <v/>
      </c>
      <c r="B315" s="35" t="str">
        <f t="shared" si="32"/>
        <v/>
      </c>
      <c r="C315" s="33" t="str">
        <f t="shared" si="38"/>
        <v/>
      </c>
      <c r="D315" s="33" t="str">
        <f t="shared" si="33"/>
        <v/>
      </c>
      <c r="E315" s="34" t="e">
        <f t="shared" si="34"/>
        <v>#VALUE!</v>
      </c>
      <c r="F315" s="33" t="e">
        <f t="shared" si="35"/>
        <v>#VALUE!</v>
      </c>
      <c r="G315" s="33" t="str">
        <f t="shared" si="36"/>
        <v/>
      </c>
      <c r="H315" s="33" t="str">
        <f t="shared" si="39"/>
        <v/>
      </c>
      <c r="I315" s="33" t="e">
        <f t="shared" si="37"/>
        <v>#VALUE!</v>
      </c>
      <c r="J315" s="33">
        <f>SUM($H$18:$H315)</f>
        <v>0</v>
      </c>
    </row>
    <row r="316" spans="1:10">
      <c r="A316" s="36" t="str">
        <f>IF(Values_Entered,A315+1,"")</f>
        <v/>
      </c>
      <c r="B316" s="35" t="str">
        <f t="shared" si="32"/>
        <v/>
      </c>
      <c r="C316" s="33" t="str">
        <f t="shared" si="38"/>
        <v/>
      </c>
      <c r="D316" s="33" t="str">
        <f t="shared" si="33"/>
        <v/>
      </c>
      <c r="E316" s="34" t="e">
        <f t="shared" si="34"/>
        <v>#VALUE!</v>
      </c>
      <c r="F316" s="33" t="e">
        <f t="shared" si="35"/>
        <v>#VALUE!</v>
      </c>
      <c r="G316" s="33" t="str">
        <f t="shared" si="36"/>
        <v/>
      </c>
      <c r="H316" s="33" t="str">
        <f t="shared" si="39"/>
        <v/>
      </c>
      <c r="I316" s="33" t="e">
        <f t="shared" si="37"/>
        <v>#VALUE!</v>
      </c>
      <c r="J316" s="33">
        <f>SUM($H$18:$H316)</f>
        <v>0</v>
      </c>
    </row>
    <row r="317" spans="1:10">
      <c r="A317" s="36" t="str">
        <f>IF(Values_Entered,A316+1,"")</f>
        <v/>
      </c>
      <c r="B317" s="35" t="str">
        <f t="shared" si="32"/>
        <v/>
      </c>
      <c r="C317" s="33" t="str">
        <f t="shared" si="38"/>
        <v/>
      </c>
      <c r="D317" s="33" t="str">
        <f t="shared" si="33"/>
        <v/>
      </c>
      <c r="E317" s="34" t="e">
        <f t="shared" si="34"/>
        <v>#VALUE!</v>
      </c>
      <c r="F317" s="33" t="e">
        <f t="shared" si="35"/>
        <v>#VALUE!</v>
      </c>
      <c r="G317" s="33" t="str">
        <f t="shared" si="36"/>
        <v/>
      </c>
      <c r="H317" s="33" t="str">
        <f t="shared" si="39"/>
        <v/>
      </c>
      <c r="I317" s="33" t="e">
        <f t="shared" si="37"/>
        <v>#VALUE!</v>
      </c>
      <c r="J317" s="33">
        <f>SUM($H$18:$H317)</f>
        <v>0</v>
      </c>
    </row>
    <row r="318" spans="1:10">
      <c r="A318" s="36" t="str">
        <f>IF(Values_Entered,A317+1,"")</f>
        <v/>
      </c>
      <c r="B318" s="35" t="str">
        <f t="shared" si="32"/>
        <v/>
      </c>
      <c r="C318" s="33" t="str">
        <f t="shared" si="38"/>
        <v/>
      </c>
      <c r="D318" s="33" t="str">
        <f t="shared" si="33"/>
        <v/>
      </c>
      <c r="E318" s="34" t="e">
        <f t="shared" si="34"/>
        <v>#VALUE!</v>
      </c>
      <c r="F318" s="33" t="e">
        <f t="shared" si="35"/>
        <v>#VALUE!</v>
      </c>
      <c r="G318" s="33" t="str">
        <f t="shared" si="36"/>
        <v/>
      </c>
      <c r="H318" s="33" t="str">
        <f t="shared" si="39"/>
        <v/>
      </c>
      <c r="I318" s="33" t="e">
        <f t="shared" si="37"/>
        <v>#VALUE!</v>
      </c>
      <c r="J318" s="33">
        <f>SUM($H$18:$H318)</f>
        <v>0</v>
      </c>
    </row>
    <row r="319" spans="1:10">
      <c r="A319" s="36" t="str">
        <f>IF(Values_Entered,A318+1,"")</f>
        <v/>
      </c>
      <c r="B319" s="35" t="str">
        <f t="shared" si="32"/>
        <v/>
      </c>
      <c r="C319" s="33" t="str">
        <f t="shared" si="38"/>
        <v/>
      </c>
      <c r="D319" s="33" t="str">
        <f t="shared" si="33"/>
        <v/>
      </c>
      <c r="E319" s="34" t="e">
        <f t="shared" si="34"/>
        <v>#VALUE!</v>
      </c>
      <c r="F319" s="33" t="e">
        <f t="shared" si="35"/>
        <v>#VALUE!</v>
      </c>
      <c r="G319" s="33" t="str">
        <f t="shared" si="36"/>
        <v/>
      </c>
      <c r="H319" s="33" t="str">
        <f t="shared" si="39"/>
        <v/>
      </c>
      <c r="I319" s="33" t="e">
        <f t="shared" si="37"/>
        <v>#VALUE!</v>
      </c>
      <c r="J319" s="33">
        <f>SUM($H$18:$H319)</f>
        <v>0</v>
      </c>
    </row>
    <row r="320" spans="1:10">
      <c r="A320" s="36" t="str">
        <f>IF(Values_Entered,A319+1,"")</f>
        <v/>
      </c>
      <c r="B320" s="35" t="str">
        <f t="shared" si="32"/>
        <v/>
      </c>
      <c r="C320" s="33" t="str">
        <f t="shared" si="38"/>
        <v/>
      </c>
      <c r="D320" s="33" t="str">
        <f t="shared" si="33"/>
        <v/>
      </c>
      <c r="E320" s="34" t="e">
        <f t="shared" si="34"/>
        <v>#VALUE!</v>
      </c>
      <c r="F320" s="33" t="e">
        <f t="shared" si="35"/>
        <v>#VALUE!</v>
      </c>
      <c r="G320" s="33" t="str">
        <f t="shared" si="36"/>
        <v/>
      </c>
      <c r="H320" s="33" t="str">
        <f t="shared" si="39"/>
        <v/>
      </c>
      <c r="I320" s="33" t="e">
        <f t="shared" si="37"/>
        <v>#VALUE!</v>
      </c>
      <c r="J320" s="33">
        <f>SUM($H$18:$H320)</f>
        <v>0</v>
      </c>
    </row>
    <row r="321" spans="1:10">
      <c r="A321" s="36" t="str">
        <f>IF(Values_Entered,A320+1,"")</f>
        <v/>
      </c>
      <c r="B321" s="35" t="str">
        <f t="shared" si="32"/>
        <v/>
      </c>
      <c r="C321" s="33" t="str">
        <f t="shared" si="38"/>
        <v/>
      </c>
      <c r="D321" s="33" t="str">
        <f t="shared" si="33"/>
        <v/>
      </c>
      <c r="E321" s="34" t="e">
        <f t="shared" si="34"/>
        <v>#VALUE!</v>
      </c>
      <c r="F321" s="33" t="e">
        <f t="shared" si="35"/>
        <v>#VALUE!</v>
      </c>
      <c r="G321" s="33" t="str">
        <f t="shared" si="36"/>
        <v/>
      </c>
      <c r="H321" s="33" t="str">
        <f t="shared" si="39"/>
        <v/>
      </c>
      <c r="I321" s="33" t="e">
        <f t="shared" si="37"/>
        <v>#VALUE!</v>
      </c>
      <c r="J321" s="33">
        <f>SUM($H$18:$H321)</f>
        <v>0</v>
      </c>
    </row>
    <row r="322" spans="1:10">
      <c r="A322" s="36" t="str">
        <f>IF(Values_Entered,A321+1,"")</f>
        <v/>
      </c>
      <c r="B322" s="35" t="str">
        <f t="shared" si="32"/>
        <v/>
      </c>
      <c r="C322" s="33" t="str">
        <f t="shared" si="38"/>
        <v/>
      </c>
      <c r="D322" s="33" t="str">
        <f t="shared" si="33"/>
        <v/>
      </c>
      <c r="E322" s="34" t="e">
        <f t="shared" si="34"/>
        <v>#VALUE!</v>
      </c>
      <c r="F322" s="33" t="e">
        <f t="shared" si="35"/>
        <v>#VALUE!</v>
      </c>
      <c r="G322" s="33" t="str">
        <f t="shared" si="36"/>
        <v/>
      </c>
      <c r="H322" s="33" t="str">
        <f t="shared" si="39"/>
        <v/>
      </c>
      <c r="I322" s="33" t="e">
        <f t="shared" si="37"/>
        <v>#VALUE!</v>
      </c>
      <c r="J322" s="33">
        <f>SUM($H$18:$H322)</f>
        <v>0</v>
      </c>
    </row>
    <row r="323" spans="1:10">
      <c r="A323" s="36" t="str">
        <f>IF(Values_Entered,A322+1,"")</f>
        <v/>
      </c>
      <c r="B323" s="35" t="str">
        <f t="shared" si="32"/>
        <v/>
      </c>
      <c r="C323" s="33" t="str">
        <f t="shared" si="38"/>
        <v/>
      </c>
      <c r="D323" s="33" t="str">
        <f t="shared" si="33"/>
        <v/>
      </c>
      <c r="E323" s="34" t="e">
        <f t="shared" si="34"/>
        <v>#VALUE!</v>
      </c>
      <c r="F323" s="33" t="e">
        <f t="shared" si="35"/>
        <v>#VALUE!</v>
      </c>
      <c r="G323" s="33" t="str">
        <f t="shared" si="36"/>
        <v/>
      </c>
      <c r="H323" s="33" t="str">
        <f t="shared" si="39"/>
        <v/>
      </c>
      <c r="I323" s="33" t="e">
        <f t="shared" si="37"/>
        <v>#VALUE!</v>
      </c>
      <c r="J323" s="33">
        <f>SUM($H$18:$H323)</f>
        <v>0</v>
      </c>
    </row>
    <row r="324" spans="1:10">
      <c r="A324" s="36" t="str">
        <f>IF(Values_Entered,A323+1,"")</f>
        <v/>
      </c>
      <c r="B324" s="35" t="str">
        <f t="shared" si="32"/>
        <v/>
      </c>
      <c r="C324" s="33" t="str">
        <f t="shared" si="38"/>
        <v/>
      </c>
      <c r="D324" s="33" t="str">
        <f t="shared" si="33"/>
        <v/>
      </c>
      <c r="E324" s="34" t="e">
        <f t="shared" si="34"/>
        <v>#VALUE!</v>
      </c>
      <c r="F324" s="33" t="e">
        <f t="shared" si="35"/>
        <v>#VALUE!</v>
      </c>
      <c r="G324" s="33" t="str">
        <f t="shared" si="36"/>
        <v/>
      </c>
      <c r="H324" s="33" t="str">
        <f t="shared" si="39"/>
        <v/>
      </c>
      <c r="I324" s="33" t="e">
        <f t="shared" si="37"/>
        <v>#VALUE!</v>
      </c>
      <c r="J324" s="33">
        <f>SUM($H$18:$H324)</f>
        <v>0</v>
      </c>
    </row>
    <row r="325" spans="1:10">
      <c r="A325" s="36" t="str">
        <f>IF(Values_Entered,A324+1,"")</f>
        <v/>
      </c>
      <c r="B325" s="35" t="str">
        <f t="shared" si="32"/>
        <v/>
      </c>
      <c r="C325" s="33" t="str">
        <f t="shared" si="38"/>
        <v/>
      </c>
      <c r="D325" s="33" t="str">
        <f t="shared" si="33"/>
        <v/>
      </c>
      <c r="E325" s="34" t="e">
        <f t="shared" si="34"/>
        <v>#VALUE!</v>
      </c>
      <c r="F325" s="33" t="e">
        <f t="shared" si="35"/>
        <v>#VALUE!</v>
      </c>
      <c r="G325" s="33" t="str">
        <f t="shared" si="36"/>
        <v/>
      </c>
      <c r="H325" s="33" t="str">
        <f t="shared" si="39"/>
        <v/>
      </c>
      <c r="I325" s="33" t="e">
        <f t="shared" si="37"/>
        <v>#VALUE!</v>
      </c>
      <c r="J325" s="33">
        <f>SUM($H$18:$H325)</f>
        <v>0</v>
      </c>
    </row>
    <row r="326" spans="1:10">
      <c r="A326" s="36" t="str">
        <f>IF(Values_Entered,A325+1,"")</f>
        <v/>
      </c>
      <c r="B326" s="35" t="str">
        <f t="shared" si="32"/>
        <v/>
      </c>
      <c r="C326" s="33" t="str">
        <f t="shared" si="38"/>
        <v/>
      </c>
      <c r="D326" s="33" t="str">
        <f t="shared" si="33"/>
        <v/>
      </c>
      <c r="E326" s="34" t="e">
        <f t="shared" si="34"/>
        <v>#VALUE!</v>
      </c>
      <c r="F326" s="33" t="e">
        <f t="shared" si="35"/>
        <v>#VALUE!</v>
      </c>
      <c r="G326" s="33" t="str">
        <f t="shared" si="36"/>
        <v/>
      </c>
      <c r="H326" s="33" t="str">
        <f t="shared" si="39"/>
        <v/>
      </c>
      <c r="I326" s="33" t="e">
        <f t="shared" si="37"/>
        <v>#VALUE!</v>
      </c>
      <c r="J326" s="33">
        <f>SUM($H$18:$H326)</f>
        <v>0</v>
      </c>
    </row>
    <row r="327" spans="1:10">
      <c r="A327" s="36" t="str">
        <f>IF(Values_Entered,A326+1,"")</f>
        <v/>
      </c>
      <c r="B327" s="35" t="str">
        <f t="shared" si="32"/>
        <v/>
      </c>
      <c r="C327" s="33" t="str">
        <f t="shared" si="38"/>
        <v/>
      </c>
      <c r="D327" s="33" t="str">
        <f t="shared" si="33"/>
        <v/>
      </c>
      <c r="E327" s="34" t="e">
        <f t="shared" si="34"/>
        <v>#VALUE!</v>
      </c>
      <c r="F327" s="33" t="e">
        <f t="shared" si="35"/>
        <v>#VALUE!</v>
      </c>
      <c r="G327" s="33" t="str">
        <f t="shared" si="36"/>
        <v/>
      </c>
      <c r="H327" s="33" t="str">
        <f t="shared" si="39"/>
        <v/>
      </c>
      <c r="I327" s="33" t="e">
        <f t="shared" si="37"/>
        <v>#VALUE!</v>
      </c>
      <c r="J327" s="33">
        <f>SUM($H$18:$H327)</f>
        <v>0</v>
      </c>
    </row>
    <row r="328" spans="1:10">
      <c r="A328" s="36" t="str">
        <f>IF(Values_Entered,A327+1,"")</f>
        <v/>
      </c>
      <c r="B328" s="35" t="str">
        <f t="shared" si="32"/>
        <v/>
      </c>
      <c r="C328" s="33" t="str">
        <f t="shared" si="38"/>
        <v/>
      </c>
      <c r="D328" s="33" t="str">
        <f t="shared" si="33"/>
        <v/>
      </c>
      <c r="E328" s="34" t="e">
        <f t="shared" si="34"/>
        <v>#VALUE!</v>
      </c>
      <c r="F328" s="33" t="e">
        <f t="shared" si="35"/>
        <v>#VALUE!</v>
      </c>
      <c r="G328" s="33" t="str">
        <f t="shared" si="36"/>
        <v/>
      </c>
      <c r="H328" s="33" t="str">
        <f t="shared" si="39"/>
        <v/>
      </c>
      <c r="I328" s="33" t="e">
        <f t="shared" si="37"/>
        <v>#VALUE!</v>
      </c>
      <c r="J328" s="33">
        <f>SUM($H$18:$H328)</f>
        <v>0</v>
      </c>
    </row>
    <row r="329" spans="1:10">
      <c r="A329" s="36" t="str">
        <f>IF(Values_Entered,A328+1,"")</f>
        <v/>
      </c>
      <c r="B329" s="35" t="str">
        <f t="shared" si="32"/>
        <v/>
      </c>
      <c r="C329" s="33" t="str">
        <f t="shared" si="38"/>
        <v/>
      </c>
      <c r="D329" s="33" t="str">
        <f t="shared" si="33"/>
        <v/>
      </c>
      <c r="E329" s="34" t="e">
        <f t="shared" si="34"/>
        <v>#VALUE!</v>
      </c>
      <c r="F329" s="33" t="e">
        <f t="shared" si="35"/>
        <v>#VALUE!</v>
      </c>
      <c r="G329" s="33" t="str">
        <f t="shared" si="36"/>
        <v/>
      </c>
      <c r="H329" s="33" t="str">
        <f t="shared" si="39"/>
        <v/>
      </c>
      <c r="I329" s="33" t="e">
        <f t="shared" si="37"/>
        <v>#VALUE!</v>
      </c>
      <c r="J329" s="33">
        <f>SUM($H$18:$H329)</f>
        <v>0</v>
      </c>
    </row>
    <row r="330" spans="1:10">
      <c r="A330" s="36" t="str">
        <f>IF(Values_Entered,A329+1,"")</f>
        <v/>
      </c>
      <c r="B330" s="35" t="str">
        <f t="shared" si="32"/>
        <v/>
      </c>
      <c r="C330" s="33" t="str">
        <f t="shared" si="38"/>
        <v/>
      </c>
      <c r="D330" s="33" t="str">
        <f t="shared" si="33"/>
        <v/>
      </c>
      <c r="E330" s="34" t="e">
        <f t="shared" si="34"/>
        <v>#VALUE!</v>
      </c>
      <c r="F330" s="33" t="e">
        <f t="shared" si="35"/>
        <v>#VALUE!</v>
      </c>
      <c r="G330" s="33" t="str">
        <f t="shared" si="36"/>
        <v/>
      </c>
      <c r="H330" s="33" t="str">
        <f t="shared" si="39"/>
        <v/>
      </c>
      <c r="I330" s="33" t="e">
        <f t="shared" si="37"/>
        <v>#VALUE!</v>
      </c>
      <c r="J330" s="33">
        <f>SUM($H$18:$H330)</f>
        <v>0</v>
      </c>
    </row>
    <row r="331" spans="1:10">
      <c r="A331" s="36" t="str">
        <f>IF(Values_Entered,A330+1,"")</f>
        <v/>
      </c>
      <c r="B331" s="35" t="str">
        <f t="shared" si="32"/>
        <v/>
      </c>
      <c r="C331" s="33" t="str">
        <f t="shared" si="38"/>
        <v/>
      </c>
      <c r="D331" s="33" t="str">
        <f t="shared" si="33"/>
        <v/>
      </c>
      <c r="E331" s="34" t="e">
        <f t="shared" si="34"/>
        <v>#VALUE!</v>
      </c>
      <c r="F331" s="33" t="e">
        <f t="shared" si="35"/>
        <v>#VALUE!</v>
      </c>
      <c r="G331" s="33" t="str">
        <f t="shared" si="36"/>
        <v/>
      </c>
      <c r="H331" s="33" t="str">
        <f t="shared" si="39"/>
        <v/>
      </c>
      <c r="I331" s="33" t="e">
        <f t="shared" si="37"/>
        <v>#VALUE!</v>
      </c>
      <c r="J331" s="33">
        <f>SUM($H$18:$H331)</f>
        <v>0</v>
      </c>
    </row>
    <row r="332" spans="1:10">
      <c r="A332" s="36" t="str">
        <f>IF(Values_Entered,A331+1,"")</f>
        <v/>
      </c>
      <c r="B332" s="35" t="str">
        <f t="shared" si="32"/>
        <v/>
      </c>
      <c r="C332" s="33" t="str">
        <f t="shared" si="38"/>
        <v/>
      </c>
      <c r="D332" s="33" t="str">
        <f t="shared" si="33"/>
        <v/>
      </c>
      <c r="E332" s="34" t="e">
        <f t="shared" si="34"/>
        <v>#VALUE!</v>
      </c>
      <c r="F332" s="33" t="e">
        <f t="shared" si="35"/>
        <v>#VALUE!</v>
      </c>
      <c r="G332" s="33" t="str">
        <f t="shared" si="36"/>
        <v/>
      </c>
      <c r="H332" s="33" t="str">
        <f t="shared" si="39"/>
        <v/>
      </c>
      <c r="I332" s="33" t="e">
        <f t="shared" si="37"/>
        <v>#VALUE!</v>
      </c>
      <c r="J332" s="33">
        <f>SUM($H$18:$H332)</f>
        <v>0</v>
      </c>
    </row>
    <row r="333" spans="1:10">
      <c r="A333" s="36" t="str">
        <f>IF(Values_Entered,A332+1,"")</f>
        <v/>
      </c>
      <c r="B333" s="35" t="str">
        <f t="shared" si="32"/>
        <v/>
      </c>
      <c r="C333" s="33" t="str">
        <f t="shared" si="38"/>
        <v/>
      </c>
      <c r="D333" s="33" t="str">
        <f t="shared" si="33"/>
        <v/>
      </c>
      <c r="E333" s="34" t="e">
        <f t="shared" si="34"/>
        <v>#VALUE!</v>
      </c>
      <c r="F333" s="33" t="e">
        <f t="shared" si="35"/>
        <v>#VALUE!</v>
      </c>
      <c r="G333" s="33" t="str">
        <f t="shared" si="36"/>
        <v/>
      </c>
      <c r="H333" s="33" t="str">
        <f t="shared" si="39"/>
        <v/>
      </c>
      <c r="I333" s="33" t="e">
        <f t="shared" si="37"/>
        <v>#VALUE!</v>
      </c>
      <c r="J333" s="33">
        <f>SUM($H$18:$H333)</f>
        <v>0</v>
      </c>
    </row>
    <row r="334" spans="1:10">
      <c r="A334" s="36" t="str">
        <f>IF(Values_Entered,A333+1,"")</f>
        <v/>
      </c>
      <c r="B334" s="35" t="str">
        <f t="shared" si="32"/>
        <v/>
      </c>
      <c r="C334" s="33" t="str">
        <f t="shared" si="38"/>
        <v/>
      </c>
      <c r="D334" s="33" t="str">
        <f t="shared" si="33"/>
        <v/>
      </c>
      <c r="E334" s="34" t="e">
        <f t="shared" si="34"/>
        <v>#VALUE!</v>
      </c>
      <c r="F334" s="33" t="e">
        <f t="shared" si="35"/>
        <v>#VALUE!</v>
      </c>
      <c r="G334" s="33" t="str">
        <f t="shared" si="36"/>
        <v/>
      </c>
      <c r="H334" s="33" t="str">
        <f t="shared" si="39"/>
        <v/>
      </c>
      <c r="I334" s="33" t="e">
        <f t="shared" si="37"/>
        <v>#VALUE!</v>
      </c>
      <c r="J334" s="33">
        <f>SUM($H$18:$H334)</f>
        <v>0</v>
      </c>
    </row>
    <row r="335" spans="1:10">
      <c r="A335" s="36" t="str">
        <f>IF(Values_Entered,A334+1,"")</f>
        <v/>
      </c>
      <c r="B335" s="35" t="str">
        <f t="shared" si="32"/>
        <v/>
      </c>
      <c r="C335" s="33" t="str">
        <f t="shared" si="38"/>
        <v/>
      </c>
      <c r="D335" s="33" t="str">
        <f t="shared" si="33"/>
        <v/>
      </c>
      <c r="E335" s="34" t="e">
        <f t="shared" si="34"/>
        <v>#VALUE!</v>
      </c>
      <c r="F335" s="33" t="e">
        <f t="shared" si="35"/>
        <v>#VALUE!</v>
      </c>
      <c r="G335" s="33" t="str">
        <f t="shared" si="36"/>
        <v/>
      </c>
      <c r="H335" s="33" t="str">
        <f t="shared" si="39"/>
        <v/>
      </c>
      <c r="I335" s="33" t="e">
        <f t="shared" si="37"/>
        <v>#VALUE!</v>
      </c>
      <c r="J335" s="33">
        <f>SUM($H$18:$H335)</f>
        <v>0</v>
      </c>
    </row>
    <row r="336" spans="1:10">
      <c r="A336" s="36" t="str">
        <f>IF(Values_Entered,A335+1,"")</f>
        <v/>
      </c>
      <c r="B336" s="35" t="str">
        <f t="shared" si="32"/>
        <v/>
      </c>
      <c r="C336" s="33" t="str">
        <f t="shared" si="38"/>
        <v/>
      </c>
      <c r="D336" s="33" t="str">
        <f t="shared" si="33"/>
        <v/>
      </c>
      <c r="E336" s="34" t="e">
        <f t="shared" si="34"/>
        <v>#VALUE!</v>
      </c>
      <c r="F336" s="33" t="e">
        <f t="shared" si="35"/>
        <v>#VALUE!</v>
      </c>
      <c r="G336" s="33" t="str">
        <f t="shared" si="36"/>
        <v/>
      </c>
      <c r="H336" s="33" t="str">
        <f t="shared" si="39"/>
        <v/>
      </c>
      <c r="I336" s="33" t="e">
        <f t="shared" si="37"/>
        <v>#VALUE!</v>
      </c>
      <c r="J336" s="33">
        <f>SUM($H$18:$H336)</f>
        <v>0</v>
      </c>
    </row>
    <row r="337" spans="1:10">
      <c r="A337" s="36" t="str">
        <f>IF(Values_Entered,A336+1,"")</f>
        <v/>
      </c>
      <c r="B337" s="35" t="str">
        <f t="shared" si="32"/>
        <v/>
      </c>
      <c r="C337" s="33" t="str">
        <f t="shared" si="38"/>
        <v/>
      </c>
      <c r="D337" s="33" t="str">
        <f t="shared" si="33"/>
        <v/>
      </c>
      <c r="E337" s="34" t="e">
        <f t="shared" si="34"/>
        <v>#VALUE!</v>
      </c>
      <c r="F337" s="33" t="e">
        <f t="shared" si="35"/>
        <v>#VALUE!</v>
      </c>
      <c r="G337" s="33" t="str">
        <f t="shared" si="36"/>
        <v/>
      </c>
      <c r="H337" s="33" t="str">
        <f t="shared" si="39"/>
        <v/>
      </c>
      <c r="I337" s="33" t="e">
        <f t="shared" si="37"/>
        <v>#VALUE!</v>
      </c>
      <c r="J337" s="33">
        <f>SUM($H$18:$H337)</f>
        <v>0</v>
      </c>
    </row>
    <row r="338" spans="1:10">
      <c r="A338" s="36" t="str">
        <f>IF(Values_Entered,A337+1,"")</f>
        <v/>
      </c>
      <c r="B338" s="35" t="str">
        <f t="shared" ref="B338:B401" si="40">IF(Pay_Num&lt;&gt;"",DATE(YEAR(Loan_Start),MONTH(Loan_Start)+(Pay_Num)*12/Num_Pmt_Per_Year,DAY(Loan_Start)),"")</f>
        <v/>
      </c>
      <c r="C338" s="33" t="str">
        <f t="shared" si="38"/>
        <v/>
      </c>
      <c r="D338" s="33" t="str">
        <f t="shared" ref="D338:D401" si="41">IF(Pay_Num&lt;&gt;"",Scheduled_Monthly_Payment,"")</f>
        <v/>
      </c>
      <c r="E338" s="34" t="e">
        <f t="shared" ref="E338:E401" si="42">IF(AND(Pay_Num&lt;&gt;"",Sched_Pay+Scheduled_Extra_Payments&lt;Beg_Bal),Scheduled_Extra_Payments,IF(AND(Pay_Num&lt;&gt;"",Beg_Bal-Sched_Pay&gt;0),Beg_Bal-Sched_Pay,IF(Pay_Num&lt;&gt;"",0,"")))</f>
        <v>#VALUE!</v>
      </c>
      <c r="F338" s="33" t="e">
        <f t="shared" ref="F338:F401" si="43">IF(AND(Pay_Num&lt;&gt;"",Sched_Pay+Extra_Pay&lt;Beg_Bal),Sched_Pay+Extra_Pay,IF(Pay_Num&lt;&gt;"",Beg_Bal,""))</f>
        <v>#VALUE!</v>
      </c>
      <c r="G338" s="33" t="str">
        <f t="shared" ref="G338:G401" si="44">IF(Pay_Num&lt;&gt;"",Total_Pay-Int,"")</f>
        <v/>
      </c>
      <c r="H338" s="33" t="str">
        <f t="shared" si="39"/>
        <v/>
      </c>
      <c r="I338" s="33" t="e">
        <f t="shared" ref="I338:I401" si="45">IF(AND(Pay_Num&lt;&gt;"",Sched_Pay+Extra_Pay&lt;Beg_Bal),Beg_Bal-Princ,IF(Pay_Num&lt;&gt;"",0,""))</f>
        <v>#VALUE!</v>
      </c>
      <c r="J338" s="33">
        <f>SUM($H$18:$H338)</f>
        <v>0</v>
      </c>
    </row>
    <row r="339" spans="1:10">
      <c r="A339" s="36" t="str">
        <f>IF(Values_Entered,A338+1,"")</f>
        <v/>
      </c>
      <c r="B339" s="35" t="str">
        <f t="shared" si="40"/>
        <v/>
      </c>
      <c r="C339" s="33" t="str">
        <f t="shared" ref="C339:C402" si="46">IF(Pay_Num&lt;&gt;"",I338,"")</f>
        <v/>
      </c>
      <c r="D339" s="33" t="str">
        <f t="shared" si="41"/>
        <v/>
      </c>
      <c r="E339" s="34" t="e">
        <f t="shared" si="42"/>
        <v>#VALUE!</v>
      </c>
      <c r="F339" s="33" t="e">
        <f t="shared" si="43"/>
        <v>#VALUE!</v>
      </c>
      <c r="G339" s="33" t="str">
        <f t="shared" si="44"/>
        <v/>
      </c>
      <c r="H339" s="33" t="str">
        <f t="shared" ref="H339:H402" si="47">IF(Pay_Num&lt;&gt;"",Beg_Bal*Interest_Rate/Num_Pmt_Per_Year,"")</f>
        <v/>
      </c>
      <c r="I339" s="33" t="e">
        <f t="shared" si="45"/>
        <v>#VALUE!</v>
      </c>
      <c r="J339" s="33">
        <f>SUM($H$18:$H339)</f>
        <v>0</v>
      </c>
    </row>
    <row r="340" spans="1:10">
      <c r="A340" s="36" t="str">
        <f>IF(Values_Entered,A339+1,"")</f>
        <v/>
      </c>
      <c r="B340" s="35" t="str">
        <f t="shared" si="40"/>
        <v/>
      </c>
      <c r="C340" s="33" t="str">
        <f t="shared" si="46"/>
        <v/>
      </c>
      <c r="D340" s="33" t="str">
        <f t="shared" si="41"/>
        <v/>
      </c>
      <c r="E340" s="34" t="e">
        <f t="shared" si="42"/>
        <v>#VALUE!</v>
      </c>
      <c r="F340" s="33" t="e">
        <f t="shared" si="43"/>
        <v>#VALUE!</v>
      </c>
      <c r="G340" s="33" t="str">
        <f t="shared" si="44"/>
        <v/>
      </c>
      <c r="H340" s="33" t="str">
        <f t="shared" si="47"/>
        <v/>
      </c>
      <c r="I340" s="33" t="e">
        <f t="shared" si="45"/>
        <v>#VALUE!</v>
      </c>
      <c r="J340" s="33">
        <f>SUM($H$18:$H340)</f>
        <v>0</v>
      </c>
    </row>
    <row r="341" spans="1:10">
      <c r="A341" s="36" t="str">
        <f>IF(Values_Entered,A340+1,"")</f>
        <v/>
      </c>
      <c r="B341" s="35" t="str">
        <f t="shared" si="40"/>
        <v/>
      </c>
      <c r="C341" s="33" t="str">
        <f t="shared" si="46"/>
        <v/>
      </c>
      <c r="D341" s="33" t="str">
        <f t="shared" si="41"/>
        <v/>
      </c>
      <c r="E341" s="34" t="e">
        <f t="shared" si="42"/>
        <v>#VALUE!</v>
      </c>
      <c r="F341" s="33" t="e">
        <f t="shared" si="43"/>
        <v>#VALUE!</v>
      </c>
      <c r="G341" s="33" t="str">
        <f t="shared" si="44"/>
        <v/>
      </c>
      <c r="H341" s="33" t="str">
        <f t="shared" si="47"/>
        <v/>
      </c>
      <c r="I341" s="33" t="e">
        <f t="shared" si="45"/>
        <v>#VALUE!</v>
      </c>
      <c r="J341" s="33">
        <f>SUM($H$18:$H341)</f>
        <v>0</v>
      </c>
    </row>
    <row r="342" spans="1:10">
      <c r="A342" s="36" t="str">
        <f>IF(Values_Entered,A341+1,"")</f>
        <v/>
      </c>
      <c r="B342" s="35" t="str">
        <f t="shared" si="40"/>
        <v/>
      </c>
      <c r="C342" s="33" t="str">
        <f t="shared" si="46"/>
        <v/>
      </c>
      <c r="D342" s="33" t="str">
        <f t="shared" si="41"/>
        <v/>
      </c>
      <c r="E342" s="34" t="e">
        <f t="shared" si="42"/>
        <v>#VALUE!</v>
      </c>
      <c r="F342" s="33" t="e">
        <f t="shared" si="43"/>
        <v>#VALUE!</v>
      </c>
      <c r="G342" s="33" t="str">
        <f t="shared" si="44"/>
        <v/>
      </c>
      <c r="H342" s="33" t="str">
        <f t="shared" si="47"/>
        <v/>
      </c>
      <c r="I342" s="33" t="e">
        <f t="shared" si="45"/>
        <v>#VALUE!</v>
      </c>
      <c r="J342" s="33">
        <f>SUM($H$18:$H342)</f>
        <v>0</v>
      </c>
    </row>
    <row r="343" spans="1:10">
      <c r="A343" s="36" t="str">
        <f>IF(Values_Entered,A342+1,"")</f>
        <v/>
      </c>
      <c r="B343" s="35" t="str">
        <f t="shared" si="40"/>
        <v/>
      </c>
      <c r="C343" s="33" t="str">
        <f t="shared" si="46"/>
        <v/>
      </c>
      <c r="D343" s="33" t="str">
        <f t="shared" si="41"/>
        <v/>
      </c>
      <c r="E343" s="34" t="e">
        <f t="shared" si="42"/>
        <v>#VALUE!</v>
      </c>
      <c r="F343" s="33" t="e">
        <f t="shared" si="43"/>
        <v>#VALUE!</v>
      </c>
      <c r="G343" s="33" t="str">
        <f t="shared" si="44"/>
        <v/>
      </c>
      <c r="H343" s="33" t="str">
        <f t="shared" si="47"/>
        <v/>
      </c>
      <c r="I343" s="33" t="e">
        <f t="shared" si="45"/>
        <v>#VALUE!</v>
      </c>
      <c r="J343" s="33">
        <f>SUM($H$18:$H343)</f>
        <v>0</v>
      </c>
    </row>
    <row r="344" spans="1:10">
      <c r="A344" s="36" t="str">
        <f>IF(Values_Entered,A343+1,"")</f>
        <v/>
      </c>
      <c r="B344" s="35" t="str">
        <f t="shared" si="40"/>
        <v/>
      </c>
      <c r="C344" s="33" t="str">
        <f t="shared" si="46"/>
        <v/>
      </c>
      <c r="D344" s="33" t="str">
        <f t="shared" si="41"/>
        <v/>
      </c>
      <c r="E344" s="34" t="e">
        <f t="shared" si="42"/>
        <v>#VALUE!</v>
      </c>
      <c r="F344" s="33" t="e">
        <f t="shared" si="43"/>
        <v>#VALUE!</v>
      </c>
      <c r="G344" s="33" t="str">
        <f t="shared" si="44"/>
        <v/>
      </c>
      <c r="H344" s="33" t="str">
        <f t="shared" si="47"/>
        <v/>
      </c>
      <c r="I344" s="33" t="e">
        <f t="shared" si="45"/>
        <v>#VALUE!</v>
      </c>
      <c r="J344" s="33">
        <f>SUM($H$18:$H344)</f>
        <v>0</v>
      </c>
    </row>
    <row r="345" spans="1:10">
      <c r="A345" s="36" t="str">
        <f>IF(Values_Entered,A344+1,"")</f>
        <v/>
      </c>
      <c r="B345" s="35" t="str">
        <f t="shared" si="40"/>
        <v/>
      </c>
      <c r="C345" s="33" t="str">
        <f t="shared" si="46"/>
        <v/>
      </c>
      <c r="D345" s="33" t="str">
        <f t="shared" si="41"/>
        <v/>
      </c>
      <c r="E345" s="34" t="e">
        <f t="shared" si="42"/>
        <v>#VALUE!</v>
      </c>
      <c r="F345" s="33" t="e">
        <f t="shared" si="43"/>
        <v>#VALUE!</v>
      </c>
      <c r="G345" s="33" t="str">
        <f t="shared" si="44"/>
        <v/>
      </c>
      <c r="H345" s="33" t="str">
        <f t="shared" si="47"/>
        <v/>
      </c>
      <c r="I345" s="33" t="e">
        <f t="shared" si="45"/>
        <v>#VALUE!</v>
      </c>
      <c r="J345" s="33">
        <f>SUM($H$18:$H345)</f>
        <v>0</v>
      </c>
    </row>
    <row r="346" spans="1:10">
      <c r="A346" s="36" t="str">
        <f>IF(Values_Entered,A345+1,"")</f>
        <v/>
      </c>
      <c r="B346" s="35" t="str">
        <f t="shared" si="40"/>
        <v/>
      </c>
      <c r="C346" s="33" t="str">
        <f t="shared" si="46"/>
        <v/>
      </c>
      <c r="D346" s="33" t="str">
        <f t="shared" si="41"/>
        <v/>
      </c>
      <c r="E346" s="34" t="e">
        <f t="shared" si="42"/>
        <v>#VALUE!</v>
      </c>
      <c r="F346" s="33" t="e">
        <f t="shared" si="43"/>
        <v>#VALUE!</v>
      </c>
      <c r="G346" s="33" t="str">
        <f t="shared" si="44"/>
        <v/>
      </c>
      <c r="H346" s="33" t="str">
        <f t="shared" si="47"/>
        <v/>
      </c>
      <c r="I346" s="33" t="e">
        <f t="shared" si="45"/>
        <v>#VALUE!</v>
      </c>
      <c r="J346" s="33">
        <f>SUM($H$18:$H346)</f>
        <v>0</v>
      </c>
    </row>
    <row r="347" spans="1:10">
      <c r="A347" s="36" t="str">
        <f>IF(Values_Entered,A346+1,"")</f>
        <v/>
      </c>
      <c r="B347" s="35" t="str">
        <f t="shared" si="40"/>
        <v/>
      </c>
      <c r="C347" s="33" t="str">
        <f t="shared" si="46"/>
        <v/>
      </c>
      <c r="D347" s="33" t="str">
        <f t="shared" si="41"/>
        <v/>
      </c>
      <c r="E347" s="34" t="e">
        <f t="shared" si="42"/>
        <v>#VALUE!</v>
      </c>
      <c r="F347" s="33" t="e">
        <f t="shared" si="43"/>
        <v>#VALUE!</v>
      </c>
      <c r="G347" s="33" t="str">
        <f t="shared" si="44"/>
        <v/>
      </c>
      <c r="H347" s="33" t="str">
        <f t="shared" si="47"/>
        <v/>
      </c>
      <c r="I347" s="33" t="e">
        <f t="shared" si="45"/>
        <v>#VALUE!</v>
      </c>
      <c r="J347" s="33">
        <f>SUM($H$18:$H347)</f>
        <v>0</v>
      </c>
    </row>
    <row r="348" spans="1:10">
      <c r="A348" s="36" t="str">
        <f>IF(Values_Entered,A347+1,"")</f>
        <v/>
      </c>
      <c r="B348" s="35" t="str">
        <f t="shared" si="40"/>
        <v/>
      </c>
      <c r="C348" s="33" t="str">
        <f t="shared" si="46"/>
        <v/>
      </c>
      <c r="D348" s="33" t="str">
        <f t="shared" si="41"/>
        <v/>
      </c>
      <c r="E348" s="34" t="e">
        <f t="shared" si="42"/>
        <v>#VALUE!</v>
      </c>
      <c r="F348" s="33" t="e">
        <f t="shared" si="43"/>
        <v>#VALUE!</v>
      </c>
      <c r="G348" s="33" t="str">
        <f t="shared" si="44"/>
        <v/>
      </c>
      <c r="H348" s="33" t="str">
        <f t="shared" si="47"/>
        <v/>
      </c>
      <c r="I348" s="33" t="e">
        <f t="shared" si="45"/>
        <v>#VALUE!</v>
      </c>
      <c r="J348" s="33">
        <f>SUM($H$18:$H348)</f>
        <v>0</v>
      </c>
    </row>
    <row r="349" spans="1:10">
      <c r="A349" s="36" t="str">
        <f>IF(Values_Entered,A348+1,"")</f>
        <v/>
      </c>
      <c r="B349" s="35" t="str">
        <f t="shared" si="40"/>
        <v/>
      </c>
      <c r="C349" s="33" t="str">
        <f t="shared" si="46"/>
        <v/>
      </c>
      <c r="D349" s="33" t="str">
        <f t="shared" si="41"/>
        <v/>
      </c>
      <c r="E349" s="34" t="e">
        <f t="shared" si="42"/>
        <v>#VALUE!</v>
      </c>
      <c r="F349" s="33" t="e">
        <f t="shared" si="43"/>
        <v>#VALUE!</v>
      </c>
      <c r="G349" s="33" t="str">
        <f t="shared" si="44"/>
        <v/>
      </c>
      <c r="H349" s="33" t="str">
        <f t="shared" si="47"/>
        <v/>
      </c>
      <c r="I349" s="33" t="e">
        <f t="shared" si="45"/>
        <v>#VALUE!</v>
      </c>
      <c r="J349" s="33">
        <f>SUM($H$18:$H349)</f>
        <v>0</v>
      </c>
    </row>
    <row r="350" spans="1:10">
      <c r="A350" s="36" t="str">
        <f>IF(Values_Entered,A349+1,"")</f>
        <v/>
      </c>
      <c r="B350" s="35" t="str">
        <f t="shared" si="40"/>
        <v/>
      </c>
      <c r="C350" s="33" t="str">
        <f t="shared" si="46"/>
        <v/>
      </c>
      <c r="D350" s="33" t="str">
        <f t="shared" si="41"/>
        <v/>
      </c>
      <c r="E350" s="34" t="e">
        <f t="shared" si="42"/>
        <v>#VALUE!</v>
      </c>
      <c r="F350" s="33" t="e">
        <f t="shared" si="43"/>
        <v>#VALUE!</v>
      </c>
      <c r="G350" s="33" t="str">
        <f t="shared" si="44"/>
        <v/>
      </c>
      <c r="H350" s="33" t="str">
        <f t="shared" si="47"/>
        <v/>
      </c>
      <c r="I350" s="33" t="e">
        <f t="shared" si="45"/>
        <v>#VALUE!</v>
      </c>
      <c r="J350" s="33">
        <f>SUM($H$18:$H350)</f>
        <v>0</v>
      </c>
    </row>
    <row r="351" spans="1:10">
      <c r="A351" s="36" t="str">
        <f>IF(Values_Entered,A350+1,"")</f>
        <v/>
      </c>
      <c r="B351" s="35" t="str">
        <f t="shared" si="40"/>
        <v/>
      </c>
      <c r="C351" s="33" t="str">
        <f t="shared" si="46"/>
        <v/>
      </c>
      <c r="D351" s="33" t="str">
        <f t="shared" si="41"/>
        <v/>
      </c>
      <c r="E351" s="34" t="e">
        <f t="shared" si="42"/>
        <v>#VALUE!</v>
      </c>
      <c r="F351" s="33" t="e">
        <f t="shared" si="43"/>
        <v>#VALUE!</v>
      </c>
      <c r="G351" s="33" t="str">
        <f t="shared" si="44"/>
        <v/>
      </c>
      <c r="H351" s="33" t="str">
        <f t="shared" si="47"/>
        <v/>
      </c>
      <c r="I351" s="33" t="e">
        <f t="shared" si="45"/>
        <v>#VALUE!</v>
      </c>
      <c r="J351" s="33">
        <f>SUM($H$18:$H351)</f>
        <v>0</v>
      </c>
    </row>
    <row r="352" spans="1:10">
      <c r="A352" s="36" t="str">
        <f>IF(Values_Entered,A351+1,"")</f>
        <v/>
      </c>
      <c r="B352" s="35" t="str">
        <f t="shared" si="40"/>
        <v/>
      </c>
      <c r="C352" s="33" t="str">
        <f t="shared" si="46"/>
        <v/>
      </c>
      <c r="D352" s="33" t="str">
        <f t="shared" si="41"/>
        <v/>
      </c>
      <c r="E352" s="34" t="e">
        <f t="shared" si="42"/>
        <v>#VALUE!</v>
      </c>
      <c r="F352" s="33" t="e">
        <f t="shared" si="43"/>
        <v>#VALUE!</v>
      </c>
      <c r="G352" s="33" t="str">
        <f t="shared" si="44"/>
        <v/>
      </c>
      <c r="H352" s="33" t="str">
        <f t="shared" si="47"/>
        <v/>
      </c>
      <c r="I352" s="33" t="e">
        <f t="shared" si="45"/>
        <v>#VALUE!</v>
      </c>
      <c r="J352" s="33">
        <f>SUM($H$18:$H352)</f>
        <v>0</v>
      </c>
    </row>
    <row r="353" spans="1:10">
      <c r="A353" s="36" t="str">
        <f>IF(Values_Entered,A352+1,"")</f>
        <v/>
      </c>
      <c r="B353" s="35" t="str">
        <f t="shared" si="40"/>
        <v/>
      </c>
      <c r="C353" s="33" t="str">
        <f t="shared" si="46"/>
        <v/>
      </c>
      <c r="D353" s="33" t="str">
        <f t="shared" si="41"/>
        <v/>
      </c>
      <c r="E353" s="34" t="e">
        <f t="shared" si="42"/>
        <v>#VALUE!</v>
      </c>
      <c r="F353" s="33" t="e">
        <f t="shared" si="43"/>
        <v>#VALUE!</v>
      </c>
      <c r="G353" s="33" t="str">
        <f t="shared" si="44"/>
        <v/>
      </c>
      <c r="H353" s="33" t="str">
        <f t="shared" si="47"/>
        <v/>
      </c>
      <c r="I353" s="33" t="e">
        <f t="shared" si="45"/>
        <v>#VALUE!</v>
      </c>
      <c r="J353" s="33">
        <f>SUM($H$18:$H353)</f>
        <v>0</v>
      </c>
    </row>
    <row r="354" spans="1:10">
      <c r="A354" s="36" t="str">
        <f>IF(Values_Entered,A353+1,"")</f>
        <v/>
      </c>
      <c r="B354" s="35" t="str">
        <f t="shared" si="40"/>
        <v/>
      </c>
      <c r="C354" s="33" t="str">
        <f t="shared" si="46"/>
        <v/>
      </c>
      <c r="D354" s="33" t="str">
        <f t="shared" si="41"/>
        <v/>
      </c>
      <c r="E354" s="34" t="e">
        <f t="shared" si="42"/>
        <v>#VALUE!</v>
      </c>
      <c r="F354" s="33" t="e">
        <f t="shared" si="43"/>
        <v>#VALUE!</v>
      </c>
      <c r="G354" s="33" t="str">
        <f t="shared" si="44"/>
        <v/>
      </c>
      <c r="H354" s="33" t="str">
        <f t="shared" si="47"/>
        <v/>
      </c>
      <c r="I354" s="33" t="e">
        <f t="shared" si="45"/>
        <v>#VALUE!</v>
      </c>
      <c r="J354" s="33">
        <f>SUM($H$18:$H354)</f>
        <v>0</v>
      </c>
    </row>
    <row r="355" spans="1:10">
      <c r="A355" s="36" t="str">
        <f>IF(Values_Entered,A354+1,"")</f>
        <v/>
      </c>
      <c r="B355" s="35" t="str">
        <f t="shared" si="40"/>
        <v/>
      </c>
      <c r="C355" s="33" t="str">
        <f t="shared" si="46"/>
        <v/>
      </c>
      <c r="D355" s="33" t="str">
        <f t="shared" si="41"/>
        <v/>
      </c>
      <c r="E355" s="34" t="e">
        <f t="shared" si="42"/>
        <v>#VALUE!</v>
      </c>
      <c r="F355" s="33" t="e">
        <f t="shared" si="43"/>
        <v>#VALUE!</v>
      </c>
      <c r="G355" s="33" t="str">
        <f t="shared" si="44"/>
        <v/>
      </c>
      <c r="H355" s="33" t="str">
        <f t="shared" si="47"/>
        <v/>
      </c>
      <c r="I355" s="33" t="e">
        <f t="shared" si="45"/>
        <v>#VALUE!</v>
      </c>
      <c r="J355" s="33">
        <f>SUM($H$18:$H355)</f>
        <v>0</v>
      </c>
    </row>
    <row r="356" spans="1:10">
      <c r="A356" s="36" t="str">
        <f>IF(Values_Entered,A355+1,"")</f>
        <v/>
      </c>
      <c r="B356" s="35" t="str">
        <f t="shared" si="40"/>
        <v/>
      </c>
      <c r="C356" s="33" t="str">
        <f t="shared" si="46"/>
        <v/>
      </c>
      <c r="D356" s="33" t="str">
        <f t="shared" si="41"/>
        <v/>
      </c>
      <c r="E356" s="34" t="e">
        <f t="shared" si="42"/>
        <v>#VALUE!</v>
      </c>
      <c r="F356" s="33" t="e">
        <f t="shared" si="43"/>
        <v>#VALUE!</v>
      </c>
      <c r="G356" s="33" t="str">
        <f t="shared" si="44"/>
        <v/>
      </c>
      <c r="H356" s="33" t="str">
        <f t="shared" si="47"/>
        <v/>
      </c>
      <c r="I356" s="33" t="e">
        <f t="shared" si="45"/>
        <v>#VALUE!</v>
      </c>
      <c r="J356" s="33">
        <f>SUM($H$18:$H356)</f>
        <v>0</v>
      </c>
    </row>
    <row r="357" spans="1:10">
      <c r="A357" s="36" t="str">
        <f>IF(Values_Entered,A356+1,"")</f>
        <v/>
      </c>
      <c r="B357" s="35" t="str">
        <f t="shared" si="40"/>
        <v/>
      </c>
      <c r="C357" s="33" t="str">
        <f t="shared" si="46"/>
        <v/>
      </c>
      <c r="D357" s="33" t="str">
        <f t="shared" si="41"/>
        <v/>
      </c>
      <c r="E357" s="34" t="e">
        <f t="shared" si="42"/>
        <v>#VALUE!</v>
      </c>
      <c r="F357" s="33" t="e">
        <f t="shared" si="43"/>
        <v>#VALUE!</v>
      </c>
      <c r="G357" s="33" t="str">
        <f t="shared" si="44"/>
        <v/>
      </c>
      <c r="H357" s="33" t="str">
        <f t="shared" si="47"/>
        <v/>
      </c>
      <c r="I357" s="33" t="e">
        <f t="shared" si="45"/>
        <v>#VALUE!</v>
      </c>
      <c r="J357" s="33">
        <f>SUM($H$18:$H357)</f>
        <v>0</v>
      </c>
    </row>
    <row r="358" spans="1:10">
      <c r="A358" s="36" t="str">
        <f>IF(Values_Entered,A357+1,"")</f>
        <v/>
      </c>
      <c r="B358" s="35" t="str">
        <f t="shared" si="40"/>
        <v/>
      </c>
      <c r="C358" s="33" t="str">
        <f t="shared" si="46"/>
        <v/>
      </c>
      <c r="D358" s="33" t="str">
        <f t="shared" si="41"/>
        <v/>
      </c>
      <c r="E358" s="34" t="e">
        <f t="shared" si="42"/>
        <v>#VALUE!</v>
      </c>
      <c r="F358" s="33" t="e">
        <f t="shared" si="43"/>
        <v>#VALUE!</v>
      </c>
      <c r="G358" s="33" t="str">
        <f t="shared" si="44"/>
        <v/>
      </c>
      <c r="H358" s="33" t="str">
        <f t="shared" si="47"/>
        <v/>
      </c>
      <c r="I358" s="33" t="e">
        <f t="shared" si="45"/>
        <v>#VALUE!</v>
      </c>
      <c r="J358" s="33">
        <f>SUM($H$18:$H358)</f>
        <v>0</v>
      </c>
    </row>
    <row r="359" spans="1:10">
      <c r="A359" s="36" t="str">
        <f>IF(Values_Entered,A358+1,"")</f>
        <v/>
      </c>
      <c r="B359" s="35" t="str">
        <f t="shared" si="40"/>
        <v/>
      </c>
      <c r="C359" s="33" t="str">
        <f t="shared" si="46"/>
        <v/>
      </c>
      <c r="D359" s="33" t="str">
        <f t="shared" si="41"/>
        <v/>
      </c>
      <c r="E359" s="34" t="e">
        <f t="shared" si="42"/>
        <v>#VALUE!</v>
      </c>
      <c r="F359" s="33" t="e">
        <f t="shared" si="43"/>
        <v>#VALUE!</v>
      </c>
      <c r="G359" s="33" t="str">
        <f t="shared" si="44"/>
        <v/>
      </c>
      <c r="H359" s="33" t="str">
        <f t="shared" si="47"/>
        <v/>
      </c>
      <c r="I359" s="33" t="e">
        <f t="shared" si="45"/>
        <v>#VALUE!</v>
      </c>
      <c r="J359" s="33">
        <f>SUM($H$18:$H359)</f>
        <v>0</v>
      </c>
    </row>
    <row r="360" spans="1:10">
      <c r="A360" s="36" t="str">
        <f>IF(Values_Entered,A359+1,"")</f>
        <v/>
      </c>
      <c r="B360" s="35" t="str">
        <f t="shared" si="40"/>
        <v/>
      </c>
      <c r="C360" s="33" t="str">
        <f t="shared" si="46"/>
        <v/>
      </c>
      <c r="D360" s="33" t="str">
        <f t="shared" si="41"/>
        <v/>
      </c>
      <c r="E360" s="34" t="e">
        <f t="shared" si="42"/>
        <v>#VALUE!</v>
      </c>
      <c r="F360" s="33" t="e">
        <f t="shared" si="43"/>
        <v>#VALUE!</v>
      </c>
      <c r="G360" s="33" t="str">
        <f t="shared" si="44"/>
        <v/>
      </c>
      <c r="H360" s="33" t="str">
        <f t="shared" si="47"/>
        <v/>
      </c>
      <c r="I360" s="33" t="e">
        <f t="shared" si="45"/>
        <v>#VALUE!</v>
      </c>
      <c r="J360" s="33">
        <f>SUM($H$18:$H360)</f>
        <v>0</v>
      </c>
    </row>
    <row r="361" spans="1:10">
      <c r="A361" s="36" t="str">
        <f>IF(Values_Entered,A360+1,"")</f>
        <v/>
      </c>
      <c r="B361" s="35" t="str">
        <f t="shared" si="40"/>
        <v/>
      </c>
      <c r="C361" s="33" t="str">
        <f t="shared" si="46"/>
        <v/>
      </c>
      <c r="D361" s="33" t="str">
        <f t="shared" si="41"/>
        <v/>
      </c>
      <c r="E361" s="34" t="e">
        <f t="shared" si="42"/>
        <v>#VALUE!</v>
      </c>
      <c r="F361" s="33" t="e">
        <f t="shared" si="43"/>
        <v>#VALUE!</v>
      </c>
      <c r="G361" s="33" t="str">
        <f t="shared" si="44"/>
        <v/>
      </c>
      <c r="H361" s="33" t="str">
        <f t="shared" si="47"/>
        <v/>
      </c>
      <c r="I361" s="33" t="e">
        <f t="shared" si="45"/>
        <v>#VALUE!</v>
      </c>
      <c r="J361" s="33">
        <f>SUM($H$18:$H361)</f>
        <v>0</v>
      </c>
    </row>
    <row r="362" spans="1:10">
      <c r="A362" s="36" t="str">
        <f>IF(Values_Entered,A361+1,"")</f>
        <v/>
      </c>
      <c r="B362" s="35" t="str">
        <f t="shared" si="40"/>
        <v/>
      </c>
      <c r="C362" s="33" t="str">
        <f t="shared" si="46"/>
        <v/>
      </c>
      <c r="D362" s="33" t="str">
        <f t="shared" si="41"/>
        <v/>
      </c>
      <c r="E362" s="34" t="e">
        <f t="shared" si="42"/>
        <v>#VALUE!</v>
      </c>
      <c r="F362" s="33" t="e">
        <f t="shared" si="43"/>
        <v>#VALUE!</v>
      </c>
      <c r="G362" s="33" t="str">
        <f t="shared" si="44"/>
        <v/>
      </c>
      <c r="H362" s="33" t="str">
        <f t="shared" si="47"/>
        <v/>
      </c>
      <c r="I362" s="33" t="e">
        <f t="shared" si="45"/>
        <v>#VALUE!</v>
      </c>
      <c r="J362" s="33">
        <f>SUM($H$18:$H362)</f>
        <v>0</v>
      </c>
    </row>
    <row r="363" spans="1:10">
      <c r="A363" s="36" t="str">
        <f>IF(Values_Entered,A362+1,"")</f>
        <v/>
      </c>
      <c r="B363" s="35" t="str">
        <f t="shared" si="40"/>
        <v/>
      </c>
      <c r="C363" s="33" t="str">
        <f t="shared" si="46"/>
        <v/>
      </c>
      <c r="D363" s="33" t="str">
        <f t="shared" si="41"/>
        <v/>
      </c>
      <c r="E363" s="34" t="e">
        <f t="shared" si="42"/>
        <v>#VALUE!</v>
      </c>
      <c r="F363" s="33" t="e">
        <f t="shared" si="43"/>
        <v>#VALUE!</v>
      </c>
      <c r="G363" s="33" t="str">
        <f t="shared" si="44"/>
        <v/>
      </c>
      <c r="H363" s="33" t="str">
        <f t="shared" si="47"/>
        <v/>
      </c>
      <c r="I363" s="33" t="e">
        <f t="shared" si="45"/>
        <v>#VALUE!</v>
      </c>
      <c r="J363" s="33">
        <f>SUM($H$18:$H363)</f>
        <v>0</v>
      </c>
    </row>
    <row r="364" spans="1:10">
      <c r="A364" s="36" t="str">
        <f>IF(Values_Entered,A363+1,"")</f>
        <v/>
      </c>
      <c r="B364" s="35" t="str">
        <f t="shared" si="40"/>
        <v/>
      </c>
      <c r="C364" s="33" t="str">
        <f t="shared" si="46"/>
        <v/>
      </c>
      <c r="D364" s="33" t="str">
        <f t="shared" si="41"/>
        <v/>
      </c>
      <c r="E364" s="34" t="e">
        <f t="shared" si="42"/>
        <v>#VALUE!</v>
      </c>
      <c r="F364" s="33" t="e">
        <f t="shared" si="43"/>
        <v>#VALUE!</v>
      </c>
      <c r="G364" s="33" t="str">
        <f t="shared" si="44"/>
        <v/>
      </c>
      <c r="H364" s="33" t="str">
        <f t="shared" si="47"/>
        <v/>
      </c>
      <c r="I364" s="33" t="e">
        <f t="shared" si="45"/>
        <v>#VALUE!</v>
      </c>
      <c r="J364" s="33">
        <f>SUM($H$18:$H364)</f>
        <v>0</v>
      </c>
    </row>
    <row r="365" spans="1:10">
      <c r="A365" s="36" t="str">
        <f>IF(Values_Entered,A364+1,"")</f>
        <v/>
      </c>
      <c r="B365" s="35" t="str">
        <f t="shared" si="40"/>
        <v/>
      </c>
      <c r="C365" s="33" t="str">
        <f t="shared" si="46"/>
        <v/>
      </c>
      <c r="D365" s="33" t="str">
        <f t="shared" si="41"/>
        <v/>
      </c>
      <c r="E365" s="34" t="e">
        <f t="shared" si="42"/>
        <v>#VALUE!</v>
      </c>
      <c r="F365" s="33" t="e">
        <f t="shared" si="43"/>
        <v>#VALUE!</v>
      </c>
      <c r="G365" s="33" t="str">
        <f t="shared" si="44"/>
        <v/>
      </c>
      <c r="H365" s="33" t="str">
        <f t="shared" si="47"/>
        <v/>
      </c>
      <c r="I365" s="33" t="e">
        <f t="shared" si="45"/>
        <v>#VALUE!</v>
      </c>
      <c r="J365" s="33">
        <f>SUM($H$18:$H365)</f>
        <v>0</v>
      </c>
    </row>
    <row r="366" spans="1:10">
      <c r="A366" s="36" t="str">
        <f>IF(Values_Entered,A365+1,"")</f>
        <v/>
      </c>
      <c r="B366" s="35" t="str">
        <f t="shared" si="40"/>
        <v/>
      </c>
      <c r="C366" s="33" t="str">
        <f t="shared" si="46"/>
        <v/>
      </c>
      <c r="D366" s="33" t="str">
        <f t="shared" si="41"/>
        <v/>
      </c>
      <c r="E366" s="34" t="e">
        <f t="shared" si="42"/>
        <v>#VALUE!</v>
      </c>
      <c r="F366" s="33" t="e">
        <f t="shared" si="43"/>
        <v>#VALUE!</v>
      </c>
      <c r="G366" s="33" t="str">
        <f t="shared" si="44"/>
        <v/>
      </c>
      <c r="H366" s="33" t="str">
        <f t="shared" si="47"/>
        <v/>
      </c>
      <c r="I366" s="33" t="e">
        <f t="shared" si="45"/>
        <v>#VALUE!</v>
      </c>
      <c r="J366" s="33">
        <f>SUM($H$18:$H366)</f>
        <v>0</v>
      </c>
    </row>
    <row r="367" spans="1:10">
      <c r="A367" s="36" t="str">
        <f>IF(Values_Entered,A366+1,"")</f>
        <v/>
      </c>
      <c r="B367" s="35" t="str">
        <f t="shared" si="40"/>
        <v/>
      </c>
      <c r="C367" s="33" t="str">
        <f t="shared" si="46"/>
        <v/>
      </c>
      <c r="D367" s="33" t="str">
        <f t="shared" si="41"/>
        <v/>
      </c>
      <c r="E367" s="34" t="e">
        <f t="shared" si="42"/>
        <v>#VALUE!</v>
      </c>
      <c r="F367" s="33" t="e">
        <f t="shared" si="43"/>
        <v>#VALUE!</v>
      </c>
      <c r="G367" s="33" t="str">
        <f t="shared" si="44"/>
        <v/>
      </c>
      <c r="H367" s="33" t="str">
        <f t="shared" si="47"/>
        <v/>
      </c>
      <c r="I367" s="33" t="e">
        <f t="shared" si="45"/>
        <v>#VALUE!</v>
      </c>
      <c r="J367" s="33">
        <f>SUM($H$18:$H367)</f>
        <v>0</v>
      </c>
    </row>
    <row r="368" spans="1:10">
      <c r="A368" s="36" t="str">
        <f>IF(Values_Entered,A367+1,"")</f>
        <v/>
      </c>
      <c r="B368" s="35" t="str">
        <f t="shared" si="40"/>
        <v/>
      </c>
      <c r="C368" s="33" t="str">
        <f t="shared" si="46"/>
        <v/>
      </c>
      <c r="D368" s="33" t="str">
        <f t="shared" si="41"/>
        <v/>
      </c>
      <c r="E368" s="34" t="e">
        <f t="shared" si="42"/>
        <v>#VALUE!</v>
      </c>
      <c r="F368" s="33" t="e">
        <f t="shared" si="43"/>
        <v>#VALUE!</v>
      </c>
      <c r="G368" s="33" t="str">
        <f t="shared" si="44"/>
        <v/>
      </c>
      <c r="H368" s="33" t="str">
        <f t="shared" si="47"/>
        <v/>
      </c>
      <c r="I368" s="33" t="e">
        <f t="shared" si="45"/>
        <v>#VALUE!</v>
      </c>
      <c r="J368" s="33">
        <f>SUM($H$18:$H368)</f>
        <v>0</v>
      </c>
    </row>
    <row r="369" spans="1:10">
      <c r="A369" s="36" t="str">
        <f>IF(Values_Entered,A368+1,"")</f>
        <v/>
      </c>
      <c r="B369" s="35" t="str">
        <f t="shared" si="40"/>
        <v/>
      </c>
      <c r="C369" s="33" t="str">
        <f t="shared" si="46"/>
        <v/>
      </c>
      <c r="D369" s="33" t="str">
        <f t="shared" si="41"/>
        <v/>
      </c>
      <c r="E369" s="34" t="e">
        <f t="shared" si="42"/>
        <v>#VALUE!</v>
      </c>
      <c r="F369" s="33" t="e">
        <f t="shared" si="43"/>
        <v>#VALUE!</v>
      </c>
      <c r="G369" s="33" t="str">
        <f t="shared" si="44"/>
        <v/>
      </c>
      <c r="H369" s="33" t="str">
        <f t="shared" si="47"/>
        <v/>
      </c>
      <c r="I369" s="33" t="e">
        <f t="shared" si="45"/>
        <v>#VALUE!</v>
      </c>
      <c r="J369" s="33">
        <f>SUM($H$18:$H369)</f>
        <v>0</v>
      </c>
    </row>
    <row r="370" spans="1:10">
      <c r="A370" s="36" t="str">
        <f>IF(Values_Entered,A369+1,"")</f>
        <v/>
      </c>
      <c r="B370" s="35" t="str">
        <f t="shared" si="40"/>
        <v/>
      </c>
      <c r="C370" s="33" t="str">
        <f t="shared" si="46"/>
        <v/>
      </c>
      <c r="D370" s="33" t="str">
        <f t="shared" si="41"/>
        <v/>
      </c>
      <c r="E370" s="34" t="e">
        <f t="shared" si="42"/>
        <v>#VALUE!</v>
      </c>
      <c r="F370" s="33" t="e">
        <f t="shared" si="43"/>
        <v>#VALUE!</v>
      </c>
      <c r="G370" s="33" t="str">
        <f t="shared" si="44"/>
        <v/>
      </c>
      <c r="H370" s="33" t="str">
        <f t="shared" si="47"/>
        <v/>
      </c>
      <c r="I370" s="33" t="e">
        <f t="shared" si="45"/>
        <v>#VALUE!</v>
      </c>
      <c r="J370" s="33">
        <f>SUM($H$18:$H370)</f>
        <v>0</v>
      </c>
    </row>
    <row r="371" spans="1:10">
      <c r="A371" s="36" t="str">
        <f>IF(Values_Entered,A370+1,"")</f>
        <v/>
      </c>
      <c r="B371" s="35" t="str">
        <f t="shared" si="40"/>
        <v/>
      </c>
      <c r="C371" s="33" t="str">
        <f t="shared" si="46"/>
        <v/>
      </c>
      <c r="D371" s="33" t="str">
        <f t="shared" si="41"/>
        <v/>
      </c>
      <c r="E371" s="34" t="e">
        <f t="shared" si="42"/>
        <v>#VALUE!</v>
      </c>
      <c r="F371" s="33" t="e">
        <f t="shared" si="43"/>
        <v>#VALUE!</v>
      </c>
      <c r="G371" s="33" t="str">
        <f t="shared" si="44"/>
        <v/>
      </c>
      <c r="H371" s="33" t="str">
        <f t="shared" si="47"/>
        <v/>
      </c>
      <c r="I371" s="33" t="e">
        <f t="shared" si="45"/>
        <v>#VALUE!</v>
      </c>
      <c r="J371" s="33">
        <f>SUM($H$18:$H371)</f>
        <v>0</v>
      </c>
    </row>
    <row r="372" spans="1:10">
      <c r="A372" s="36" t="str">
        <f>IF(Values_Entered,A371+1,"")</f>
        <v/>
      </c>
      <c r="B372" s="35" t="str">
        <f t="shared" si="40"/>
        <v/>
      </c>
      <c r="C372" s="33" t="str">
        <f t="shared" si="46"/>
        <v/>
      </c>
      <c r="D372" s="33" t="str">
        <f t="shared" si="41"/>
        <v/>
      </c>
      <c r="E372" s="34" t="e">
        <f t="shared" si="42"/>
        <v>#VALUE!</v>
      </c>
      <c r="F372" s="33" t="e">
        <f t="shared" si="43"/>
        <v>#VALUE!</v>
      </c>
      <c r="G372" s="33" t="str">
        <f t="shared" si="44"/>
        <v/>
      </c>
      <c r="H372" s="33" t="str">
        <f t="shared" si="47"/>
        <v/>
      </c>
      <c r="I372" s="33" t="e">
        <f t="shared" si="45"/>
        <v>#VALUE!</v>
      </c>
      <c r="J372" s="33">
        <f>SUM($H$18:$H372)</f>
        <v>0</v>
      </c>
    </row>
    <row r="373" spans="1:10">
      <c r="A373" s="36" t="str">
        <f>IF(Values_Entered,A372+1,"")</f>
        <v/>
      </c>
      <c r="B373" s="35" t="str">
        <f t="shared" si="40"/>
        <v/>
      </c>
      <c r="C373" s="33" t="str">
        <f t="shared" si="46"/>
        <v/>
      </c>
      <c r="D373" s="33" t="str">
        <f t="shared" si="41"/>
        <v/>
      </c>
      <c r="E373" s="34" t="e">
        <f t="shared" si="42"/>
        <v>#VALUE!</v>
      </c>
      <c r="F373" s="33" t="e">
        <f t="shared" si="43"/>
        <v>#VALUE!</v>
      </c>
      <c r="G373" s="33" t="str">
        <f t="shared" si="44"/>
        <v/>
      </c>
      <c r="H373" s="33" t="str">
        <f t="shared" si="47"/>
        <v/>
      </c>
      <c r="I373" s="33" t="e">
        <f t="shared" si="45"/>
        <v>#VALUE!</v>
      </c>
      <c r="J373" s="33">
        <f>SUM($H$18:$H373)</f>
        <v>0</v>
      </c>
    </row>
    <row r="374" spans="1:10">
      <c r="A374" s="36" t="str">
        <f>IF(Values_Entered,A373+1,"")</f>
        <v/>
      </c>
      <c r="B374" s="35" t="str">
        <f t="shared" si="40"/>
        <v/>
      </c>
      <c r="C374" s="33" t="str">
        <f t="shared" si="46"/>
        <v/>
      </c>
      <c r="D374" s="33" t="str">
        <f t="shared" si="41"/>
        <v/>
      </c>
      <c r="E374" s="34" t="e">
        <f t="shared" si="42"/>
        <v>#VALUE!</v>
      </c>
      <c r="F374" s="33" t="e">
        <f t="shared" si="43"/>
        <v>#VALUE!</v>
      </c>
      <c r="G374" s="33" t="str">
        <f t="shared" si="44"/>
        <v/>
      </c>
      <c r="H374" s="33" t="str">
        <f t="shared" si="47"/>
        <v/>
      </c>
      <c r="I374" s="33" t="e">
        <f t="shared" si="45"/>
        <v>#VALUE!</v>
      </c>
      <c r="J374" s="33">
        <f>SUM($H$18:$H374)</f>
        <v>0</v>
      </c>
    </row>
    <row r="375" spans="1:10">
      <c r="A375" s="36" t="str">
        <f>IF(Values_Entered,A374+1,"")</f>
        <v/>
      </c>
      <c r="B375" s="35" t="str">
        <f t="shared" si="40"/>
        <v/>
      </c>
      <c r="C375" s="33" t="str">
        <f t="shared" si="46"/>
        <v/>
      </c>
      <c r="D375" s="33" t="str">
        <f t="shared" si="41"/>
        <v/>
      </c>
      <c r="E375" s="34" t="e">
        <f t="shared" si="42"/>
        <v>#VALUE!</v>
      </c>
      <c r="F375" s="33" t="e">
        <f t="shared" si="43"/>
        <v>#VALUE!</v>
      </c>
      <c r="G375" s="33" t="str">
        <f t="shared" si="44"/>
        <v/>
      </c>
      <c r="H375" s="33" t="str">
        <f t="shared" si="47"/>
        <v/>
      </c>
      <c r="I375" s="33" t="e">
        <f t="shared" si="45"/>
        <v>#VALUE!</v>
      </c>
      <c r="J375" s="33">
        <f>SUM($H$18:$H375)</f>
        <v>0</v>
      </c>
    </row>
    <row r="376" spans="1:10">
      <c r="A376" s="36" t="str">
        <f>IF(Values_Entered,A375+1,"")</f>
        <v/>
      </c>
      <c r="B376" s="35" t="str">
        <f t="shared" si="40"/>
        <v/>
      </c>
      <c r="C376" s="33" t="str">
        <f t="shared" si="46"/>
        <v/>
      </c>
      <c r="D376" s="33" t="str">
        <f t="shared" si="41"/>
        <v/>
      </c>
      <c r="E376" s="34" t="e">
        <f t="shared" si="42"/>
        <v>#VALUE!</v>
      </c>
      <c r="F376" s="33" t="e">
        <f t="shared" si="43"/>
        <v>#VALUE!</v>
      </c>
      <c r="G376" s="33" t="str">
        <f t="shared" si="44"/>
        <v/>
      </c>
      <c r="H376" s="33" t="str">
        <f t="shared" si="47"/>
        <v/>
      </c>
      <c r="I376" s="33" t="e">
        <f t="shared" si="45"/>
        <v>#VALUE!</v>
      </c>
      <c r="J376" s="33">
        <f>SUM($H$18:$H376)</f>
        <v>0</v>
      </c>
    </row>
    <row r="377" spans="1:10">
      <c r="A377" s="36" t="str">
        <f>IF(Values_Entered,A376+1,"")</f>
        <v/>
      </c>
      <c r="B377" s="35" t="str">
        <f t="shared" si="40"/>
        <v/>
      </c>
      <c r="C377" s="33" t="str">
        <f t="shared" si="46"/>
        <v/>
      </c>
      <c r="D377" s="33" t="str">
        <f t="shared" si="41"/>
        <v/>
      </c>
      <c r="E377" s="34" t="e">
        <f t="shared" si="42"/>
        <v>#VALUE!</v>
      </c>
      <c r="F377" s="33" t="e">
        <f t="shared" si="43"/>
        <v>#VALUE!</v>
      </c>
      <c r="G377" s="33" t="str">
        <f t="shared" si="44"/>
        <v/>
      </c>
      <c r="H377" s="33" t="str">
        <f t="shared" si="47"/>
        <v/>
      </c>
      <c r="I377" s="33" t="e">
        <f t="shared" si="45"/>
        <v>#VALUE!</v>
      </c>
      <c r="J377" s="33">
        <f>SUM($H$18:$H377)</f>
        <v>0</v>
      </c>
    </row>
    <row r="378" spans="1:10">
      <c r="A378" s="36" t="str">
        <f>IF(Values_Entered,A377+1,"")</f>
        <v/>
      </c>
      <c r="B378" s="35" t="str">
        <f t="shared" si="40"/>
        <v/>
      </c>
      <c r="C378" s="33" t="str">
        <f t="shared" si="46"/>
        <v/>
      </c>
      <c r="D378" s="33" t="str">
        <f t="shared" si="41"/>
        <v/>
      </c>
      <c r="E378" s="34" t="e">
        <f t="shared" si="42"/>
        <v>#VALUE!</v>
      </c>
      <c r="F378" s="33" t="e">
        <f t="shared" si="43"/>
        <v>#VALUE!</v>
      </c>
      <c r="G378" s="33" t="str">
        <f t="shared" si="44"/>
        <v/>
      </c>
      <c r="H378" s="33" t="str">
        <f t="shared" si="47"/>
        <v/>
      </c>
      <c r="I378" s="33" t="e">
        <f t="shared" si="45"/>
        <v>#VALUE!</v>
      </c>
      <c r="J378" s="33">
        <f>SUM($H$18:$H378)</f>
        <v>0</v>
      </c>
    </row>
    <row r="379" spans="1:10">
      <c r="A379" s="36" t="str">
        <f>IF(Values_Entered,A378+1,"")</f>
        <v/>
      </c>
      <c r="B379" s="35" t="str">
        <f t="shared" si="40"/>
        <v/>
      </c>
      <c r="C379" s="33" t="str">
        <f t="shared" si="46"/>
        <v/>
      </c>
      <c r="D379" s="33" t="str">
        <f t="shared" si="41"/>
        <v/>
      </c>
      <c r="E379" s="34" t="e">
        <f t="shared" si="42"/>
        <v>#VALUE!</v>
      </c>
      <c r="F379" s="33" t="e">
        <f t="shared" si="43"/>
        <v>#VALUE!</v>
      </c>
      <c r="G379" s="33" t="str">
        <f t="shared" si="44"/>
        <v/>
      </c>
      <c r="H379" s="33" t="str">
        <f t="shared" si="47"/>
        <v/>
      </c>
      <c r="I379" s="33" t="e">
        <f t="shared" si="45"/>
        <v>#VALUE!</v>
      </c>
      <c r="J379" s="33">
        <f>SUM($H$18:$H379)</f>
        <v>0</v>
      </c>
    </row>
    <row r="380" spans="1:10">
      <c r="A380" s="36" t="str">
        <f>IF(Values_Entered,A379+1,"")</f>
        <v/>
      </c>
      <c r="B380" s="35" t="str">
        <f t="shared" si="40"/>
        <v/>
      </c>
      <c r="C380" s="33" t="str">
        <f t="shared" si="46"/>
        <v/>
      </c>
      <c r="D380" s="33" t="str">
        <f t="shared" si="41"/>
        <v/>
      </c>
      <c r="E380" s="34" t="e">
        <f t="shared" si="42"/>
        <v>#VALUE!</v>
      </c>
      <c r="F380" s="33" t="e">
        <f t="shared" si="43"/>
        <v>#VALUE!</v>
      </c>
      <c r="G380" s="33" t="str">
        <f t="shared" si="44"/>
        <v/>
      </c>
      <c r="H380" s="33" t="str">
        <f t="shared" si="47"/>
        <v/>
      </c>
      <c r="I380" s="33" t="e">
        <f t="shared" si="45"/>
        <v>#VALUE!</v>
      </c>
      <c r="J380" s="33">
        <f>SUM($H$18:$H380)</f>
        <v>0</v>
      </c>
    </row>
    <row r="381" spans="1:10">
      <c r="A381" s="36" t="str">
        <f>IF(Values_Entered,A380+1,"")</f>
        <v/>
      </c>
      <c r="B381" s="35" t="str">
        <f t="shared" si="40"/>
        <v/>
      </c>
      <c r="C381" s="33" t="str">
        <f t="shared" si="46"/>
        <v/>
      </c>
      <c r="D381" s="33" t="str">
        <f t="shared" si="41"/>
        <v/>
      </c>
      <c r="E381" s="34" t="e">
        <f t="shared" si="42"/>
        <v>#VALUE!</v>
      </c>
      <c r="F381" s="33" t="e">
        <f t="shared" si="43"/>
        <v>#VALUE!</v>
      </c>
      <c r="G381" s="33" t="str">
        <f t="shared" si="44"/>
        <v/>
      </c>
      <c r="H381" s="33" t="str">
        <f t="shared" si="47"/>
        <v/>
      </c>
      <c r="I381" s="33" t="e">
        <f t="shared" si="45"/>
        <v>#VALUE!</v>
      </c>
      <c r="J381" s="33">
        <f>SUM($H$18:$H381)</f>
        <v>0</v>
      </c>
    </row>
    <row r="382" spans="1:10">
      <c r="A382" s="36" t="str">
        <f>IF(Values_Entered,A381+1,"")</f>
        <v/>
      </c>
      <c r="B382" s="35" t="str">
        <f t="shared" si="40"/>
        <v/>
      </c>
      <c r="C382" s="33" t="str">
        <f t="shared" si="46"/>
        <v/>
      </c>
      <c r="D382" s="33" t="str">
        <f t="shared" si="41"/>
        <v/>
      </c>
      <c r="E382" s="34" t="e">
        <f t="shared" si="42"/>
        <v>#VALUE!</v>
      </c>
      <c r="F382" s="33" t="e">
        <f t="shared" si="43"/>
        <v>#VALUE!</v>
      </c>
      <c r="G382" s="33" t="str">
        <f t="shared" si="44"/>
        <v/>
      </c>
      <c r="H382" s="33" t="str">
        <f t="shared" si="47"/>
        <v/>
      </c>
      <c r="I382" s="33" t="e">
        <f t="shared" si="45"/>
        <v>#VALUE!</v>
      </c>
      <c r="J382" s="33">
        <f>SUM($H$18:$H382)</f>
        <v>0</v>
      </c>
    </row>
    <row r="383" spans="1:10">
      <c r="A383" s="36" t="str">
        <f>IF(Values_Entered,A382+1,"")</f>
        <v/>
      </c>
      <c r="B383" s="35" t="str">
        <f t="shared" si="40"/>
        <v/>
      </c>
      <c r="C383" s="33" t="str">
        <f t="shared" si="46"/>
        <v/>
      </c>
      <c r="D383" s="33" t="str">
        <f t="shared" si="41"/>
        <v/>
      </c>
      <c r="E383" s="34" t="e">
        <f t="shared" si="42"/>
        <v>#VALUE!</v>
      </c>
      <c r="F383" s="33" t="e">
        <f t="shared" si="43"/>
        <v>#VALUE!</v>
      </c>
      <c r="G383" s="33" t="str">
        <f t="shared" si="44"/>
        <v/>
      </c>
      <c r="H383" s="33" t="str">
        <f t="shared" si="47"/>
        <v/>
      </c>
      <c r="I383" s="33" t="e">
        <f t="shared" si="45"/>
        <v>#VALUE!</v>
      </c>
      <c r="J383" s="33">
        <f>SUM($H$18:$H383)</f>
        <v>0</v>
      </c>
    </row>
    <row r="384" spans="1:10">
      <c r="A384" s="36" t="str">
        <f>IF(Values_Entered,A383+1,"")</f>
        <v/>
      </c>
      <c r="B384" s="35" t="str">
        <f t="shared" si="40"/>
        <v/>
      </c>
      <c r="C384" s="33" t="str">
        <f t="shared" si="46"/>
        <v/>
      </c>
      <c r="D384" s="33" t="str">
        <f t="shared" si="41"/>
        <v/>
      </c>
      <c r="E384" s="34" t="e">
        <f t="shared" si="42"/>
        <v>#VALUE!</v>
      </c>
      <c r="F384" s="33" t="e">
        <f t="shared" si="43"/>
        <v>#VALUE!</v>
      </c>
      <c r="G384" s="33" t="str">
        <f t="shared" si="44"/>
        <v/>
      </c>
      <c r="H384" s="33" t="str">
        <f t="shared" si="47"/>
        <v/>
      </c>
      <c r="I384" s="33" t="e">
        <f t="shared" si="45"/>
        <v>#VALUE!</v>
      </c>
      <c r="J384" s="33">
        <f>SUM($H$18:$H384)</f>
        <v>0</v>
      </c>
    </row>
    <row r="385" spans="1:10">
      <c r="A385" s="36" t="str">
        <f>IF(Values_Entered,A384+1,"")</f>
        <v/>
      </c>
      <c r="B385" s="35" t="str">
        <f t="shared" si="40"/>
        <v/>
      </c>
      <c r="C385" s="33" t="str">
        <f t="shared" si="46"/>
        <v/>
      </c>
      <c r="D385" s="33" t="str">
        <f t="shared" si="41"/>
        <v/>
      </c>
      <c r="E385" s="34" t="e">
        <f t="shared" si="42"/>
        <v>#VALUE!</v>
      </c>
      <c r="F385" s="33" t="e">
        <f t="shared" si="43"/>
        <v>#VALUE!</v>
      </c>
      <c r="G385" s="33" t="str">
        <f t="shared" si="44"/>
        <v/>
      </c>
      <c r="H385" s="33" t="str">
        <f t="shared" si="47"/>
        <v/>
      </c>
      <c r="I385" s="33" t="e">
        <f t="shared" si="45"/>
        <v>#VALUE!</v>
      </c>
      <c r="J385" s="33">
        <f>SUM($H$18:$H385)</f>
        <v>0</v>
      </c>
    </row>
    <row r="386" spans="1:10">
      <c r="A386" s="36" t="str">
        <f>IF(Values_Entered,A385+1,"")</f>
        <v/>
      </c>
      <c r="B386" s="35" t="str">
        <f t="shared" si="40"/>
        <v/>
      </c>
      <c r="C386" s="33" t="str">
        <f t="shared" si="46"/>
        <v/>
      </c>
      <c r="D386" s="33" t="str">
        <f t="shared" si="41"/>
        <v/>
      </c>
      <c r="E386" s="34" t="e">
        <f t="shared" si="42"/>
        <v>#VALUE!</v>
      </c>
      <c r="F386" s="33" t="e">
        <f t="shared" si="43"/>
        <v>#VALUE!</v>
      </c>
      <c r="G386" s="33" t="str">
        <f t="shared" si="44"/>
        <v/>
      </c>
      <c r="H386" s="33" t="str">
        <f t="shared" si="47"/>
        <v/>
      </c>
      <c r="I386" s="33" t="e">
        <f t="shared" si="45"/>
        <v>#VALUE!</v>
      </c>
      <c r="J386" s="33">
        <f>SUM($H$18:$H386)</f>
        <v>0</v>
      </c>
    </row>
    <row r="387" spans="1:10">
      <c r="A387" s="36" t="str">
        <f>IF(Values_Entered,A386+1,"")</f>
        <v/>
      </c>
      <c r="B387" s="35" t="str">
        <f t="shared" si="40"/>
        <v/>
      </c>
      <c r="C387" s="33" t="str">
        <f t="shared" si="46"/>
        <v/>
      </c>
      <c r="D387" s="33" t="str">
        <f t="shared" si="41"/>
        <v/>
      </c>
      <c r="E387" s="34" t="e">
        <f t="shared" si="42"/>
        <v>#VALUE!</v>
      </c>
      <c r="F387" s="33" t="e">
        <f t="shared" si="43"/>
        <v>#VALUE!</v>
      </c>
      <c r="G387" s="33" t="str">
        <f t="shared" si="44"/>
        <v/>
      </c>
      <c r="H387" s="33" t="str">
        <f t="shared" si="47"/>
        <v/>
      </c>
      <c r="I387" s="33" t="e">
        <f t="shared" si="45"/>
        <v>#VALUE!</v>
      </c>
      <c r="J387" s="33">
        <f>SUM($H$18:$H387)</f>
        <v>0</v>
      </c>
    </row>
    <row r="388" spans="1:10">
      <c r="A388" s="36" t="str">
        <f>IF(Values_Entered,A387+1,"")</f>
        <v/>
      </c>
      <c r="B388" s="35" t="str">
        <f t="shared" si="40"/>
        <v/>
      </c>
      <c r="C388" s="33" t="str">
        <f t="shared" si="46"/>
        <v/>
      </c>
      <c r="D388" s="33" t="str">
        <f t="shared" si="41"/>
        <v/>
      </c>
      <c r="E388" s="34" t="e">
        <f t="shared" si="42"/>
        <v>#VALUE!</v>
      </c>
      <c r="F388" s="33" t="e">
        <f t="shared" si="43"/>
        <v>#VALUE!</v>
      </c>
      <c r="G388" s="33" t="str">
        <f t="shared" si="44"/>
        <v/>
      </c>
      <c r="H388" s="33" t="str">
        <f t="shared" si="47"/>
        <v/>
      </c>
      <c r="I388" s="33" t="e">
        <f t="shared" si="45"/>
        <v>#VALUE!</v>
      </c>
      <c r="J388" s="33">
        <f>SUM($H$18:$H388)</f>
        <v>0</v>
      </c>
    </row>
    <row r="389" spans="1:10">
      <c r="A389" s="36" t="str">
        <f>IF(Values_Entered,A388+1,"")</f>
        <v/>
      </c>
      <c r="B389" s="35" t="str">
        <f t="shared" si="40"/>
        <v/>
      </c>
      <c r="C389" s="33" t="str">
        <f t="shared" si="46"/>
        <v/>
      </c>
      <c r="D389" s="33" t="str">
        <f t="shared" si="41"/>
        <v/>
      </c>
      <c r="E389" s="34" t="e">
        <f t="shared" si="42"/>
        <v>#VALUE!</v>
      </c>
      <c r="F389" s="33" t="e">
        <f t="shared" si="43"/>
        <v>#VALUE!</v>
      </c>
      <c r="G389" s="33" t="str">
        <f t="shared" si="44"/>
        <v/>
      </c>
      <c r="H389" s="33" t="str">
        <f t="shared" si="47"/>
        <v/>
      </c>
      <c r="I389" s="33" t="e">
        <f t="shared" si="45"/>
        <v>#VALUE!</v>
      </c>
      <c r="J389" s="33">
        <f>SUM($H$18:$H389)</f>
        <v>0</v>
      </c>
    </row>
    <row r="390" spans="1:10">
      <c r="A390" s="36" t="str">
        <f>IF(Values_Entered,A389+1,"")</f>
        <v/>
      </c>
      <c r="B390" s="35" t="str">
        <f t="shared" si="40"/>
        <v/>
      </c>
      <c r="C390" s="33" t="str">
        <f t="shared" si="46"/>
        <v/>
      </c>
      <c r="D390" s="33" t="str">
        <f t="shared" si="41"/>
        <v/>
      </c>
      <c r="E390" s="34" t="e">
        <f t="shared" si="42"/>
        <v>#VALUE!</v>
      </c>
      <c r="F390" s="33" t="e">
        <f t="shared" si="43"/>
        <v>#VALUE!</v>
      </c>
      <c r="G390" s="33" t="str">
        <f t="shared" si="44"/>
        <v/>
      </c>
      <c r="H390" s="33" t="str">
        <f t="shared" si="47"/>
        <v/>
      </c>
      <c r="I390" s="33" t="e">
        <f t="shared" si="45"/>
        <v>#VALUE!</v>
      </c>
      <c r="J390" s="33">
        <f>SUM($H$18:$H390)</f>
        <v>0</v>
      </c>
    </row>
    <row r="391" spans="1:10">
      <c r="A391" s="36" t="str">
        <f>IF(Values_Entered,A390+1,"")</f>
        <v/>
      </c>
      <c r="B391" s="35" t="str">
        <f t="shared" si="40"/>
        <v/>
      </c>
      <c r="C391" s="33" t="str">
        <f t="shared" si="46"/>
        <v/>
      </c>
      <c r="D391" s="33" t="str">
        <f t="shared" si="41"/>
        <v/>
      </c>
      <c r="E391" s="34" t="e">
        <f t="shared" si="42"/>
        <v>#VALUE!</v>
      </c>
      <c r="F391" s="33" t="e">
        <f t="shared" si="43"/>
        <v>#VALUE!</v>
      </c>
      <c r="G391" s="33" t="str">
        <f t="shared" si="44"/>
        <v/>
      </c>
      <c r="H391" s="33" t="str">
        <f t="shared" si="47"/>
        <v/>
      </c>
      <c r="I391" s="33" t="e">
        <f t="shared" si="45"/>
        <v>#VALUE!</v>
      </c>
      <c r="J391" s="33">
        <f>SUM($H$18:$H391)</f>
        <v>0</v>
      </c>
    </row>
    <row r="392" spans="1:10">
      <c r="A392" s="36" t="str">
        <f>IF(Values_Entered,A391+1,"")</f>
        <v/>
      </c>
      <c r="B392" s="35" t="str">
        <f t="shared" si="40"/>
        <v/>
      </c>
      <c r="C392" s="33" t="str">
        <f t="shared" si="46"/>
        <v/>
      </c>
      <c r="D392" s="33" t="str">
        <f t="shared" si="41"/>
        <v/>
      </c>
      <c r="E392" s="34" t="e">
        <f t="shared" si="42"/>
        <v>#VALUE!</v>
      </c>
      <c r="F392" s="33" t="e">
        <f t="shared" si="43"/>
        <v>#VALUE!</v>
      </c>
      <c r="G392" s="33" t="str">
        <f t="shared" si="44"/>
        <v/>
      </c>
      <c r="H392" s="33" t="str">
        <f t="shared" si="47"/>
        <v/>
      </c>
      <c r="I392" s="33" t="e">
        <f t="shared" si="45"/>
        <v>#VALUE!</v>
      </c>
      <c r="J392" s="33">
        <f>SUM($H$18:$H392)</f>
        <v>0</v>
      </c>
    </row>
    <row r="393" spans="1:10">
      <c r="A393" s="36" t="str">
        <f>IF(Values_Entered,A392+1,"")</f>
        <v/>
      </c>
      <c r="B393" s="35" t="str">
        <f t="shared" si="40"/>
        <v/>
      </c>
      <c r="C393" s="33" t="str">
        <f t="shared" si="46"/>
        <v/>
      </c>
      <c r="D393" s="33" t="str">
        <f t="shared" si="41"/>
        <v/>
      </c>
      <c r="E393" s="34" t="e">
        <f t="shared" si="42"/>
        <v>#VALUE!</v>
      </c>
      <c r="F393" s="33" t="e">
        <f t="shared" si="43"/>
        <v>#VALUE!</v>
      </c>
      <c r="G393" s="33" t="str">
        <f t="shared" si="44"/>
        <v/>
      </c>
      <c r="H393" s="33" t="str">
        <f t="shared" si="47"/>
        <v/>
      </c>
      <c r="I393" s="33" t="e">
        <f t="shared" si="45"/>
        <v>#VALUE!</v>
      </c>
      <c r="J393" s="33">
        <f>SUM($H$18:$H393)</f>
        <v>0</v>
      </c>
    </row>
    <row r="394" spans="1:10">
      <c r="A394" s="36" t="str">
        <f>IF(Values_Entered,A393+1,"")</f>
        <v/>
      </c>
      <c r="B394" s="35" t="str">
        <f t="shared" si="40"/>
        <v/>
      </c>
      <c r="C394" s="33" t="str">
        <f t="shared" si="46"/>
        <v/>
      </c>
      <c r="D394" s="33" t="str">
        <f t="shared" si="41"/>
        <v/>
      </c>
      <c r="E394" s="34" t="e">
        <f t="shared" si="42"/>
        <v>#VALUE!</v>
      </c>
      <c r="F394" s="33" t="e">
        <f t="shared" si="43"/>
        <v>#VALUE!</v>
      </c>
      <c r="G394" s="33" t="str">
        <f t="shared" si="44"/>
        <v/>
      </c>
      <c r="H394" s="33" t="str">
        <f t="shared" si="47"/>
        <v/>
      </c>
      <c r="I394" s="33" t="e">
        <f t="shared" si="45"/>
        <v>#VALUE!</v>
      </c>
      <c r="J394" s="33">
        <f>SUM($H$18:$H394)</f>
        <v>0</v>
      </c>
    </row>
    <row r="395" spans="1:10">
      <c r="A395" s="36" t="str">
        <f>IF(Values_Entered,A394+1,"")</f>
        <v/>
      </c>
      <c r="B395" s="35" t="str">
        <f t="shared" si="40"/>
        <v/>
      </c>
      <c r="C395" s="33" t="str">
        <f t="shared" si="46"/>
        <v/>
      </c>
      <c r="D395" s="33" t="str">
        <f t="shared" si="41"/>
        <v/>
      </c>
      <c r="E395" s="34" t="e">
        <f t="shared" si="42"/>
        <v>#VALUE!</v>
      </c>
      <c r="F395" s="33" t="e">
        <f t="shared" si="43"/>
        <v>#VALUE!</v>
      </c>
      <c r="G395" s="33" t="str">
        <f t="shared" si="44"/>
        <v/>
      </c>
      <c r="H395" s="33" t="str">
        <f t="shared" si="47"/>
        <v/>
      </c>
      <c r="I395" s="33" t="e">
        <f t="shared" si="45"/>
        <v>#VALUE!</v>
      </c>
      <c r="J395" s="33">
        <f>SUM($H$18:$H395)</f>
        <v>0</v>
      </c>
    </row>
    <row r="396" spans="1:10">
      <c r="A396" s="36" t="str">
        <f>IF(Values_Entered,A395+1,"")</f>
        <v/>
      </c>
      <c r="B396" s="35" t="str">
        <f t="shared" si="40"/>
        <v/>
      </c>
      <c r="C396" s="33" t="str">
        <f t="shared" si="46"/>
        <v/>
      </c>
      <c r="D396" s="33" t="str">
        <f t="shared" si="41"/>
        <v/>
      </c>
      <c r="E396" s="34" t="e">
        <f t="shared" si="42"/>
        <v>#VALUE!</v>
      </c>
      <c r="F396" s="33" t="e">
        <f t="shared" si="43"/>
        <v>#VALUE!</v>
      </c>
      <c r="G396" s="33" t="str">
        <f t="shared" si="44"/>
        <v/>
      </c>
      <c r="H396" s="33" t="str">
        <f t="shared" si="47"/>
        <v/>
      </c>
      <c r="I396" s="33" t="e">
        <f t="shared" si="45"/>
        <v>#VALUE!</v>
      </c>
      <c r="J396" s="33">
        <f>SUM($H$18:$H396)</f>
        <v>0</v>
      </c>
    </row>
    <row r="397" spans="1:10">
      <c r="A397" s="36" t="str">
        <f>IF(Values_Entered,A396+1,"")</f>
        <v/>
      </c>
      <c r="B397" s="35" t="str">
        <f t="shared" si="40"/>
        <v/>
      </c>
      <c r="C397" s="33" t="str">
        <f t="shared" si="46"/>
        <v/>
      </c>
      <c r="D397" s="33" t="str">
        <f t="shared" si="41"/>
        <v/>
      </c>
      <c r="E397" s="34" t="e">
        <f t="shared" si="42"/>
        <v>#VALUE!</v>
      </c>
      <c r="F397" s="33" t="e">
        <f t="shared" si="43"/>
        <v>#VALUE!</v>
      </c>
      <c r="G397" s="33" t="str">
        <f t="shared" si="44"/>
        <v/>
      </c>
      <c r="H397" s="33" t="str">
        <f t="shared" si="47"/>
        <v/>
      </c>
      <c r="I397" s="33" t="e">
        <f t="shared" si="45"/>
        <v>#VALUE!</v>
      </c>
      <c r="J397" s="33">
        <f>SUM($H$18:$H397)</f>
        <v>0</v>
      </c>
    </row>
    <row r="398" spans="1:10">
      <c r="A398" s="36" t="str">
        <f>IF(Values_Entered,A397+1,"")</f>
        <v/>
      </c>
      <c r="B398" s="35" t="str">
        <f t="shared" si="40"/>
        <v/>
      </c>
      <c r="C398" s="33" t="str">
        <f t="shared" si="46"/>
        <v/>
      </c>
      <c r="D398" s="33" t="str">
        <f t="shared" si="41"/>
        <v/>
      </c>
      <c r="E398" s="34" t="e">
        <f t="shared" si="42"/>
        <v>#VALUE!</v>
      </c>
      <c r="F398" s="33" t="e">
        <f t="shared" si="43"/>
        <v>#VALUE!</v>
      </c>
      <c r="G398" s="33" t="str">
        <f t="shared" si="44"/>
        <v/>
      </c>
      <c r="H398" s="33" t="str">
        <f t="shared" si="47"/>
        <v/>
      </c>
      <c r="I398" s="33" t="e">
        <f t="shared" si="45"/>
        <v>#VALUE!</v>
      </c>
      <c r="J398" s="33">
        <f>SUM($H$18:$H398)</f>
        <v>0</v>
      </c>
    </row>
    <row r="399" spans="1:10">
      <c r="A399" s="36" t="str">
        <f>IF(Values_Entered,A398+1,"")</f>
        <v/>
      </c>
      <c r="B399" s="35" t="str">
        <f t="shared" si="40"/>
        <v/>
      </c>
      <c r="C399" s="33" t="str">
        <f t="shared" si="46"/>
        <v/>
      </c>
      <c r="D399" s="33" t="str">
        <f t="shared" si="41"/>
        <v/>
      </c>
      <c r="E399" s="34" t="e">
        <f t="shared" si="42"/>
        <v>#VALUE!</v>
      </c>
      <c r="F399" s="33" t="e">
        <f t="shared" si="43"/>
        <v>#VALUE!</v>
      </c>
      <c r="G399" s="33" t="str">
        <f t="shared" si="44"/>
        <v/>
      </c>
      <c r="H399" s="33" t="str">
        <f t="shared" si="47"/>
        <v/>
      </c>
      <c r="I399" s="33" t="e">
        <f t="shared" si="45"/>
        <v>#VALUE!</v>
      </c>
      <c r="J399" s="33">
        <f>SUM($H$18:$H399)</f>
        <v>0</v>
      </c>
    </row>
    <row r="400" spans="1:10">
      <c r="A400" s="36" t="str">
        <f>IF(Values_Entered,A399+1,"")</f>
        <v/>
      </c>
      <c r="B400" s="35" t="str">
        <f t="shared" si="40"/>
        <v/>
      </c>
      <c r="C400" s="33" t="str">
        <f t="shared" si="46"/>
        <v/>
      </c>
      <c r="D400" s="33" t="str">
        <f t="shared" si="41"/>
        <v/>
      </c>
      <c r="E400" s="34" t="e">
        <f t="shared" si="42"/>
        <v>#VALUE!</v>
      </c>
      <c r="F400" s="33" t="e">
        <f t="shared" si="43"/>
        <v>#VALUE!</v>
      </c>
      <c r="G400" s="33" t="str">
        <f t="shared" si="44"/>
        <v/>
      </c>
      <c r="H400" s="33" t="str">
        <f t="shared" si="47"/>
        <v/>
      </c>
      <c r="I400" s="33" t="e">
        <f t="shared" si="45"/>
        <v>#VALUE!</v>
      </c>
      <c r="J400" s="33">
        <f>SUM($H$18:$H400)</f>
        <v>0</v>
      </c>
    </row>
    <row r="401" spans="1:10">
      <c r="A401" s="36" t="str">
        <f>IF(Values_Entered,A400+1,"")</f>
        <v/>
      </c>
      <c r="B401" s="35" t="str">
        <f t="shared" si="40"/>
        <v/>
      </c>
      <c r="C401" s="33" t="str">
        <f t="shared" si="46"/>
        <v/>
      </c>
      <c r="D401" s="33" t="str">
        <f t="shared" si="41"/>
        <v/>
      </c>
      <c r="E401" s="34" t="e">
        <f t="shared" si="42"/>
        <v>#VALUE!</v>
      </c>
      <c r="F401" s="33" t="e">
        <f t="shared" si="43"/>
        <v>#VALUE!</v>
      </c>
      <c r="G401" s="33" t="str">
        <f t="shared" si="44"/>
        <v/>
      </c>
      <c r="H401" s="33" t="str">
        <f t="shared" si="47"/>
        <v/>
      </c>
      <c r="I401" s="33" t="e">
        <f t="shared" si="45"/>
        <v>#VALUE!</v>
      </c>
      <c r="J401" s="33">
        <f>SUM($H$18:$H401)</f>
        <v>0</v>
      </c>
    </row>
    <row r="402" spans="1:10">
      <c r="A402" s="36" t="str">
        <f>IF(Values_Entered,A401+1,"")</f>
        <v/>
      </c>
      <c r="B402" s="35" t="str">
        <f t="shared" ref="B402:B465" si="48">IF(Pay_Num&lt;&gt;"",DATE(YEAR(Loan_Start),MONTH(Loan_Start)+(Pay_Num)*12/Num_Pmt_Per_Year,DAY(Loan_Start)),"")</f>
        <v/>
      </c>
      <c r="C402" s="33" t="str">
        <f t="shared" si="46"/>
        <v/>
      </c>
      <c r="D402" s="33" t="str">
        <f t="shared" ref="D402:D465" si="49">IF(Pay_Num&lt;&gt;"",Scheduled_Monthly_Payment,"")</f>
        <v/>
      </c>
      <c r="E402" s="34" t="e">
        <f t="shared" ref="E402:E465" si="50">IF(AND(Pay_Num&lt;&gt;"",Sched_Pay+Scheduled_Extra_Payments&lt;Beg_Bal),Scheduled_Extra_Payments,IF(AND(Pay_Num&lt;&gt;"",Beg_Bal-Sched_Pay&gt;0),Beg_Bal-Sched_Pay,IF(Pay_Num&lt;&gt;"",0,"")))</f>
        <v>#VALUE!</v>
      </c>
      <c r="F402" s="33" t="e">
        <f t="shared" ref="F402:F465" si="51">IF(AND(Pay_Num&lt;&gt;"",Sched_Pay+Extra_Pay&lt;Beg_Bal),Sched_Pay+Extra_Pay,IF(Pay_Num&lt;&gt;"",Beg_Bal,""))</f>
        <v>#VALUE!</v>
      </c>
      <c r="G402" s="33" t="str">
        <f t="shared" ref="G402:G465" si="52">IF(Pay_Num&lt;&gt;"",Total_Pay-Int,"")</f>
        <v/>
      </c>
      <c r="H402" s="33" t="str">
        <f t="shared" si="47"/>
        <v/>
      </c>
      <c r="I402" s="33" t="e">
        <f t="shared" ref="I402:I465" si="53">IF(AND(Pay_Num&lt;&gt;"",Sched_Pay+Extra_Pay&lt;Beg_Bal),Beg_Bal-Princ,IF(Pay_Num&lt;&gt;"",0,""))</f>
        <v>#VALUE!</v>
      </c>
      <c r="J402" s="33">
        <f>SUM($H$18:$H402)</f>
        <v>0</v>
      </c>
    </row>
    <row r="403" spans="1:10">
      <c r="A403" s="36" t="str">
        <f>IF(Values_Entered,A402+1,"")</f>
        <v/>
      </c>
      <c r="B403" s="35" t="str">
        <f t="shared" si="48"/>
        <v/>
      </c>
      <c r="C403" s="33" t="str">
        <f t="shared" ref="C403:C466" si="54">IF(Pay_Num&lt;&gt;"",I402,"")</f>
        <v/>
      </c>
      <c r="D403" s="33" t="str">
        <f t="shared" si="49"/>
        <v/>
      </c>
      <c r="E403" s="34" t="e">
        <f t="shared" si="50"/>
        <v>#VALUE!</v>
      </c>
      <c r="F403" s="33" t="e">
        <f t="shared" si="51"/>
        <v>#VALUE!</v>
      </c>
      <c r="G403" s="33" t="str">
        <f t="shared" si="52"/>
        <v/>
      </c>
      <c r="H403" s="33" t="str">
        <f t="shared" ref="H403:H466" si="55">IF(Pay_Num&lt;&gt;"",Beg_Bal*Interest_Rate/Num_Pmt_Per_Year,"")</f>
        <v/>
      </c>
      <c r="I403" s="33" t="e">
        <f t="shared" si="53"/>
        <v>#VALUE!</v>
      </c>
      <c r="J403" s="33">
        <f>SUM($H$18:$H403)</f>
        <v>0</v>
      </c>
    </row>
    <row r="404" spans="1:10">
      <c r="A404" s="36" t="str">
        <f>IF(Values_Entered,A403+1,"")</f>
        <v/>
      </c>
      <c r="B404" s="35" t="str">
        <f t="shared" si="48"/>
        <v/>
      </c>
      <c r="C404" s="33" t="str">
        <f t="shared" si="54"/>
        <v/>
      </c>
      <c r="D404" s="33" t="str">
        <f t="shared" si="49"/>
        <v/>
      </c>
      <c r="E404" s="34" t="e">
        <f t="shared" si="50"/>
        <v>#VALUE!</v>
      </c>
      <c r="F404" s="33" t="e">
        <f t="shared" si="51"/>
        <v>#VALUE!</v>
      </c>
      <c r="G404" s="33" t="str">
        <f t="shared" si="52"/>
        <v/>
      </c>
      <c r="H404" s="33" t="str">
        <f t="shared" si="55"/>
        <v/>
      </c>
      <c r="I404" s="33" t="e">
        <f t="shared" si="53"/>
        <v>#VALUE!</v>
      </c>
      <c r="J404" s="33">
        <f>SUM($H$18:$H404)</f>
        <v>0</v>
      </c>
    </row>
    <row r="405" spans="1:10">
      <c r="A405" s="36" t="str">
        <f>IF(Values_Entered,A404+1,"")</f>
        <v/>
      </c>
      <c r="B405" s="35" t="str">
        <f t="shared" si="48"/>
        <v/>
      </c>
      <c r="C405" s="33" t="str">
        <f t="shared" si="54"/>
        <v/>
      </c>
      <c r="D405" s="33" t="str">
        <f t="shared" si="49"/>
        <v/>
      </c>
      <c r="E405" s="34" t="e">
        <f t="shared" si="50"/>
        <v>#VALUE!</v>
      </c>
      <c r="F405" s="33" t="e">
        <f t="shared" si="51"/>
        <v>#VALUE!</v>
      </c>
      <c r="G405" s="33" t="str">
        <f t="shared" si="52"/>
        <v/>
      </c>
      <c r="H405" s="33" t="str">
        <f t="shared" si="55"/>
        <v/>
      </c>
      <c r="I405" s="33" t="e">
        <f t="shared" si="53"/>
        <v>#VALUE!</v>
      </c>
      <c r="J405" s="33">
        <f>SUM($H$18:$H405)</f>
        <v>0</v>
      </c>
    </row>
    <row r="406" spans="1:10">
      <c r="A406" s="36" t="str">
        <f>IF(Values_Entered,A405+1,"")</f>
        <v/>
      </c>
      <c r="B406" s="35" t="str">
        <f t="shared" si="48"/>
        <v/>
      </c>
      <c r="C406" s="33" t="str">
        <f t="shared" si="54"/>
        <v/>
      </c>
      <c r="D406" s="33" t="str">
        <f t="shared" si="49"/>
        <v/>
      </c>
      <c r="E406" s="34" t="e">
        <f t="shared" si="50"/>
        <v>#VALUE!</v>
      </c>
      <c r="F406" s="33" t="e">
        <f t="shared" si="51"/>
        <v>#VALUE!</v>
      </c>
      <c r="G406" s="33" t="str">
        <f t="shared" si="52"/>
        <v/>
      </c>
      <c r="H406" s="33" t="str">
        <f t="shared" si="55"/>
        <v/>
      </c>
      <c r="I406" s="33" t="e">
        <f t="shared" si="53"/>
        <v>#VALUE!</v>
      </c>
      <c r="J406" s="33">
        <f>SUM($H$18:$H406)</f>
        <v>0</v>
      </c>
    </row>
    <row r="407" spans="1:10">
      <c r="A407" s="36" t="str">
        <f>IF(Values_Entered,A406+1,"")</f>
        <v/>
      </c>
      <c r="B407" s="35" t="str">
        <f t="shared" si="48"/>
        <v/>
      </c>
      <c r="C407" s="33" t="str">
        <f t="shared" si="54"/>
        <v/>
      </c>
      <c r="D407" s="33" t="str">
        <f t="shared" si="49"/>
        <v/>
      </c>
      <c r="E407" s="34" t="e">
        <f t="shared" si="50"/>
        <v>#VALUE!</v>
      </c>
      <c r="F407" s="33" t="e">
        <f t="shared" si="51"/>
        <v>#VALUE!</v>
      </c>
      <c r="G407" s="33" t="str">
        <f t="shared" si="52"/>
        <v/>
      </c>
      <c r="H407" s="33" t="str">
        <f t="shared" si="55"/>
        <v/>
      </c>
      <c r="I407" s="33" t="e">
        <f t="shared" si="53"/>
        <v>#VALUE!</v>
      </c>
      <c r="J407" s="33">
        <f>SUM($H$18:$H407)</f>
        <v>0</v>
      </c>
    </row>
    <row r="408" spans="1:10">
      <c r="A408" s="36" t="str">
        <f>IF(Values_Entered,A407+1,"")</f>
        <v/>
      </c>
      <c r="B408" s="35" t="str">
        <f t="shared" si="48"/>
        <v/>
      </c>
      <c r="C408" s="33" t="str">
        <f t="shared" si="54"/>
        <v/>
      </c>
      <c r="D408" s="33" t="str">
        <f t="shared" si="49"/>
        <v/>
      </c>
      <c r="E408" s="34" t="e">
        <f t="shared" si="50"/>
        <v>#VALUE!</v>
      </c>
      <c r="F408" s="33" t="e">
        <f t="shared" si="51"/>
        <v>#VALUE!</v>
      </c>
      <c r="G408" s="33" t="str">
        <f t="shared" si="52"/>
        <v/>
      </c>
      <c r="H408" s="33" t="str">
        <f t="shared" si="55"/>
        <v/>
      </c>
      <c r="I408" s="33" t="e">
        <f t="shared" si="53"/>
        <v>#VALUE!</v>
      </c>
      <c r="J408" s="33">
        <f>SUM($H$18:$H408)</f>
        <v>0</v>
      </c>
    </row>
    <row r="409" spans="1:10">
      <c r="A409" s="36" t="str">
        <f>IF(Values_Entered,A408+1,"")</f>
        <v/>
      </c>
      <c r="B409" s="35" t="str">
        <f t="shared" si="48"/>
        <v/>
      </c>
      <c r="C409" s="33" t="str">
        <f t="shared" si="54"/>
        <v/>
      </c>
      <c r="D409" s="33" t="str">
        <f t="shared" si="49"/>
        <v/>
      </c>
      <c r="E409" s="34" t="e">
        <f t="shared" si="50"/>
        <v>#VALUE!</v>
      </c>
      <c r="F409" s="33" t="e">
        <f t="shared" si="51"/>
        <v>#VALUE!</v>
      </c>
      <c r="G409" s="33" t="str">
        <f t="shared" si="52"/>
        <v/>
      </c>
      <c r="H409" s="33" t="str">
        <f t="shared" si="55"/>
        <v/>
      </c>
      <c r="I409" s="33" t="e">
        <f t="shared" si="53"/>
        <v>#VALUE!</v>
      </c>
      <c r="J409" s="33">
        <f>SUM($H$18:$H409)</f>
        <v>0</v>
      </c>
    </row>
    <row r="410" spans="1:10">
      <c r="A410" s="36" t="str">
        <f>IF(Values_Entered,A409+1,"")</f>
        <v/>
      </c>
      <c r="B410" s="35" t="str">
        <f t="shared" si="48"/>
        <v/>
      </c>
      <c r="C410" s="33" t="str">
        <f t="shared" si="54"/>
        <v/>
      </c>
      <c r="D410" s="33" t="str">
        <f t="shared" si="49"/>
        <v/>
      </c>
      <c r="E410" s="34" t="e">
        <f t="shared" si="50"/>
        <v>#VALUE!</v>
      </c>
      <c r="F410" s="33" t="e">
        <f t="shared" si="51"/>
        <v>#VALUE!</v>
      </c>
      <c r="G410" s="33" t="str">
        <f t="shared" si="52"/>
        <v/>
      </c>
      <c r="H410" s="33" t="str">
        <f t="shared" si="55"/>
        <v/>
      </c>
      <c r="I410" s="33" t="e">
        <f t="shared" si="53"/>
        <v>#VALUE!</v>
      </c>
      <c r="J410" s="33">
        <f>SUM($H$18:$H410)</f>
        <v>0</v>
      </c>
    </row>
    <row r="411" spans="1:10">
      <c r="A411" s="36" t="str">
        <f>IF(Values_Entered,A410+1,"")</f>
        <v/>
      </c>
      <c r="B411" s="35" t="str">
        <f t="shared" si="48"/>
        <v/>
      </c>
      <c r="C411" s="33" t="str">
        <f t="shared" si="54"/>
        <v/>
      </c>
      <c r="D411" s="33" t="str">
        <f t="shared" si="49"/>
        <v/>
      </c>
      <c r="E411" s="34" t="e">
        <f t="shared" si="50"/>
        <v>#VALUE!</v>
      </c>
      <c r="F411" s="33" t="e">
        <f t="shared" si="51"/>
        <v>#VALUE!</v>
      </c>
      <c r="G411" s="33" t="str">
        <f t="shared" si="52"/>
        <v/>
      </c>
      <c r="H411" s="33" t="str">
        <f t="shared" si="55"/>
        <v/>
      </c>
      <c r="I411" s="33" t="e">
        <f t="shared" si="53"/>
        <v>#VALUE!</v>
      </c>
      <c r="J411" s="33">
        <f>SUM($H$18:$H411)</f>
        <v>0</v>
      </c>
    </row>
    <row r="412" spans="1:10">
      <c r="A412" s="36" t="str">
        <f>IF(Values_Entered,A411+1,"")</f>
        <v/>
      </c>
      <c r="B412" s="35" t="str">
        <f t="shared" si="48"/>
        <v/>
      </c>
      <c r="C412" s="33" t="str">
        <f t="shared" si="54"/>
        <v/>
      </c>
      <c r="D412" s="33" t="str">
        <f t="shared" si="49"/>
        <v/>
      </c>
      <c r="E412" s="34" t="e">
        <f t="shared" si="50"/>
        <v>#VALUE!</v>
      </c>
      <c r="F412" s="33" t="e">
        <f t="shared" si="51"/>
        <v>#VALUE!</v>
      </c>
      <c r="G412" s="33" t="str">
        <f t="shared" si="52"/>
        <v/>
      </c>
      <c r="H412" s="33" t="str">
        <f t="shared" si="55"/>
        <v/>
      </c>
      <c r="I412" s="33" t="e">
        <f t="shared" si="53"/>
        <v>#VALUE!</v>
      </c>
      <c r="J412" s="33">
        <f>SUM($H$18:$H412)</f>
        <v>0</v>
      </c>
    </row>
    <row r="413" spans="1:10">
      <c r="A413" s="36" t="str">
        <f>IF(Values_Entered,A412+1,"")</f>
        <v/>
      </c>
      <c r="B413" s="35" t="str">
        <f t="shared" si="48"/>
        <v/>
      </c>
      <c r="C413" s="33" t="str">
        <f t="shared" si="54"/>
        <v/>
      </c>
      <c r="D413" s="33" t="str">
        <f t="shared" si="49"/>
        <v/>
      </c>
      <c r="E413" s="34" t="e">
        <f t="shared" si="50"/>
        <v>#VALUE!</v>
      </c>
      <c r="F413" s="33" t="e">
        <f t="shared" si="51"/>
        <v>#VALUE!</v>
      </c>
      <c r="G413" s="33" t="str">
        <f t="shared" si="52"/>
        <v/>
      </c>
      <c r="H413" s="33" t="str">
        <f t="shared" si="55"/>
        <v/>
      </c>
      <c r="I413" s="33" t="e">
        <f t="shared" si="53"/>
        <v>#VALUE!</v>
      </c>
      <c r="J413" s="33">
        <f>SUM($H$18:$H413)</f>
        <v>0</v>
      </c>
    </row>
    <row r="414" spans="1:10">
      <c r="A414" s="36" t="str">
        <f>IF(Values_Entered,A413+1,"")</f>
        <v/>
      </c>
      <c r="B414" s="35" t="str">
        <f t="shared" si="48"/>
        <v/>
      </c>
      <c r="C414" s="33" t="str">
        <f t="shared" si="54"/>
        <v/>
      </c>
      <c r="D414" s="33" t="str">
        <f t="shared" si="49"/>
        <v/>
      </c>
      <c r="E414" s="34" t="e">
        <f t="shared" si="50"/>
        <v>#VALUE!</v>
      </c>
      <c r="F414" s="33" t="e">
        <f t="shared" si="51"/>
        <v>#VALUE!</v>
      </c>
      <c r="G414" s="33" t="str">
        <f t="shared" si="52"/>
        <v/>
      </c>
      <c r="H414" s="33" t="str">
        <f t="shared" si="55"/>
        <v/>
      </c>
      <c r="I414" s="33" t="e">
        <f t="shared" si="53"/>
        <v>#VALUE!</v>
      </c>
      <c r="J414" s="33">
        <f>SUM($H$18:$H414)</f>
        <v>0</v>
      </c>
    </row>
    <row r="415" spans="1:10">
      <c r="A415" s="36" t="str">
        <f>IF(Values_Entered,A414+1,"")</f>
        <v/>
      </c>
      <c r="B415" s="35" t="str">
        <f t="shared" si="48"/>
        <v/>
      </c>
      <c r="C415" s="33" t="str">
        <f t="shared" si="54"/>
        <v/>
      </c>
      <c r="D415" s="33" t="str">
        <f t="shared" si="49"/>
        <v/>
      </c>
      <c r="E415" s="34" t="e">
        <f t="shared" si="50"/>
        <v>#VALUE!</v>
      </c>
      <c r="F415" s="33" t="e">
        <f t="shared" si="51"/>
        <v>#VALUE!</v>
      </c>
      <c r="G415" s="33" t="str">
        <f t="shared" si="52"/>
        <v/>
      </c>
      <c r="H415" s="33" t="str">
        <f t="shared" si="55"/>
        <v/>
      </c>
      <c r="I415" s="33" t="e">
        <f t="shared" si="53"/>
        <v>#VALUE!</v>
      </c>
      <c r="J415" s="33">
        <f>SUM($H$18:$H415)</f>
        <v>0</v>
      </c>
    </row>
    <row r="416" spans="1:10">
      <c r="A416" s="36" t="str">
        <f>IF(Values_Entered,A415+1,"")</f>
        <v/>
      </c>
      <c r="B416" s="35" t="str">
        <f t="shared" si="48"/>
        <v/>
      </c>
      <c r="C416" s="33" t="str">
        <f t="shared" si="54"/>
        <v/>
      </c>
      <c r="D416" s="33" t="str">
        <f t="shared" si="49"/>
        <v/>
      </c>
      <c r="E416" s="34" t="e">
        <f t="shared" si="50"/>
        <v>#VALUE!</v>
      </c>
      <c r="F416" s="33" t="e">
        <f t="shared" si="51"/>
        <v>#VALUE!</v>
      </c>
      <c r="G416" s="33" t="str">
        <f t="shared" si="52"/>
        <v/>
      </c>
      <c r="H416" s="33" t="str">
        <f t="shared" si="55"/>
        <v/>
      </c>
      <c r="I416" s="33" t="e">
        <f t="shared" si="53"/>
        <v>#VALUE!</v>
      </c>
      <c r="J416" s="33">
        <f>SUM($H$18:$H416)</f>
        <v>0</v>
      </c>
    </row>
    <row r="417" spans="1:10">
      <c r="A417" s="36" t="str">
        <f>IF(Values_Entered,A416+1,"")</f>
        <v/>
      </c>
      <c r="B417" s="35" t="str">
        <f t="shared" si="48"/>
        <v/>
      </c>
      <c r="C417" s="33" t="str">
        <f t="shared" si="54"/>
        <v/>
      </c>
      <c r="D417" s="33" t="str">
        <f t="shared" si="49"/>
        <v/>
      </c>
      <c r="E417" s="34" t="e">
        <f t="shared" si="50"/>
        <v>#VALUE!</v>
      </c>
      <c r="F417" s="33" t="e">
        <f t="shared" si="51"/>
        <v>#VALUE!</v>
      </c>
      <c r="G417" s="33" t="str">
        <f t="shared" si="52"/>
        <v/>
      </c>
      <c r="H417" s="33" t="str">
        <f t="shared" si="55"/>
        <v/>
      </c>
      <c r="I417" s="33" t="e">
        <f t="shared" si="53"/>
        <v>#VALUE!</v>
      </c>
      <c r="J417" s="33">
        <f>SUM($H$18:$H417)</f>
        <v>0</v>
      </c>
    </row>
    <row r="418" spans="1:10">
      <c r="A418" s="36" t="str">
        <f>IF(Values_Entered,A417+1,"")</f>
        <v/>
      </c>
      <c r="B418" s="35" t="str">
        <f t="shared" si="48"/>
        <v/>
      </c>
      <c r="C418" s="33" t="str">
        <f t="shared" si="54"/>
        <v/>
      </c>
      <c r="D418" s="33" t="str">
        <f t="shared" si="49"/>
        <v/>
      </c>
      <c r="E418" s="34" t="e">
        <f t="shared" si="50"/>
        <v>#VALUE!</v>
      </c>
      <c r="F418" s="33" t="e">
        <f t="shared" si="51"/>
        <v>#VALUE!</v>
      </c>
      <c r="G418" s="33" t="str">
        <f t="shared" si="52"/>
        <v/>
      </c>
      <c r="H418" s="33" t="str">
        <f t="shared" si="55"/>
        <v/>
      </c>
      <c r="I418" s="33" t="e">
        <f t="shared" si="53"/>
        <v>#VALUE!</v>
      </c>
      <c r="J418" s="33">
        <f>SUM($H$18:$H418)</f>
        <v>0</v>
      </c>
    </row>
    <row r="419" spans="1:10">
      <c r="A419" s="36" t="str">
        <f>IF(Values_Entered,A418+1,"")</f>
        <v/>
      </c>
      <c r="B419" s="35" t="str">
        <f t="shared" si="48"/>
        <v/>
      </c>
      <c r="C419" s="33" t="str">
        <f t="shared" si="54"/>
        <v/>
      </c>
      <c r="D419" s="33" t="str">
        <f t="shared" si="49"/>
        <v/>
      </c>
      <c r="E419" s="34" t="e">
        <f t="shared" si="50"/>
        <v>#VALUE!</v>
      </c>
      <c r="F419" s="33" t="e">
        <f t="shared" si="51"/>
        <v>#VALUE!</v>
      </c>
      <c r="G419" s="33" t="str">
        <f t="shared" si="52"/>
        <v/>
      </c>
      <c r="H419" s="33" t="str">
        <f t="shared" si="55"/>
        <v/>
      </c>
      <c r="I419" s="33" t="e">
        <f t="shared" si="53"/>
        <v>#VALUE!</v>
      </c>
      <c r="J419" s="33">
        <f>SUM($H$18:$H419)</f>
        <v>0</v>
      </c>
    </row>
    <row r="420" spans="1:10">
      <c r="A420" s="36" t="str">
        <f>IF(Values_Entered,A419+1,"")</f>
        <v/>
      </c>
      <c r="B420" s="35" t="str">
        <f t="shared" si="48"/>
        <v/>
      </c>
      <c r="C420" s="33" t="str">
        <f t="shared" si="54"/>
        <v/>
      </c>
      <c r="D420" s="33" t="str">
        <f t="shared" si="49"/>
        <v/>
      </c>
      <c r="E420" s="34" t="e">
        <f t="shared" si="50"/>
        <v>#VALUE!</v>
      </c>
      <c r="F420" s="33" t="e">
        <f t="shared" si="51"/>
        <v>#VALUE!</v>
      </c>
      <c r="G420" s="33" t="str">
        <f t="shared" si="52"/>
        <v/>
      </c>
      <c r="H420" s="33" t="str">
        <f t="shared" si="55"/>
        <v/>
      </c>
      <c r="I420" s="33" t="e">
        <f t="shared" si="53"/>
        <v>#VALUE!</v>
      </c>
      <c r="J420" s="33">
        <f>SUM($H$18:$H420)</f>
        <v>0</v>
      </c>
    </row>
    <row r="421" spans="1:10">
      <c r="A421" s="36" t="str">
        <f>IF(Values_Entered,A420+1,"")</f>
        <v/>
      </c>
      <c r="B421" s="35" t="str">
        <f t="shared" si="48"/>
        <v/>
      </c>
      <c r="C421" s="33" t="str">
        <f t="shared" si="54"/>
        <v/>
      </c>
      <c r="D421" s="33" t="str">
        <f t="shared" si="49"/>
        <v/>
      </c>
      <c r="E421" s="34" t="e">
        <f t="shared" si="50"/>
        <v>#VALUE!</v>
      </c>
      <c r="F421" s="33" t="e">
        <f t="shared" si="51"/>
        <v>#VALUE!</v>
      </c>
      <c r="G421" s="33" t="str">
        <f t="shared" si="52"/>
        <v/>
      </c>
      <c r="H421" s="33" t="str">
        <f t="shared" si="55"/>
        <v/>
      </c>
      <c r="I421" s="33" t="e">
        <f t="shared" si="53"/>
        <v>#VALUE!</v>
      </c>
      <c r="J421" s="33">
        <f>SUM($H$18:$H421)</f>
        <v>0</v>
      </c>
    </row>
    <row r="422" spans="1:10">
      <c r="A422" s="36" t="str">
        <f>IF(Values_Entered,A421+1,"")</f>
        <v/>
      </c>
      <c r="B422" s="35" t="str">
        <f t="shared" si="48"/>
        <v/>
      </c>
      <c r="C422" s="33" t="str">
        <f t="shared" si="54"/>
        <v/>
      </c>
      <c r="D422" s="33" t="str">
        <f t="shared" si="49"/>
        <v/>
      </c>
      <c r="E422" s="34" t="e">
        <f t="shared" si="50"/>
        <v>#VALUE!</v>
      </c>
      <c r="F422" s="33" t="e">
        <f t="shared" si="51"/>
        <v>#VALUE!</v>
      </c>
      <c r="G422" s="33" t="str">
        <f t="shared" si="52"/>
        <v/>
      </c>
      <c r="H422" s="33" t="str">
        <f t="shared" si="55"/>
        <v/>
      </c>
      <c r="I422" s="33" t="e">
        <f t="shared" si="53"/>
        <v>#VALUE!</v>
      </c>
      <c r="J422" s="33">
        <f>SUM($H$18:$H422)</f>
        <v>0</v>
      </c>
    </row>
    <row r="423" spans="1:10">
      <c r="A423" s="36" t="str">
        <f>IF(Values_Entered,A422+1,"")</f>
        <v/>
      </c>
      <c r="B423" s="35" t="str">
        <f t="shared" si="48"/>
        <v/>
      </c>
      <c r="C423" s="33" t="str">
        <f t="shared" si="54"/>
        <v/>
      </c>
      <c r="D423" s="33" t="str">
        <f t="shared" si="49"/>
        <v/>
      </c>
      <c r="E423" s="34" t="e">
        <f t="shared" si="50"/>
        <v>#VALUE!</v>
      </c>
      <c r="F423" s="33" t="e">
        <f t="shared" si="51"/>
        <v>#VALUE!</v>
      </c>
      <c r="G423" s="33" t="str">
        <f t="shared" si="52"/>
        <v/>
      </c>
      <c r="H423" s="33" t="str">
        <f t="shared" si="55"/>
        <v/>
      </c>
      <c r="I423" s="33" t="e">
        <f t="shared" si="53"/>
        <v>#VALUE!</v>
      </c>
      <c r="J423" s="33">
        <f>SUM($H$18:$H423)</f>
        <v>0</v>
      </c>
    </row>
    <row r="424" spans="1:10">
      <c r="A424" s="36" t="str">
        <f>IF(Values_Entered,A423+1,"")</f>
        <v/>
      </c>
      <c r="B424" s="35" t="str">
        <f t="shared" si="48"/>
        <v/>
      </c>
      <c r="C424" s="33" t="str">
        <f t="shared" si="54"/>
        <v/>
      </c>
      <c r="D424" s="33" t="str">
        <f t="shared" si="49"/>
        <v/>
      </c>
      <c r="E424" s="34" t="e">
        <f t="shared" si="50"/>
        <v>#VALUE!</v>
      </c>
      <c r="F424" s="33" t="e">
        <f t="shared" si="51"/>
        <v>#VALUE!</v>
      </c>
      <c r="G424" s="33" t="str">
        <f t="shared" si="52"/>
        <v/>
      </c>
      <c r="H424" s="33" t="str">
        <f t="shared" si="55"/>
        <v/>
      </c>
      <c r="I424" s="33" t="e">
        <f t="shared" si="53"/>
        <v>#VALUE!</v>
      </c>
      <c r="J424" s="33">
        <f>SUM($H$18:$H424)</f>
        <v>0</v>
      </c>
    </row>
    <row r="425" spans="1:10">
      <c r="A425" s="36" t="str">
        <f>IF(Values_Entered,A424+1,"")</f>
        <v/>
      </c>
      <c r="B425" s="35" t="str">
        <f t="shared" si="48"/>
        <v/>
      </c>
      <c r="C425" s="33" t="str">
        <f t="shared" si="54"/>
        <v/>
      </c>
      <c r="D425" s="33" t="str">
        <f t="shared" si="49"/>
        <v/>
      </c>
      <c r="E425" s="34" t="e">
        <f t="shared" si="50"/>
        <v>#VALUE!</v>
      </c>
      <c r="F425" s="33" t="e">
        <f t="shared" si="51"/>
        <v>#VALUE!</v>
      </c>
      <c r="G425" s="33" t="str">
        <f t="shared" si="52"/>
        <v/>
      </c>
      <c r="H425" s="33" t="str">
        <f t="shared" si="55"/>
        <v/>
      </c>
      <c r="I425" s="33" t="e">
        <f t="shared" si="53"/>
        <v>#VALUE!</v>
      </c>
      <c r="J425" s="33">
        <f>SUM($H$18:$H425)</f>
        <v>0</v>
      </c>
    </row>
    <row r="426" spans="1:10">
      <c r="A426" s="36" t="str">
        <f>IF(Values_Entered,A425+1,"")</f>
        <v/>
      </c>
      <c r="B426" s="35" t="str">
        <f t="shared" si="48"/>
        <v/>
      </c>
      <c r="C426" s="33" t="str">
        <f t="shared" si="54"/>
        <v/>
      </c>
      <c r="D426" s="33" t="str">
        <f t="shared" si="49"/>
        <v/>
      </c>
      <c r="E426" s="34" t="e">
        <f t="shared" si="50"/>
        <v>#VALUE!</v>
      </c>
      <c r="F426" s="33" t="e">
        <f t="shared" si="51"/>
        <v>#VALUE!</v>
      </c>
      <c r="G426" s="33" t="str">
        <f t="shared" si="52"/>
        <v/>
      </c>
      <c r="H426" s="33" t="str">
        <f t="shared" si="55"/>
        <v/>
      </c>
      <c r="I426" s="33" t="e">
        <f t="shared" si="53"/>
        <v>#VALUE!</v>
      </c>
      <c r="J426" s="33">
        <f>SUM($H$18:$H426)</f>
        <v>0</v>
      </c>
    </row>
    <row r="427" spans="1:10">
      <c r="A427" s="36" t="str">
        <f>IF(Values_Entered,A426+1,"")</f>
        <v/>
      </c>
      <c r="B427" s="35" t="str">
        <f t="shared" si="48"/>
        <v/>
      </c>
      <c r="C427" s="33" t="str">
        <f t="shared" si="54"/>
        <v/>
      </c>
      <c r="D427" s="33" t="str">
        <f t="shared" si="49"/>
        <v/>
      </c>
      <c r="E427" s="34" t="e">
        <f t="shared" si="50"/>
        <v>#VALUE!</v>
      </c>
      <c r="F427" s="33" t="e">
        <f t="shared" si="51"/>
        <v>#VALUE!</v>
      </c>
      <c r="G427" s="33" t="str">
        <f t="shared" si="52"/>
        <v/>
      </c>
      <c r="H427" s="33" t="str">
        <f t="shared" si="55"/>
        <v/>
      </c>
      <c r="I427" s="33" t="e">
        <f t="shared" si="53"/>
        <v>#VALUE!</v>
      </c>
      <c r="J427" s="33">
        <f>SUM($H$18:$H427)</f>
        <v>0</v>
      </c>
    </row>
    <row r="428" spans="1:10">
      <c r="A428" s="36" t="str">
        <f>IF(Values_Entered,A427+1,"")</f>
        <v/>
      </c>
      <c r="B428" s="35" t="str">
        <f t="shared" si="48"/>
        <v/>
      </c>
      <c r="C428" s="33" t="str">
        <f t="shared" si="54"/>
        <v/>
      </c>
      <c r="D428" s="33" t="str">
        <f t="shared" si="49"/>
        <v/>
      </c>
      <c r="E428" s="34" t="e">
        <f t="shared" si="50"/>
        <v>#VALUE!</v>
      </c>
      <c r="F428" s="33" t="e">
        <f t="shared" si="51"/>
        <v>#VALUE!</v>
      </c>
      <c r="G428" s="33" t="str">
        <f t="shared" si="52"/>
        <v/>
      </c>
      <c r="H428" s="33" t="str">
        <f t="shared" si="55"/>
        <v/>
      </c>
      <c r="I428" s="33" t="e">
        <f t="shared" si="53"/>
        <v>#VALUE!</v>
      </c>
      <c r="J428" s="33">
        <f>SUM($H$18:$H428)</f>
        <v>0</v>
      </c>
    </row>
    <row r="429" spans="1:10">
      <c r="A429" s="36" t="str">
        <f>IF(Values_Entered,A428+1,"")</f>
        <v/>
      </c>
      <c r="B429" s="35" t="str">
        <f t="shared" si="48"/>
        <v/>
      </c>
      <c r="C429" s="33" t="str">
        <f t="shared" si="54"/>
        <v/>
      </c>
      <c r="D429" s="33" t="str">
        <f t="shared" si="49"/>
        <v/>
      </c>
      <c r="E429" s="34" t="e">
        <f t="shared" si="50"/>
        <v>#VALUE!</v>
      </c>
      <c r="F429" s="33" t="e">
        <f t="shared" si="51"/>
        <v>#VALUE!</v>
      </c>
      <c r="G429" s="33" t="str">
        <f t="shared" si="52"/>
        <v/>
      </c>
      <c r="H429" s="33" t="str">
        <f t="shared" si="55"/>
        <v/>
      </c>
      <c r="I429" s="33" t="e">
        <f t="shared" si="53"/>
        <v>#VALUE!</v>
      </c>
      <c r="J429" s="33">
        <f>SUM($H$18:$H429)</f>
        <v>0</v>
      </c>
    </row>
    <row r="430" spans="1:10">
      <c r="A430" s="36" t="str">
        <f>IF(Values_Entered,A429+1,"")</f>
        <v/>
      </c>
      <c r="B430" s="35" t="str">
        <f t="shared" si="48"/>
        <v/>
      </c>
      <c r="C430" s="33" t="str">
        <f t="shared" si="54"/>
        <v/>
      </c>
      <c r="D430" s="33" t="str">
        <f t="shared" si="49"/>
        <v/>
      </c>
      <c r="E430" s="34" t="e">
        <f t="shared" si="50"/>
        <v>#VALUE!</v>
      </c>
      <c r="F430" s="33" t="e">
        <f t="shared" si="51"/>
        <v>#VALUE!</v>
      </c>
      <c r="G430" s="33" t="str">
        <f t="shared" si="52"/>
        <v/>
      </c>
      <c r="H430" s="33" t="str">
        <f t="shared" si="55"/>
        <v/>
      </c>
      <c r="I430" s="33" t="e">
        <f t="shared" si="53"/>
        <v>#VALUE!</v>
      </c>
      <c r="J430" s="33">
        <f>SUM($H$18:$H430)</f>
        <v>0</v>
      </c>
    </row>
    <row r="431" spans="1:10">
      <c r="A431" s="36" t="str">
        <f>IF(Values_Entered,A430+1,"")</f>
        <v/>
      </c>
      <c r="B431" s="35" t="str">
        <f t="shared" si="48"/>
        <v/>
      </c>
      <c r="C431" s="33" t="str">
        <f t="shared" si="54"/>
        <v/>
      </c>
      <c r="D431" s="33" t="str">
        <f t="shared" si="49"/>
        <v/>
      </c>
      <c r="E431" s="34" t="e">
        <f t="shared" si="50"/>
        <v>#VALUE!</v>
      </c>
      <c r="F431" s="33" t="e">
        <f t="shared" si="51"/>
        <v>#VALUE!</v>
      </c>
      <c r="G431" s="33" t="str">
        <f t="shared" si="52"/>
        <v/>
      </c>
      <c r="H431" s="33" t="str">
        <f t="shared" si="55"/>
        <v/>
      </c>
      <c r="I431" s="33" t="e">
        <f t="shared" si="53"/>
        <v>#VALUE!</v>
      </c>
      <c r="J431" s="33">
        <f>SUM($H$18:$H431)</f>
        <v>0</v>
      </c>
    </row>
    <row r="432" spans="1:10">
      <c r="A432" s="36" t="str">
        <f>IF(Values_Entered,A431+1,"")</f>
        <v/>
      </c>
      <c r="B432" s="35" t="str">
        <f t="shared" si="48"/>
        <v/>
      </c>
      <c r="C432" s="33" t="str">
        <f t="shared" si="54"/>
        <v/>
      </c>
      <c r="D432" s="33" t="str">
        <f t="shared" si="49"/>
        <v/>
      </c>
      <c r="E432" s="34" t="e">
        <f t="shared" si="50"/>
        <v>#VALUE!</v>
      </c>
      <c r="F432" s="33" t="e">
        <f t="shared" si="51"/>
        <v>#VALUE!</v>
      </c>
      <c r="G432" s="33" t="str">
        <f t="shared" si="52"/>
        <v/>
      </c>
      <c r="H432" s="33" t="str">
        <f t="shared" si="55"/>
        <v/>
      </c>
      <c r="I432" s="33" t="e">
        <f t="shared" si="53"/>
        <v>#VALUE!</v>
      </c>
      <c r="J432" s="33">
        <f>SUM($H$18:$H432)</f>
        <v>0</v>
      </c>
    </row>
    <row r="433" spans="1:10">
      <c r="A433" s="36" t="str">
        <f>IF(Values_Entered,A432+1,"")</f>
        <v/>
      </c>
      <c r="B433" s="35" t="str">
        <f t="shared" si="48"/>
        <v/>
      </c>
      <c r="C433" s="33" t="str">
        <f t="shared" si="54"/>
        <v/>
      </c>
      <c r="D433" s="33" t="str">
        <f t="shared" si="49"/>
        <v/>
      </c>
      <c r="E433" s="34" t="e">
        <f t="shared" si="50"/>
        <v>#VALUE!</v>
      </c>
      <c r="F433" s="33" t="e">
        <f t="shared" si="51"/>
        <v>#VALUE!</v>
      </c>
      <c r="G433" s="33" t="str">
        <f t="shared" si="52"/>
        <v/>
      </c>
      <c r="H433" s="33" t="str">
        <f t="shared" si="55"/>
        <v/>
      </c>
      <c r="I433" s="33" t="e">
        <f t="shared" si="53"/>
        <v>#VALUE!</v>
      </c>
      <c r="J433" s="33">
        <f>SUM($H$18:$H433)</f>
        <v>0</v>
      </c>
    </row>
    <row r="434" spans="1:10">
      <c r="A434" s="36" t="str">
        <f>IF(Values_Entered,A433+1,"")</f>
        <v/>
      </c>
      <c r="B434" s="35" t="str">
        <f t="shared" si="48"/>
        <v/>
      </c>
      <c r="C434" s="33" t="str">
        <f t="shared" si="54"/>
        <v/>
      </c>
      <c r="D434" s="33" t="str">
        <f t="shared" si="49"/>
        <v/>
      </c>
      <c r="E434" s="34" t="e">
        <f t="shared" si="50"/>
        <v>#VALUE!</v>
      </c>
      <c r="F434" s="33" t="e">
        <f t="shared" si="51"/>
        <v>#VALUE!</v>
      </c>
      <c r="G434" s="33" t="str">
        <f t="shared" si="52"/>
        <v/>
      </c>
      <c r="H434" s="33" t="str">
        <f t="shared" si="55"/>
        <v/>
      </c>
      <c r="I434" s="33" t="e">
        <f t="shared" si="53"/>
        <v>#VALUE!</v>
      </c>
      <c r="J434" s="33">
        <f>SUM($H$18:$H434)</f>
        <v>0</v>
      </c>
    </row>
    <row r="435" spans="1:10">
      <c r="A435" s="36" t="str">
        <f>IF(Values_Entered,A434+1,"")</f>
        <v/>
      </c>
      <c r="B435" s="35" t="str">
        <f t="shared" si="48"/>
        <v/>
      </c>
      <c r="C435" s="33" t="str">
        <f t="shared" si="54"/>
        <v/>
      </c>
      <c r="D435" s="33" t="str">
        <f t="shared" si="49"/>
        <v/>
      </c>
      <c r="E435" s="34" t="e">
        <f t="shared" si="50"/>
        <v>#VALUE!</v>
      </c>
      <c r="F435" s="33" t="e">
        <f t="shared" si="51"/>
        <v>#VALUE!</v>
      </c>
      <c r="G435" s="33" t="str">
        <f t="shared" si="52"/>
        <v/>
      </c>
      <c r="H435" s="33" t="str">
        <f t="shared" si="55"/>
        <v/>
      </c>
      <c r="I435" s="33" t="e">
        <f t="shared" si="53"/>
        <v>#VALUE!</v>
      </c>
      <c r="J435" s="33">
        <f>SUM($H$18:$H435)</f>
        <v>0</v>
      </c>
    </row>
    <row r="436" spans="1:10">
      <c r="A436" s="36" t="str">
        <f>IF(Values_Entered,A435+1,"")</f>
        <v/>
      </c>
      <c r="B436" s="35" t="str">
        <f t="shared" si="48"/>
        <v/>
      </c>
      <c r="C436" s="33" t="str">
        <f t="shared" si="54"/>
        <v/>
      </c>
      <c r="D436" s="33" t="str">
        <f t="shared" si="49"/>
        <v/>
      </c>
      <c r="E436" s="34" t="e">
        <f t="shared" si="50"/>
        <v>#VALUE!</v>
      </c>
      <c r="F436" s="33" t="e">
        <f t="shared" si="51"/>
        <v>#VALUE!</v>
      </c>
      <c r="G436" s="33" t="str">
        <f t="shared" si="52"/>
        <v/>
      </c>
      <c r="H436" s="33" t="str">
        <f t="shared" si="55"/>
        <v/>
      </c>
      <c r="I436" s="33" t="e">
        <f t="shared" si="53"/>
        <v>#VALUE!</v>
      </c>
      <c r="J436" s="33">
        <f>SUM($H$18:$H436)</f>
        <v>0</v>
      </c>
    </row>
    <row r="437" spans="1:10">
      <c r="A437" s="36" t="str">
        <f>IF(Values_Entered,A436+1,"")</f>
        <v/>
      </c>
      <c r="B437" s="35" t="str">
        <f t="shared" si="48"/>
        <v/>
      </c>
      <c r="C437" s="33" t="str">
        <f t="shared" si="54"/>
        <v/>
      </c>
      <c r="D437" s="33" t="str">
        <f t="shared" si="49"/>
        <v/>
      </c>
      <c r="E437" s="34" t="e">
        <f t="shared" si="50"/>
        <v>#VALUE!</v>
      </c>
      <c r="F437" s="33" t="e">
        <f t="shared" si="51"/>
        <v>#VALUE!</v>
      </c>
      <c r="G437" s="33" t="str">
        <f t="shared" si="52"/>
        <v/>
      </c>
      <c r="H437" s="33" t="str">
        <f t="shared" si="55"/>
        <v/>
      </c>
      <c r="I437" s="33" t="e">
        <f t="shared" si="53"/>
        <v>#VALUE!</v>
      </c>
      <c r="J437" s="33">
        <f>SUM($H$18:$H437)</f>
        <v>0</v>
      </c>
    </row>
    <row r="438" spans="1:10">
      <c r="A438" s="36" t="str">
        <f>IF(Values_Entered,A437+1,"")</f>
        <v/>
      </c>
      <c r="B438" s="35" t="str">
        <f t="shared" si="48"/>
        <v/>
      </c>
      <c r="C438" s="33" t="str">
        <f t="shared" si="54"/>
        <v/>
      </c>
      <c r="D438" s="33" t="str">
        <f t="shared" si="49"/>
        <v/>
      </c>
      <c r="E438" s="34" t="e">
        <f t="shared" si="50"/>
        <v>#VALUE!</v>
      </c>
      <c r="F438" s="33" t="e">
        <f t="shared" si="51"/>
        <v>#VALUE!</v>
      </c>
      <c r="G438" s="33" t="str">
        <f t="shared" si="52"/>
        <v/>
      </c>
      <c r="H438" s="33" t="str">
        <f t="shared" si="55"/>
        <v/>
      </c>
      <c r="I438" s="33" t="e">
        <f t="shared" si="53"/>
        <v>#VALUE!</v>
      </c>
      <c r="J438" s="33">
        <f>SUM($H$18:$H438)</f>
        <v>0</v>
      </c>
    </row>
    <row r="439" spans="1:10">
      <c r="A439" s="36" t="str">
        <f>IF(Values_Entered,A438+1,"")</f>
        <v/>
      </c>
      <c r="B439" s="35" t="str">
        <f t="shared" si="48"/>
        <v/>
      </c>
      <c r="C439" s="33" t="str">
        <f t="shared" si="54"/>
        <v/>
      </c>
      <c r="D439" s="33" t="str">
        <f t="shared" si="49"/>
        <v/>
      </c>
      <c r="E439" s="34" t="e">
        <f t="shared" si="50"/>
        <v>#VALUE!</v>
      </c>
      <c r="F439" s="33" t="e">
        <f t="shared" si="51"/>
        <v>#VALUE!</v>
      </c>
      <c r="G439" s="33" t="str">
        <f t="shared" si="52"/>
        <v/>
      </c>
      <c r="H439" s="33" t="str">
        <f t="shared" si="55"/>
        <v/>
      </c>
      <c r="I439" s="33" t="e">
        <f t="shared" si="53"/>
        <v>#VALUE!</v>
      </c>
      <c r="J439" s="33">
        <f>SUM($H$18:$H439)</f>
        <v>0</v>
      </c>
    </row>
    <row r="440" spans="1:10">
      <c r="A440" s="36" t="str">
        <f>IF(Values_Entered,A439+1,"")</f>
        <v/>
      </c>
      <c r="B440" s="35" t="str">
        <f t="shared" si="48"/>
        <v/>
      </c>
      <c r="C440" s="33" t="str">
        <f t="shared" si="54"/>
        <v/>
      </c>
      <c r="D440" s="33" t="str">
        <f t="shared" si="49"/>
        <v/>
      </c>
      <c r="E440" s="34" t="e">
        <f t="shared" si="50"/>
        <v>#VALUE!</v>
      </c>
      <c r="F440" s="33" t="e">
        <f t="shared" si="51"/>
        <v>#VALUE!</v>
      </c>
      <c r="G440" s="33" t="str">
        <f t="shared" si="52"/>
        <v/>
      </c>
      <c r="H440" s="33" t="str">
        <f t="shared" si="55"/>
        <v/>
      </c>
      <c r="I440" s="33" t="e">
        <f t="shared" si="53"/>
        <v>#VALUE!</v>
      </c>
      <c r="J440" s="33">
        <f>SUM($H$18:$H440)</f>
        <v>0</v>
      </c>
    </row>
    <row r="441" spans="1:10">
      <c r="A441" s="36" t="str">
        <f>IF(Values_Entered,A440+1,"")</f>
        <v/>
      </c>
      <c r="B441" s="35" t="str">
        <f t="shared" si="48"/>
        <v/>
      </c>
      <c r="C441" s="33" t="str">
        <f t="shared" si="54"/>
        <v/>
      </c>
      <c r="D441" s="33" t="str">
        <f t="shared" si="49"/>
        <v/>
      </c>
      <c r="E441" s="34" t="e">
        <f t="shared" si="50"/>
        <v>#VALUE!</v>
      </c>
      <c r="F441" s="33" t="e">
        <f t="shared" si="51"/>
        <v>#VALUE!</v>
      </c>
      <c r="G441" s="33" t="str">
        <f t="shared" si="52"/>
        <v/>
      </c>
      <c r="H441" s="33" t="str">
        <f t="shared" si="55"/>
        <v/>
      </c>
      <c r="I441" s="33" t="e">
        <f t="shared" si="53"/>
        <v>#VALUE!</v>
      </c>
      <c r="J441" s="33">
        <f>SUM($H$18:$H441)</f>
        <v>0</v>
      </c>
    </row>
    <row r="442" spans="1:10">
      <c r="A442" s="36" t="str">
        <f>IF(Values_Entered,A441+1,"")</f>
        <v/>
      </c>
      <c r="B442" s="35" t="str">
        <f t="shared" si="48"/>
        <v/>
      </c>
      <c r="C442" s="33" t="str">
        <f t="shared" si="54"/>
        <v/>
      </c>
      <c r="D442" s="33" t="str">
        <f t="shared" si="49"/>
        <v/>
      </c>
      <c r="E442" s="34" t="e">
        <f t="shared" si="50"/>
        <v>#VALUE!</v>
      </c>
      <c r="F442" s="33" t="e">
        <f t="shared" si="51"/>
        <v>#VALUE!</v>
      </c>
      <c r="G442" s="33" t="str">
        <f t="shared" si="52"/>
        <v/>
      </c>
      <c r="H442" s="33" t="str">
        <f t="shared" si="55"/>
        <v/>
      </c>
      <c r="I442" s="33" t="e">
        <f t="shared" si="53"/>
        <v>#VALUE!</v>
      </c>
      <c r="J442" s="33">
        <f>SUM($H$18:$H442)</f>
        <v>0</v>
      </c>
    </row>
    <row r="443" spans="1:10">
      <c r="A443" s="36" t="str">
        <f>IF(Values_Entered,A442+1,"")</f>
        <v/>
      </c>
      <c r="B443" s="35" t="str">
        <f t="shared" si="48"/>
        <v/>
      </c>
      <c r="C443" s="33" t="str">
        <f t="shared" si="54"/>
        <v/>
      </c>
      <c r="D443" s="33" t="str">
        <f t="shared" si="49"/>
        <v/>
      </c>
      <c r="E443" s="34" t="e">
        <f t="shared" si="50"/>
        <v>#VALUE!</v>
      </c>
      <c r="F443" s="33" t="e">
        <f t="shared" si="51"/>
        <v>#VALUE!</v>
      </c>
      <c r="G443" s="33" t="str">
        <f t="shared" si="52"/>
        <v/>
      </c>
      <c r="H443" s="33" t="str">
        <f t="shared" si="55"/>
        <v/>
      </c>
      <c r="I443" s="33" t="e">
        <f t="shared" si="53"/>
        <v>#VALUE!</v>
      </c>
      <c r="J443" s="33">
        <f>SUM($H$18:$H443)</f>
        <v>0</v>
      </c>
    </row>
    <row r="444" spans="1:10">
      <c r="A444" s="36" t="str">
        <f>IF(Values_Entered,A443+1,"")</f>
        <v/>
      </c>
      <c r="B444" s="35" t="str">
        <f t="shared" si="48"/>
        <v/>
      </c>
      <c r="C444" s="33" t="str">
        <f t="shared" si="54"/>
        <v/>
      </c>
      <c r="D444" s="33" t="str">
        <f t="shared" si="49"/>
        <v/>
      </c>
      <c r="E444" s="34" t="e">
        <f t="shared" si="50"/>
        <v>#VALUE!</v>
      </c>
      <c r="F444" s="33" t="e">
        <f t="shared" si="51"/>
        <v>#VALUE!</v>
      </c>
      <c r="G444" s="33" t="str">
        <f t="shared" si="52"/>
        <v/>
      </c>
      <c r="H444" s="33" t="str">
        <f t="shared" si="55"/>
        <v/>
      </c>
      <c r="I444" s="33" t="e">
        <f t="shared" si="53"/>
        <v>#VALUE!</v>
      </c>
      <c r="J444" s="33">
        <f>SUM($H$18:$H444)</f>
        <v>0</v>
      </c>
    </row>
    <row r="445" spans="1:10">
      <c r="A445" s="36" t="str">
        <f>IF(Values_Entered,A444+1,"")</f>
        <v/>
      </c>
      <c r="B445" s="35" t="str">
        <f t="shared" si="48"/>
        <v/>
      </c>
      <c r="C445" s="33" t="str">
        <f t="shared" si="54"/>
        <v/>
      </c>
      <c r="D445" s="33" t="str">
        <f t="shared" si="49"/>
        <v/>
      </c>
      <c r="E445" s="34" t="e">
        <f t="shared" si="50"/>
        <v>#VALUE!</v>
      </c>
      <c r="F445" s="33" t="e">
        <f t="shared" si="51"/>
        <v>#VALUE!</v>
      </c>
      <c r="G445" s="33" t="str">
        <f t="shared" si="52"/>
        <v/>
      </c>
      <c r="H445" s="33" t="str">
        <f t="shared" si="55"/>
        <v/>
      </c>
      <c r="I445" s="33" t="e">
        <f t="shared" si="53"/>
        <v>#VALUE!</v>
      </c>
      <c r="J445" s="33">
        <f>SUM($H$18:$H445)</f>
        <v>0</v>
      </c>
    </row>
    <row r="446" spans="1:10">
      <c r="A446" s="36" t="str">
        <f>IF(Values_Entered,A445+1,"")</f>
        <v/>
      </c>
      <c r="B446" s="35" t="str">
        <f t="shared" si="48"/>
        <v/>
      </c>
      <c r="C446" s="33" t="str">
        <f t="shared" si="54"/>
        <v/>
      </c>
      <c r="D446" s="33" t="str">
        <f t="shared" si="49"/>
        <v/>
      </c>
      <c r="E446" s="34" t="e">
        <f t="shared" si="50"/>
        <v>#VALUE!</v>
      </c>
      <c r="F446" s="33" t="e">
        <f t="shared" si="51"/>
        <v>#VALUE!</v>
      </c>
      <c r="G446" s="33" t="str">
        <f t="shared" si="52"/>
        <v/>
      </c>
      <c r="H446" s="33" t="str">
        <f t="shared" si="55"/>
        <v/>
      </c>
      <c r="I446" s="33" t="e">
        <f t="shared" si="53"/>
        <v>#VALUE!</v>
      </c>
      <c r="J446" s="33">
        <f>SUM($H$18:$H446)</f>
        <v>0</v>
      </c>
    </row>
    <row r="447" spans="1:10">
      <c r="A447" s="36" t="str">
        <f>IF(Values_Entered,A446+1,"")</f>
        <v/>
      </c>
      <c r="B447" s="35" t="str">
        <f t="shared" si="48"/>
        <v/>
      </c>
      <c r="C447" s="33" t="str">
        <f t="shared" si="54"/>
        <v/>
      </c>
      <c r="D447" s="33" t="str">
        <f t="shared" si="49"/>
        <v/>
      </c>
      <c r="E447" s="34" t="e">
        <f t="shared" si="50"/>
        <v>#VALUE!</v>
      </c>
      <c r="F447" s="33" t="e">
        <f t="shared" si="51"/>
        <v>#VALUE!</v>
      </c>
      <c r="G447" s="33" t="str">
        <f t="shared" si="52"/>
        <v/>
      </c>
      <c r="H447" s="33" t="str">
        <f t="shared" si="55"/>
        <v/>
      </c>
      <c r="I447" s="33" t="e">
        <f t="shared" si="53"/>
        <v>#VALUE!</v>
      </c>
      <c r="J447" s="33">
        <f>SUM($H$18:$H447)</f>
        <v>0</v>
      </c>
    </row>
    <row r="448" spans="1:10">
      <c r="A448" s="36" t="str">
        <f>IF(Values_Entered,A447+1,"")</f>
        <v/>
      </c>
      <c r="B448" s="35" t="str">
        <f t="shared" si="48"/>
        <v/>
      </c>
      <c r="C448" s="33" t="str">
        <f t="shared" si="54"/>
        <v/>
      </c>
      <c r="D448" s="33" t="str">
        <f t="shared" si="49"/>
        <v/>
      </c>
      <c r="E448" s="34" t="e">
        <f t="shared" si="50"/>
        <v>#VALUE!</v>
      </c>
      <c r="F448" s="33" t="e">
        <f t="shared" si="51"/>
        <v>#VALUE!</v>
      </c>
      <c r="G448" s="33" t="str">
        <f t="shared" si="52"/>
        <v/>
      </c>
      <c r="H448" s="33" t="str">
        <f t="shared" si="55"/>
        <v/>
      </c>
      <c r="I448" s="33" t="e">
        <f t="shared" si="53"/>
        <v>#VALUE!</v>
      </c>
      <c r="J448" s="33">
        <f>SUM($H$18:$H448)</f>
        <v>0</v>
      </c>
    </row>
    <row r="449" spans="1:10">
      <c r="A449" s="36" t="str">
        <f>IF(Values_Entered,A448+1,"")</f>
        <v/>
      </c>
      <c r="B449" s="35" t="str">
        <f t="shared" si="48"/>
        <v/>
      </c>
      <c r="C449" s="33" t="str">
        <f t="shared" si="54"/>
        <v/>
      </c>
      <c r="D449" s="33" t="str">
        <f t="shared" si="49"/>
        <v/>
      </c>
      <c r="E449" s="34" t="e">
        <f t="shared" si="50"/>
        <v>#VALUE!</v>
      </c>
      <c r="F449" s="33" t="e">
        <f t="shared" si="51"/>
        <v>#VALUE!</v>
      </c>
      <c r="G449" s="33" t="str">
        <f t="shared" si="52"/>
        <v/>
      </c>
      <c r="H449" s="33" t="str">
        <f t="shared" si="55"/>
        <v/>
      </c>
      <c r="I449" s="33" t="e">
        <f t="shared" si="53"/>
        <v>#VALUE!</v>
      </c>
      <c r="J449" s="33">
        <f>SUM($H$18:$H449)</f>
        <v>0</v>
      </c>
    </row>
    <row r="450" spans="1:10">
      <c r="A450" s="36" t="str">
        <f>IF(Values_Entered,A449+1,"")</f>
        <v/>
      </c>
      <c r="B450" s="35" t="str">
        <f t="shared" si="48"/>
        <v/>
      </c>
      <c r="C450" s="33" t="str">
        <f t="shared" si="54"/>
        <v/>
      </c>
      <c r="D450" s="33" t="str">
        <f t="shared" si="49"/>
        <v/>
      </c>
      <c r="E450" s="34" t="e">
        <f t="shared" si="50"/>
        <v>#VALUE!</v>
      </c>
      <c r="F450" s="33" t="e">
        <f t="shared" si="51"/>
        <v>#VALUE!</v>
      </c>
      <c r="G450" s="33" t="str">
        <f t="shared" si="52"/>
        <v/>
      </c>
      <c r="H450" s="33" t="str">
        <f t="shared" si="55"/>
        <v/>
      </c>
      <c r="I450" s="33" t="e">
        <f t="shared" si="53"/>
        <v>#VALUE!</v>
      </c>
      <c r="J450" s="33">
        <f>SUM($H$18:$H450)</f>
        <v>0</v>
      </c>
    </row>
    <row r="451" spans="1:10">
      <c r="A451" s="36" t="str">
        <f>IF(Values_Entered,A450+1,"")</f>
        <v/>
      </c>
      <c r="B451" s="35" t="str">
        <f t="shared" si="48"/>
        <v/>
      </c>
      <c r="C451" s="33" t="str">
        <f t="shared" si="54"/>
        <v/>
      </c>
      <c r="D451" s="33" t="str">
        <f t="shared" si="49"/>
        <v/>
      </c>
      <c r="E451" s="34" t="e">
        <f t="shared" si="50"/>
        <v>#VALUE!</v>
      </c>
      <c r="F451" s="33" t="e">
        <f t="shared" si="51"/>
        <v>#VALUE!</v>
      </c>
      <c r="G451" s="33" t="str">
        <f t="shared" si="52"/>
        <v/>
      </c>
      <c r="H451" s="33" t="str">
        <f t="shared" si="55"/>
        <v/>
      </c>
      <c r="I451" s="33" t="e">
        <f t="shared" si="53"/>
        <v>#VALUE!</v>
      </c>
      <c r="J451" s="33">
        <f>SUM($H$18:$H451)</f>
        <v>0</v>
      </c>
    </row>
    <row r="452" spans="1:10">
      <c r="A452" s="36" t="str">
        <f>IF(Values_Entered,A451+1,"")</f>
        <v/>
      </c>
      <c r="B452" s="35" t="str">
        <f t="shared" si="48"/>
        <v/>
      </c>
      <c r="C452" s="33" t="str">
        <f t="shared" si="54"/>
        <v/>
      </c>
      <c r="D452" s="33" t="str">
        <f t="shared" si="49"/>
        <v/>
      </c>
      <c r="E452" s="34" t="e">
        <f t="shared" si="50"/>
        <v>#VALUE!</v>
      </c>
      <c r="F452" s="33" t="e">
        <f t="shared" si="51"/>
        <v>#VALUE!</v>
      </c>
      <c r="G452" s="33" t="str">
        <f t="shared" si="52"/>
        <v/>
      </c>
      <c r="H452" s="33" t="str">
        <f t="shared" si="55"/>
        <v/>
      </c>
      <c r="I452" s="33" t="e">
        <f t="shared" si="53"/>
        <v>#VALUE!</v>
      </c>
      <c r="J452" s="33">
        <f>SUM($H$18:$H452)</f>
        <v>0</v>
      </c>
    </row>
    <row r="453" spans="1:10">
      <c r="A453" s="36" t="str">
        <f>IF(Values_Entered,A452+1,"")</f>
        <v/>
      </c>
      <c r="B453" s="35" t="str">
        <f t="shared" si="48"/>
        <v/>
      </c>
      <c r="C453" s="33" t="str">
        <f t="shared" si="54"/>
        <v/>
      </c>
      <c r="D453" s="33" t="str">
        <f t="shared" si="49"/>
        <v/>
      </c>
      <c r="E453" s="34" t="e">
        <f t="shared" si="50"/>
        <v>#VALUE!</v>
      </c>
      <c r="F453" s="33" t="e">
        <f t="shared" si="51"/>
        <v>#VALUE!</v>
      </c>
      <c r="G453" s="33" t="str">
        <f t="shared" si="52"/>
        <v/>
      </c>
      <c r="H453" s="33" t="str">
        <f t="shared" si="55"/>
        <v/>
      </c>
      <c r="I453" s="33" t="e">
        <f t="shared" si="53"/>
        <v>#VALUE!</v>
      </c>
      <c r="J453" s="33">
        <f>SUM($H$18:$H453)</f>
        <v>0</v>
      </c>
    </row>
    <row r="454" spans="1:10">
      <c r="A454" s="36" t="str">
        <f>IF(Values_Entered,A453+1,"")</f>
        <v/>
      </c>
      <c r="B454" s="35" t="str">
        <f t="shared" si="48"/>
        <v/>
      </c>
      <c r="C454" s="33" t="str">
        <f t="shared" si="54"/>
        <v/>
      </c>
      <c r="D454" s="33" t="str">
        <f t="shared" si="49"/>
        <v/>
      </c>
      <c r="E454" s="34" t="e">
        <f t="shared" si="50"/>
        <v>#VALUE!</v>
      </c>
      <c r="F454" s="33" t="e">
        <f t="shared" si="51"/>
        <v>#VALUE!</v>
      </c>
      <c r="G454" s="33" t="str">
        <f t="shared" si="52"/>
        <v/>
      </c>
      <c r="H454" s="33" t="str">
        <f t="shared" si="55"/>
        <v/>
      </c>
      <c r="I454" s="33" t="e">
        <f t="shared" si="53"/>
        <v>#VALUE!</v>
      </c>
      <c r="J454" s="33">
        <f>SUM($H$18:$H454)</f>
        <v>0</v>
      </c>
    </row>
    <row r="455" spans="1:10">
      <c r="A455" s="36" t="str">
        <f>IF(Values_Entered,A454+1,"")</f>
        <v/>
      </c>
      <c r="B455" s="35" t="str">
        <f t="shared" si="48"/>
        <v/>
      </c>
      <c r="C455" s="33" t="str">
        <f t="shared" si="54"/>
        <v/>
      </c>
      <c r="D455" s="33" t="str">
        <f t="shared" si="49"/>
        <v/>
      </c>
      <c r="E455" s="34" t="e">
        <f t="shared" si="50"/>
        <v>#VALUE!</v>
      </c>
      <c r="F455" s="33" t="e">
        <f t="shared" si="51"/>
        <v>#VALUE!</v>
      </c>
      <c r="G455" s="33" t="str">
        <f t="shared" si="52"/>
        <v/>
      </c>
      <c r="H455" s="33" t="str">
        <f t="shared" si="55"/>
        <v/>
      </c>
      <c r="I455" s="33" t="e">
        <f t="shared" si="53"/>
        <v>#VALUE!</v>
      </c>
      <c r="J455" s="33">
        <f>SUM($H$18:$H455)</f>
        <v>0</v>
      </c>
    </row>
    <row r="456" spans="1:10">
      <c r="A456" s="36" t="str">
        <f>IF(Values_Entered,A455+1,"")</f>
        <v/>
      </c>
      <c r="B456" s="35" t="str">
        <f t="shared" si="48"/>
        <v/>
      </c>
      <c r="C456" s="33" t="str">
        <f t="shared" si="54"/>
        <v/>
      </c>
      <c r="D456" s="33" t="str">
        <f t="shared" si="49"/>
        <v/>
      </c>
      <c r="E456" s="34" t="e">
        <f t="shared" si="50"/>
        <v>#VALUE!</v>
      </c>
      <c r="F456" s="33" t="e">
        <f t="shared" si="51"/>
        <v>#VALUE!</v>
      </c>
      <c r="G456" s="33" t="str">
        <f t="shared" si="52"/>
        <v/>
      </c>
      <c r="H456" s="33" t="str">
        <f t="shared" si="55"/>
        <v/>
      </c>
      <c r="I456" s="33" t="e">
        <f t="shared" si="53"/>
        <v>#VALUE!</v>
      </c>
      <c r="J456" s="33">
        <f>SUM($H$18:$H456)</f>
        <v>0</v>
      </c>
    </row>
    <row r="457" spans="1:10">
      <c r="A457" s="36" t="str">
        <f>IF(Values_Entered,A456+1,"")</f>
        <v/>
      </c>
      <c r="B457" s="35" t="str">
        <f t="shared" si="48"/>
        <v/>
      </c>
      <c r="C457" s="33" t="str">
        <f t="shared" si="54"/>
        <v/>
      </c>
      <c r="D457" s="33" t="str">
        <f t="shared" si="49"/>
        <v/>
      </c>
      <c r="E457" s="34" t="e">
        <f t="shared" si="50"/>
        <v>#VALUE!</v>
      </c>
      <c r="F457" s="33" t="e">
        <f t="shared" si="51"/>
        <v>#VALUE!</v>
      </c>
      <c r="G457" s="33" t="str">
        <f t="shared" si="52"/>
        <v/>
      </c>
      <c r="H457" s="33" t="str">
        <f t="shared" si="55"/>
        <v/>
      </c>
      <c r="I457" s="33" t="e">
        <f t="shared" si="53"/>
        <v>#VALUE!</v>
      </c>
      <c r="J457" s="33">
        <f>SUM($H$18:$H457)</f>
        <v>0</v>
      </c>
    </row>
    <row r="458" spans="1:10">
      <c r="A458" s="36" t="str">
        <f>IF(Values_Entered,A457+1,"")</f>
        <v/>
      </c>
      <c r="B458" s="35" t="str">
        <f t="shared" si="48"/>
        <v/>
      </c>
      <c r="C458" s="33" t="str">
        <f t="shared" si="54"/>
        <v/>
      </c>
      <c r="D458" s="33" t="str">
        <f t="shared" si="49"/>
        <v/>
      </c>
      <c r="E458" s="34" t="e">
        <f t="shared" si="50"/>
        <v>#VALUE!</v>
      </c>
      <c r="F458" s="33" t="e">
        <f t="shared" si="51"/>
        <v>#VALUE!</v>
      </c>
      <c r="G458" s="33" t="str">
        <f t="shared" si="52"/>
        <v/>
      </c>
      <c r="H458" s="33" t="str">
        <f t="shared" si="55"/>
        <v/>
      </c>
      <c r="I458" s="33" t="e">
        <f t="shared" si="53"/>
        <v>#VALUE!</v>
      </c>
      <c r="J458" s="33">
        <f>SUM($H$18:$H458)</f>
        <v>0</v>
      </c>
    </row>
    <row r="459" spans="1:10">
      <c r="A459" s="36" t="str">
        <f>IF(Values_Entered,A458+1,"")</f>
        <v/>
      </c>
      <c r="B459" s="35" t="str">
        <f t="shared" si="48"/>
        <v/>
      </c>
      <c r="C459" s="33" t="str">
        <f t="shared" si="54"/>
        <v/>
      </c>
      <c r="D459" s="33" t="str">
        <f t="shared" si="49"/>
        <v/>
      </c>
      <c r="E459" s="34" t="e">
        <f t="shared" si="50"/>
        <v>#VALUE!</v>
      </c>
      <c r="F459" s="33" t="e">
        <f t="shared" si="51"/>
        <v>#VALUE!</v>
      </c>
      <c r="G459" s="33" t="str">
        <f t="shared" si="52"/>
        <v/>
      </c>
      <c r="H459" s="33" t="str">
        <f t="shared" si="55"/>
        <v/>
      </c>
      <c r="I459" s="33" t="e">
        <f t="shared" si="53"/>
        <v>#VALUE!</v>
      </c>
      <c r="J459" s="33">
        <f>SUM($H$18:$H459)</f>
        <v>0</v>
      </c>
    </row>
    <row r="460" spans="1:10">
      <c r="A460" s="36" t="str">
        <f>IF(Values_Entered,A459+1,"")</f>
        <v/>
      </c>
      <c r="B460" s="35" t="str">
        <f t="shared" si="48"/>
        <v/>
      </c>
      <c r="C460" s="33" t="str">
        <f t="shared" si="54"/>
        <v/>
      </c>
      <c r="D460" s="33" t="str">
        <f t="shared" si="49"/>
        <v/>
      </c>
      <c r="E460" s="34" t="e">
        <f t="shared" si="50"/>
        <v>#VALUE!</v>
      </c>
      <c r="F460" s="33" t="e">
        <f t="shared" si="51"/>
        <v>#VALUE!</v>
      </c>
      <c r="G460" s="33" t="str">
        <f t="shared" si="52"/>
        <v/>
      </c>
      <c r="H460" s="33" t="str">
        <f t="shared" si="55"/>
        <v/>
      </c>
      <c r="I460" s="33" t="e">
        <f t="shared" si="53"/>
        <v>#VALUE!</v>
      </c>
      <c r="J460" s="33">
        <f>SUM($H$18:$H460)</f>
        <v>0</v>
      </c>
    </row>
    <row r="461" spans="1:10">
      <c r="A461" s="36" t="str">
        <f>IF(Values_Entered,A460+1,"")</f>
        <v/>
      </c>
      <c r="B461" s="35" t="str">
        <f t="shared" si="48"/>
        <v/>
      </c>
      <c r="C461" s="33" t="str">
        <f t="shared" si="54"/>
        <v/>
      </c>
      <c r="D461" s="33" t="str">
        <f t="shared" si="49"/>
        <v/>
      </c>
      <c r="E461" s="34" t="e">
        <f t="shared" si="50"/>
        <v>#VALUE!</v>
      </c>
      <c r="F461" s="33" t="e">
        <f t="shared" si="51"/>
        <v>#VALUE!</v>
      </c>
      <c r="G461" s="33" t="str">
        <f t="shared" si="52"/>
        <v/>
      </c>
      <c r="H461" s="33" t="str">
        <f t="shared" si="55"/>
        <v/>
      </c>
      <c r="I461" s="33" t="e">
        <f t="shared" si="53"/>
        <v>#VALUE!</v>
      </c>
      <c r="J461" s="33">
        <f>SUM($H$18:$H461)</f>
        <v>0</v>
      </c>
    </row>
    <row r="462" spans="1:10">
      <c r="A462" s="36" t="str">
        <f>IF(Values_Entered,A461+1,"")</f>
        <v/>
      </c>
      <c r="B462" s="35" t="str">
        <f t="shared" si="48"/>
        <v/>
      </c>
      <c r="C462" s="33" t="str">
        <f t="shared" si="54"/>
        <v/>
      </c>
      <c r="D462" s="33" t="str">
        <f t="shared" si="49"/>
        <v/>
      </c>
      <c r="E462" s="34" t="e">
        <f t="shared" si="50"/>
        <v>#VALUE!</v>
      </c>
      <c r="F462" s="33" t="e">
        <f t="shared" si="51"/>
        <v>#VALUE!</v>
      </c>
      <c r="G462" s="33" t="str">
        <f t="shared" si="52"/>
        <v/>
      </c>
      <c r="H462" s="33" t="str">
        <f t="shared" si="55"/>
        <v/>
      </c>
      <c r="I462" s="33" t="e">
        <f t="shared" si="53"/>
        <v>#VALUE!</v>
      </c>
      <c r="J462" s="33">
        <f>SUM($H$18:$H462)</f>
        <v>0</v>
      </c>
    </row>
    <row r="463" spans="1:10">
      <c r="A463" s="36" t="str">
        <f>IF(Values_Entered,A462+1,"")</f>
        <v/>
      </c>
      <c r="B463" s="35" t="str">
        <f t="shared" si="48"/>
        <v/>
      </c>
      <c r="C463" s="33" t="str">
        <f t="shared" si="54"/>
        <v/>
      </c>
      <c r="D463" s="33" t="str">
        <f t="shared" si="49"/>
        <v/>
      </c>
      <c r="E463" s="34" t="e">
        <f t="shared" si="50"/>
        <v>#VALUE!</v>
      </c>
      <c r="F463" s="33" t="e">
        <f t="shared" si="51"/>
        <v>#VALUE!</v>
      </c>
      <c r="G463" s="33" t="str">
        <f t="shared" si="52"/>
        <v/>
      </c>
      <c r="H463" s="33" t="str">
        <f t="shared" si="55"/>
        <v/>
      </c>
      <c r="I463" s="33" t="e">
        <f t="shared" si="53"/>
        <v>#VALUE!</v>
      </c>
      <c r="J463" s="33">
        <f>SUM($H$18:$H463)</f>
        <v>0</v>
      </c>
    </row>
    <row r="464" spans="1:10">
      <c r="A464" s="36" t="str">
        <f>IF(Values_Entered,A463+1,"")</f>
        <v/>
      </c>
      <c r="B464" s="35" t="str">
        <f t="shared" si="48"/>
        <v/>
      </c>
      <c r="C464" s="33" t="str">
        <f t="shared" si="54"/>
        <v/>
      </c>
      <c r="D464" s="33" t="str">
        <f t="shared" si="49"/>
        <v/>
      </c>
      <c r="E464" s="34" t="e">
        <f t="shared" si="50"/>
        <v>#VALUE!</v>
      </c>
      <c r="F464" s="33" t="e">
        <f t="shared" si="51"/>
        <v>#VALUE!</v>
      </c>
      <c r="G464" s="33" t="str">
        <f t="shared" si="52"/>
        <v/>
      </c>
      <c r="H464" s="33" t="str">
        <f t="shared" si="55"/>
        <v/>
      </c>
      <c r="I464" s="33" t="e">
        <f t="shared" si="53"/>
        <v>#VALUE!</v>
      </c>
      <c r="J464" s="33">
        <f>SUM($H$18:$H464)</f>
        <v>0</v>
      </c>
    </row>
    <row r="465" spans="1:10">
      <c r="A465" s="36" t="str">
        <f>IF(Values_Entered,A464+1,"")</f>
        <v/>
      </c>
      <c r="B465" s="35" t="str">
        <f t="shared" si="48"/>
        <v/>
      </c>
      <c r="C465" s="33" t="str">
        <f t="shared" si="54"/>
        <v/>
      </c>
      <c r="D465" s="33" t="str">
        <f t="shared" si="49"/>
        <v/>
      </c>
      <c r="E465" s="34" t="e">
        <f t="shared" si="50"/>
        <v>#VALUE!</v>
      </c>
      <c r="F465" s="33" t="e">
        <f t="shared" si="51"/>
        <v>#VALUE!</v>
      </c>
      <c r="G465" s="33" t="str">
        <f t="shared" si="52"/>
        <v/>
      </c>
      <c r="H465" s="33" t="str">
        <f t="shared" si="55"/>
        <v/>
      </c>
      <c r="I465" s="33" t="e">
        <f t="shared" si="53"/>
        <v>#VALUE!</v>
      </c>
      <c r="J465" s="33">
        <f>SUM($H$18:$H465)</f>
        <v>0</v>
      </c>
    </row>
    <row r="466" spans="1:10">
      <c r="A466" s="36" t="str">
        <f>IF(Values_Entered,A465+1,"")</f>
        <v/>
      </c>
      <c r="B466" s="35" t="str">
        <f t="shared" ref="B466:B497" si="56">IF(Pay_Num&lt;&gt;"",DATE(YEAR(Loan_Start),MONTH(Loan_Start)+(Pay_Num)*12/Num_Pmt_Per_Year,DAY(Loan_Start)),"")</f>
        <v/>
      </c>
      <c r="C466" s="33" t="str">
        <f t="shared" si="54"/>
        <v/>
      </c>
      <c r="D466" s="33" t="str">
        <f t="shared" ref="D466:D497" si="57">IF(Pay_Num&lt;&gt;"",Scheduled_Monthly_Payment,"")</f>
        <v/>
      </c>
      <c r="E466" s="34" t="e">
        <f t="shared" ref="E466:E497" si="58">IF(AND(Pay_Num&lt;&gt;"",Sched_Pay+Scheduled_Extra_Payments&lt;Beg_Bal),Scheduled_Extra_Payments,IF(AND(Pay_Num&lt;&gt;"",Beg_Bal-Sched_Pay&gt;0),Beg_Bal-Sched_Pay,IF(Pay_Num&lt;&gt;"",0,"")))</f>
        <v>#VALUE!</v>
      </c>
      <c r="F466" s="33" t="e">
        <f t="shared" ref="F466:F497" si="59">IF(AND(Pay_Num&lt;&gt;"",Sched_Pay+Extra_Pay&lt;Beg_Bal),Sched_Pay+Extra_Pay,IF(Pay_Num&lt;&gt;"",Beg_Bal,""))</f>
        <v>#VALUE!</v>
      </c>
      <c r="G466" s="33" t="str">
        <f t="shared" ref="G466:G497" si="60">IF(Pay_Num&lt;&gt;"",Total_Pay-Int,"")</f>
        <v/>
      </c>
      <c r="H466" s="33" t="str">
        <f t="shared" si="55"/>
        <v/>
      </c>
      <c r="I466" s="33" t="e">
        <f t="shared" ref="I466:I497" si="61">IF(AND(Pay_Num&lt;&gt;"",Sched_Pay+Extra_Pay&lt;Beg_Bal),Beg_Bal-Princ,IF(Pay_Num&lt;&gt;"",0,""))</f>
        <v>#VALUE!</v>
      </c>
      <c r="J466" s="33">
        <f>SUM($H$18:$H466)</f>
        <v>0</v>
      </c>
    </row>
    <row r="467" spans="1:10">
      <c r="A467" s="36" t="str">
        <f>IF(Values_Entered,A466+1,"")</f>
        <v/>
      </c>
      <c r="B467" s="35" t="str">
        <f t="shared" si="56"/>
        <v/>
      </c>
      <c r="C467" s="33" t="str">
        <f t="shared" ref="C467:C497" si="62">IF(Pay_Num&lt;&gt;"",I466,"")</f>
        <v/>
      </c>
      <c r="D467" s="33" t="str">
        <f t="shared" si="57"/>
        <v/>
      </c>
      <c r="E467" s="34" t="e">
        <f t="shared" si="58"/>
        <v>#VALUE!</v>
      </c>
      <c r="F467" s="33" t="e">
        <f t="shared" si="59"/>
        <v>#VALUE!</v>
      </c>
      <c r="G467" s="33" t="str">
        <f t="shared" si="60"/>
        <v/>
      </c>
      <c r="H467" s="33" t="str">
        <f t="shared" ref="H467:H497" si="63">IF(Pay_Num&lt;&gt;"",Beg_Bal*Interest_Rate/Num_Pmt_Per_Year,"")</f>
        <v/>
      </c>
      <c r="I467" s="33" t="e">
        <f t="shared" si="61"/>
        <v>#VALUE!</v>
      </c>
      <c r="J467" s="33">
        <f>SUM($H$18:$H467)</f>
        <v>0</v>
      </c>
    </row>
    <row r="468" spans="1:10">
      <c r="A468" s="36" t="str">
        <f>IF(Values_Entered,A467+1,"")</f>
        <v/>
      </c>
      <c r="B468" s="35" t="str">
        <f t="shared" si="56"/>
        <v/>
      </c>
      <c r="C468" s="33" t="str">
        <f t="shared" si="62"/>
        <v/>
      </c>
      <c r="D468" s="33" t="str">
        <f t="shared" si="57"/>
        <v/>
      </c>
      <c r="E468" s="34" t="e">
        <f t="shared" si="58"/>
        <v>#VALUE!</v>
      </c>
      <c r="F468" s="33" t="e">
        <f t="shared" si="59"/>
        <v>#VALUE!</v>
      </c>
      <c r="G468" s="33" t="str">
        <f t="shared" si="60"/>
        <v/>
      </c>
      <c r="H468" s="33" t="str">
        <f t="shared" si="63"/>
        <v/>
      </c>
      <c r="I468" s="33" t="e">
        <f t="shared" si="61"/>
        <v>#VALUE!</v>
      </c>
      <c r="J468" s="33">
        <f>SUM($H$18:$H468)</f>
        <v>0</v>
      </c>
    </row>
    <row r="469" spans="1:10">
      <c r="A469" s="36" t="str">
        <f>IF(Values_Entered,A468+1,"")</f>
        <v/>
      </c>
      <c r="B469" s="35" t="str">
        <f t="shared" si="56"/>
        <v/>
      </c>
      <c r="C469" s="33" t="str">
        <f t="shared" si="62"/>
        <v/>
      </c>
      <c r="D469" s="33" t="str">
        <f t="shared" si="57"/>
        <v/>
      </c>
      <c r="E469" s="34" t="e">
        <f t="shared" si="58"/>
        <v>#VALUE!</v>
      </c>
      <c r="F469" s="33" t="e">
        <f t="shared" si="59"/>
        <v>#VALUE!</v>
      </c>
      <c r="G469" s="33" t="str">
        <f t="shared" si="60"/>
        <v/>
      </c>
      <c r="H469" s="33" t="str">
        <f t="shared" si="63"/>
        <v/>
      </c>
      <c r="I469" s="33" t="e">
        <f t="shared" si="61"/>
        <v>#VALUE!</v>
      </c>
      <c r="J469" s="33">
        <f>SUM($H$18:$H469)</f>
        <v>0</v>
      </c>
    </row>
    <row r="470" spans="1:10">
      <c r="A470" s="36" t="str">
        <f>IF(Values_Entered,A469+1,"")</f>
        <v/>
      </c>
      <c r="B470" s="35" t="str">
        <f t="shared" si="56"/>
        <v/>
      </c>
      <c r="C470" s="33" t="str">
        <f t="shared" si="62"/>
        <v/>
      </c>
      <c r="D470" s="33" t="str">
        <f t="shared" si="57"/>
        <v/>
      </c>
      <c r="E470" s="34" t="e">
        <f t="shared" si="58"/>
        <v>#VALUE!</v>
      </c>
      <c r="F470" s="33" t="e">
        <f t="shared" si="59"/>
        <v>#VALUE!</v>
      </c>
      <c r="G470" s="33" t="str">
        <f t="shared" si="60"/>
        <v/>
      </c>
      <c r="H470" s="33" t="str">
        <f t="shared" si="63"/>
        <v/>
      </c>
      <c r="I470" s="33" t="e">
        <f t="shared" si="61"/>
        <v>#VALUE!</v>
      </c>
      <c r="J470" s="33">
        <f>SUM($H$18:$H470)</f>
        <v>0</v>
      </c>
    </row>
    <row r="471" spans="1:10">
      <c r="A471" s="36" t="str">
        <f>IF(Values_Entered,A470+1,"")</f>
        <v/>
      </c>
      <c r="B471" s="35" t="str">
        <f t="shared" si="56"/>
        <v/>
      </c>
      <c r="C471" s="33" t="str">
        <f t="shared" si="62"/>
        <v/>
      </c>
      <c r="D471" s="33" t="str">
        <f t="shared" si="57"/>
        <v/>
      </c>
      <c r="E471" s="34" t="e">
        <f t="shared" si="58"/>
        <v>#VALUE!</v>
      </c>
      <c r="F471" s="33" t="e">
        <f t="shared" si="59"/>
        <v>#VALUE!</v>
      </c>
      <c r="G471" s="33" t="str">
        <f t="shared" si="60"/>
        <v/>
      </c>
      <c r="H471" s="33" t="str">
        <f t="shared" si="63"/>
        <v/>
      </c>
      <c r="I471" s="33" t="e">
        <f t="shared" si="61"/>
        <v>#VALUE!</v>
      </c>
      <c r="J471" s="33">
        <f>SUM($H$18:$H471)</f>
        <v>0</v>
      </c>
    </row>
    <row r="472" spans="1:10">
      <c r="A472" s="36" t="str">
        <f>IF(Values_Entered,A471+1,"")</f>
        <v/>
      </c>
      <c r="B472" s="35" t="str">
        <f t="shared" si="56"/>
        <v/>
      </c>
      <c r="C472" s="33" t="str">
        <f t="shared" si="62"/>
        <v/>
      </c>
      <c r="D472" s="33" t="str">
        <f t="shared" si="57"/>
        <v/>
      </c>
      <c r="E472" s="34" t="e">
        <f t="shared" si="58"/>
        <v>#VALUE!</v>
      </c>
      <c r="F472" s="33" t="e">
        <f t="shared" si="59"/>
        <v>#VALUE!</v>
      </c>
      <c r="G472" s="33" t="str">
        <f t="shared" si="60"/>
        <v/>
      </c>
      <c r="H472" s="33" t="str">
        <f t="shared" si="63"/>
        <v/>
      </c>
      <c r="I472" s="33" t="e">
        <f t="shared" si="61"/>
        <v>#VALUE!</v>
      </c>
      <c r="J472" s="33">
        <f>SUM($H$18:$H472)</f>
        <v>0</v>
      </c>
    </row>
    <row r="473" spans="1:10">
      <c r="A473" s="36" t="str">
        <f>IF(Values_Entered,A472+1,"")</f>
        <v/>
      </c>
      <c r="B473" s="35" t="str">
        <f t="shared" si="56"/>
        <v/>
      </c>
      <c r="C473" s="33" t="str">
        <f t="shared" si="62"/>
        <v/>
      </c>
      <c r="D473" s="33" t="str">
        <f t="shared" si="57"/>
        <v/>
      </c>
      <c r="E473" s="34" t="e">
        <f t="shared" si="58"/>
        <v>#VALUE!</v>
      </c>
      <c r="F473" s="33" t="e">
        <f t="shared" si="59"/>
        <v>#VALUE!</v>
      </c>
      <c r="G473" s="33" t="str">
        <f t="shared" si="60"/>
        <v/>
      </c>
      <c r="H473" s="33" t="str">
        <f t="shared" si="63"/>
        <v/>
      </c>
      <c r="I473" s="33" t="e">
        <f t="shared" si="61"/>
        <v>#VALUE!</v>
      </c>
      <c r="J473" s="33">
        <f>SUM($H$18:$H473)</f>
        <v>0</v>
      </c>
    </row>
    <row r="474" spans="1:10">
      <c r="A474" s="36" t="str">
        <f>IF(Values_Entered,A473+1,"")</f>
        <v/>
      </c>
      <c r="B474" s="35" t="str">
        <f t="shared" si="56"/>
        <v/>
      </c>
      <c r="C474" s="33" t="str">
        <f t="shared" si="62"/>
        <v/>
      </c>
      <c r="D474" s="33" t="str">
        <f t="shared" si="57"/>
        <v/>
      </c>
      <c r="E474" s="34" t="e">
        <f t="shared" si="58"/>
        <v>#VALUE!</v>
      </c>
      <c r="F474" s="33" t="e">
        <f t="shared" si="59"/>
        <v>#VALUE!</v>
      </c>
      <c r="G474" s="33" t="str">
        <f t="shared" si="60"/>
        <v/>
      </c>
      <c r="H474" s="33" t="str">
        <f t="shared" si="63"/>
        <v/>
      </c>
      <c r="I474" s="33" t="e">
        <f t="shared" si="61"/>
        <v>#VALUE!</v>
      </c>
      <c r="J474" s="33">
        <f>SUM($H$18:$H474)</f>
        <v>0</v>
      </c>
    </row>
    <row r="475" spans="1:10">
      <c r="A475" s="36" t="str">
        <f>IF(Values_Entered,A474+1,"")</f>
        <v/>
      </c>
      <c r="B475" s="35" t="str">
        <f t="shared" si="56"/>
        <v/>
      </c>
      <c r="C475" s="33" t="str">
        <f t="shared" si="62"/>
        <v/>
      </c>
      <c r="D475" s="33" t="str">
        <f t="shared" si="57"/>
        <v/>
      </c>
      <c r="E475" s="34" t="e">
        <f t="shared" si="58"/>
        <v>#VALUE!</v>
      </c>
      <c r="F475" s="33" t="e">
        <f t="shared" si="59"/>
        <v>#VALUE!</v>
      </c>
      <c r="G475" s="33" t="str">
        <f t="shared" si="60"/>
        <v/>
      </c>
      <c r="H475" s="33" t="str">
        <f t="shared" si="63"/>
        <v/>
      </c>
      <c r="I475" s="33" t="e">
        <f t="shared" si="61"/>
        <v>#VALUE!</v>
      </c>
      <c r="J475" s="33">
        <f>SUM($H$18:$H475)</f>
        <v>0</v>
      </c>
    </row>
    <row r="476" spans="1:10">
      <c r="A476" s="36" t="str">
        <f>IF(Values_Entered,A475+1,"")</f>
        <v/>
      </c>
      <c r="B476" s="35" t="str">
        <f t="shared" si="56"/>
        <v/>
      </c>
      <c r="C476" s="33" t="str">
        <f t="shared" si="62"/>
        <v/>
      </c>
      <c r="D476" s="33" t="str">
        <f t="shared" si="57"/>
        <v/>
      </c>
      <c r="E476" s="34" t="e">
        <f t="shared" si="58"/>
        <v>#VALUE!</v>
      </c>
      <c r="F476" s="33" t="e">
        <f t="shared" si="59"/>
        <v>#VALUE!</v>
      </c>
      <c r="G476" s="33" t="str">
        <f t="shared" si="60"/>
        <v/>
      </c>
      <c r="H476" s="33" t="str">
        <f t="shared" si="63"/>
        <v/>
      </c>
      <c r="I476" s="33" t="e">
        <f t="shared" si="61"/>
        <v>#VALUE!</v>
      </c>
      <c r="J476" s="33">
        <f>SUM($H$18:$H476)</f>
        <v>0</v>
      </c>
    </row>
    <row r="477" spans="1:10">
      <c r="A477" s="36" t="str">
        <f>IF(Values_Entered,A476+1,"")</f>
        <v/>
      </c>
      <c r="B477" s="35" t="str">
        <f t="shared" si="56"/>
        <v/>
      </c>
      <c r="C477" s="33" t="str">
        <f t="shared" si="62"/>
        <v/>
      </c>
      <c r="D477" s="33" t="str">
        <f t="shared" si="57"/>
        <v/>
      </c>
      <c r="E477" s="34" t="e">
        <f t="shared" si="58"/>
        <v>#VALUE!</v>
      </c>
      <c r="F477" s="33" t="e">
        <f t="shared" si="59"/>
        <v>#VALUE!</v>
      </c>
      <c r="G477" s="33" t="str">
        <f t="shared" si="60"/>
        <v/>
      </c>
      <c r="H477" s="33" t="str">
        <f t="shared" si="63"/>
        <v/>
      </c>
      <c r="I477" s="33" t="e">
        <f t="shared" si="61"/>
        <v>#VALUE!</v>
      </c>
      <c r="J477" s="33">
        <f>SUM($H$18:$H477)</f>
        <v>0</v>
      </c>
    </row>
    <row r="478" spans="1:10">
      <c r="A478" s="36" t="str">
        <f>IF(Values_Entered,A477+1,"")</f>
        <v/>
      </c>
      <c r="B478" s="35" t="str">
        <f t="shared" si="56"/>
        <v/>
      </c>
      <c r="C478" s="33" t="str">
        <f t="shared" si="62"/>
        <v/>
      </c>
      <c r="D478" s="33" t="str">
        <f t="shared" si="57"/>
        <v/>
      </c>
      <c r="E478" s="34" t="e">
        <f t="shared" si="58"/>
        <v>#VALUE!</v>
      </c>
      <c r="F478" s="33" t="e">
        <f t="shared" si="59"/>
        <v>#VALUE!</v>
      </c>
      <c r="G478" s="33" t="str">
        <f t="shared" si="60"/>
        <v/>
      </c>
      <c r="H478" s="33" t="str">
        <f t="shared" si="63"/>
        <v/>
      </c>
      <c r="I478" s="33" t="e">
        <f t="shared" si="61"/>
        <v>#VALUE!</v>
      </c>
      <c r="J478" s="33">
        <f>SUM($H$18:$H478)</f>
        <v>0</v>
      </c>
    </row>
    <row r="479" spans="1:10">
      <c r="A479" s="36" t="str">
        <f>IF(Values_Entered,A478+1,"")</f>
        <v/>
      </c>
      <c r="B479" s="35" t="str">
        <f t="shared" si="56"/>
        <v/>
      </c>
      <c r="C479" s="33" t="str">
        <f t="shared" si="62"/>
        <v/>
      </c>
      <c r="D479" s="33" t="str">
        <f t="shared" si="57"/>
        <v/>
      </c>
      <c r="E479" s="34" t="e">
        <f t="shared" si="58"/>
        <v>#VALUE!</v>
      </c>
      <c r="F479" s="33" t="e">
        <f t="shared" si="59"/>
        <v>#VALUE!</v>
      </c>
      <c r="G479" s="33" t="str">
        <f t="shared" si="60"/>
        <v/>
      </c>
      <c r="H479" s="33" t="str">
        <f t="shared" si="63"/>
        <v/>
      </c>
      <c r="I479" s="33" t="e">
        <f t="shared" si="61"/>
        <v>#VALUE!</v>
      </c>
      <c r="J479" s="33">
        <f>SUM($H$18:$H479)</f>
        <v>0</v>
      </c>
    </row>
    <row r="480" spans="1:10">
      <c r="A480" s="36" t="str">
        <f>IF(Values_Entered,A479+1,"")</f>
        <v/>
      </c>
      <c r="B480" s="35" t="str">
        <f t="shared" si="56"/>
        <v/>
      </c>
      <c r="C480" s="33" t="str">
        <f t="shared" si="62"/>
        <v/>
      </c>
      <c r="D480" s="33" t="str">
        <f t="shared" si="57"/>
        <v/>
      </c>
      <c r="E480" s="34" t="e">
        <f t="shared" si="58"/>
        <v>#VALUE!</v>
      </c>
      <c r="F480" s="33" t="e">
        <f t="shared" si="59"/>
        <v>#VALUE!</v>
      </c>
      <c r="G480" s="33" t="str">
        <f t="shared" si="60"/>
        <v/>
      </c>
      <c r="H480" s="33" t="str">
        <f t="shared" si="63"/>
        <v/>
      </c>
      <c r="I480" s="33" t="e">
        <f t="shared" si="61"/>
        <v>#VALUE!</v>
      </c>
      <c r="J480" s="33">
        <f>SUM($H$18:$H480)</f>
        <v>0</v>
      </c>
    </row>
    <row r="481" spans="1:10">
      <c r="A481" s="36" t="str">
        <f>IF(Values_Entered,A480+1,"")</f>
        <v/>
      </c>
      <c r="B481" s="35" t="str">
        <f t="shared" si="56"/>
        <v/>
      </c>
      <c r="C481" s="33" t="str">
        <f t="shared" si="62"/>
        <v/>
      </c>
      <c r="D481" s="33" t="str">
        <f t="shared" si="57"/>
        <v/>
      </c>
      <c r="E481" s="34" t="e">
        <f t="shared" si="58"/>
        <v>#VALUE!</v>
      </c>
      <c r="F481" s="33" t="e">
        <f t="shared" si="59"/>
        <v>#VALUE!</v>
      </c>
      <c r="G481" s="33" t="str">
        <f t="shared" si="60"/>
        <v/>
      </c>
      <c r="H481" s="33" t="str">
        <f t="shared" si="63"/>
        <v/>
      </c>
      <c r="I481" s="33" t="e">
        <f t="shared" si="61"/>
        <v>#VALUE!</v>
      </c>
      <c r="J481" s="33">
        <f>SUM($H$18:$H481)</f>
        <v>0</v>
      </c>
    </row>
    <row r="482" spans="1:10">
      <c r="A482" s="36" t="str">
        <f>IF(Values_Entered,A481+1,"")</f>
        <v/>
      </c>
      <c r="B482" s="35" t="str">
        <f t="shared" si="56"/>
        <v/>
      </c>
      <c r="C482" s="33" t="str">
        <f t="shared" si="62"/>
        <v/>
      </c>
      <c r="D482" s="33" t="str">
        <f t="shared" si="57"/>
        <v/>
      </c>
      <c r="E482" s="34" t="e">
        <f t="shared" si="58"/>
        <v>#VALUE!</v>
      </c>
      <c r="F482" s="33" t="e">
        <f t="shared" si="59"/>
        <v>#VALUE!</v>
      </c>
      <c r="G482" s="33" t="str">
        <f t="shared" si="60"/>
        <v/>
      </c>
      <c r="H482" s="33" t="str">
        <f t="shared" si="63"/>
        <v/>
      </c>
      <c r="I482" s="33" t="e">
        <f t="shared" si="61"/>
        <v>#VALUE!</v>
      </c>
      <c r="J482" s="33">
        <f>SUM($H$18:$H482)</f>
        <v>0</v>
      </c>
    </row>
    <row r="483" spans="1:10">
      <c r="A483" s="36" t="str">
        <f>IF(Values_Entered,A482+1,"")</f>
        <v/>
      </c>
      <c r="B483" s="35" t="str">
        <f t="shared" si="56"/>
        <v/>
      </c>
      <c r="C483" s="33" t="str">
        <f t="shared" si="62"/>
        <v/>
      </c>
      <c r="D483" s="33" t="str">
        <f t="shared" si="57"/>
        <v/>
      </c>
      <c r="E483" s="34" t="e">
        <f t="shared" si="58"/>
        <v>#VALUE!</v>
      </c>
      <c r="F483" s="33" t="e">
        <f t="shared" si="59"/>
        <v>#VALUE!</v>
      </c>
      <c r="G483" s="33" t="str">
        <f t="shared" si="60"/>
        <v/>
      </c>
      <c r="H483" s="33" t="str">
        <f t="shared" si="63"/>
        <v/>
      </c>
      <c r="I483" s="33" t="e">
        <f t="shared" si="61"/>
        <v>#VALUE!</v>
      </c>
      <c r="J483" s="33">
        <f>SUM($H$18:$H483)</f>
        <v>0</v>
      </c>
    </row>
    <row r="484" spans="1:10">
      <c r="A484" s="36" t="str">
        <f>IF(Values_Entered,A483+1,"")</f>
        <v/>
      </c>
      <c r="B484" s="35" t="str">
        <f t="shared" si="56"/>
        <v/>
      </c>
      <c r="C484" s="33" t="str">
        <f t="shared" si="62"/>
        <v/>
      </c>
      <c r="D484" s="33" t="str">
        <f t="shared" si="57"/>
        <v/>
      </c>
      <c r="E484" s="34" t="e">
        <f t="shared" si="58"/>
        <v>#VALUE!</v>
      </c>
      <c r="F484" s="33" t="e">
        <f t="shared" si="59"/>
        <v>#VALUE!</v>
      </c>
      <c r="G484" s="33" t="str">
        <f t="shared" si="60"/>
        <v/>
      </c>
      <c r="H484" s="33" t="str">
        <f t="shared" si="63"/>
        <v/>
      </c>
      <c r="I484" s="33" t="e">
        <f t="shared" si="61"/>
        <v>#VALUE!</v>
      </c>
      <c r="J484" s="33">
        <f>SUM($H$18:$H484)</f>
        <v>0</v>
      </c>
    </row>
    <row r="485" spans="1:10">
      <c r="A485" s="36" t="str">
        <f>IF(Values_Entered,A484+1,"")</f>
        <v/>
      </c>
      <c r="B485" s="35" t="str">
        <f t="shared" si="56"/>
        <v/>
      </c>
      <c r="C485" s="33" t="str">
        <f t="shared" si="62"/>
        <v/>
      </c>
      <c r="D485" s="33" t="str">
        <f t="shared" si="57"/>
        <v/>
      </c>
      <c r="E485" s="34" t="e">
        <f t="shared" si="58"/>
        <v>#VALUE!</v>
      </c>
      <c r="F485" s="33" t="e">
        <f t="shared" si="59"/>
        <v>#VALUE!</v>
      </c>
      <c r="G485" s="33" t="str">
        <f t="shared" si="60"/>
        <v/>
      </c>
      <c r="H485" s="33" t="str">
        <f t="shared" si="63"/>
        <v/>
      </c>
      <c r="I485" s="33" t="e">
        <f t="shared" si="61"/>
        <v>#VALUE!</v>
      </c>
      <c r="J485" s="33">
        <f>SUM($H$18:$H485)</f>
        <v>0</v>
      </c>
    </row>
    <row r="486" spans="1:10">
      <c r="A486" s="36" t="str">
        <f>IF(Values_Entered,A485+1,"")</f>
        <v/>
      </c>
      <c r="B486" s="35" t="str">
        <f t="shared" si="56"/>
        <v/>
      </c>
      <c r="C486" s="33" t="str">
        <f t="shared" si="62"/>
        <v/>
      </c>
      <c r="D486" s="33" t="str">
        <f t="shared" si="57"/>
        <v/>
      </c>
      <c r="E486" s="34" t="e">
        <f t="shared" si="58"/>
        <v>#VALUE!</v>
      </c>
      <c r="F486" s="33" t="e">
        <f t="shared" si="59"/>
        <v>#VALUE!</v>
      </c>
      <c r="G486" s="33" t="str">
        <f t="shared" si="60"/>
        <v/>
      </c>
      <c r="H486" s="33" t="str">
        <f t="shared" si="63"/>
        <v/>
      </c>
      <c r="I486" s="33" t="e">
        <f t="shared" si="61"/>
        <v>#VALUE!</v>
      </c>
      <c r="J486" s="33">
        <f>SUM($H$18:$H486)</f>
        <v>0</v>
      </c>
    </row>
    <row r="487" spans="1:10">
      <c r="A487" s="36" t="str">
        <f>IF(Values_Entered,A486+1,"")</f>
        <v/>
      </c>
      <c r="B487" s="35" t="str">
        <f t="shared" si="56"/>
        <v/>
      </c>
      <c r="C487" s="33" t="str">
        <f t="shared" si="62"/>
        <v/>
      </c>
      <c r="D487" s="33" t="str">
        <f t="shared" si="57"/>
        <v/>
      </c>
      <c r="E487" s="34" t="e">
        <f t="shared" si="58"/>
        <v>#VALUE!</v>
      </c>
      <c r="F487" s="33" t="e">
        <f t="shared" si="59"/>
        <v>#VALUE!</v>
      </c>
      <c r="G487" s="33" t="str">
        <f t="shared" si="60"/>
        <v/>
      </c>
      <c r="H487" s="33" t="str">
        <f t="shared" si="63"/>
        <v/>
      </c>
      <c r="I487" s="33" t="e">
        <f t="shared" si="61"/>
        <v>#VALUE!</v>
      </c>
      <c r="J487" s="33">
        <f>SUM($H$18:$H487)</f>
        <v>0</v>
      </c>
    </row>
    <row r="488" spans="1:10">
      <c r="A488" s="36" t="str">
        <f>IF(Values_Entered,A487+1,"")</f>
        <v/>
      </c>
      <c r="B488" s="35" t="str">
        <f t="shared" si="56"/>
        <v/>
      </c>
      <c r="C488" s="33" t="str">
        <f t="shared" si="62"/>
        <v/>
      </c>
      <c r="D488" s="33" t="str">
        <f t="shared" si="57"/>
        <v/>
      </c>
      <c r="E488" s="34" t="e">
        <f t="shared" si="58"/>
        <v>#VALUE!</v>
      </c>
      <c r="F488" s="33" t="e">
        <f t="shared" si="59"/>
        <v>#VALUE!</v>
      </c>
      <c r="G488" s="33" t="str">
        <f t="shared" si="60"/>
        <v/>
      </c>
      <c r="H488" s="33" t="str">
        <f t="shared" si="63"/>
        <v/>
      </c>
      <c r="I488" s="33" t="e">
        <f t="shared" si="61"/>
        <v>#VALUE!</v>
      </c>
      <c r="J488" s="33">
        <f>SUM($H$18:$H488)</f>
        <v>0</v>
      </c>
    </row>
    <row r="489" spans="1:10">
      <c r="A489" s="36" t="str">
        <f>IF(Values_Entered,A488+1,"")</f>
        <v/>
      </c>
      <c r="B489" s="35" t="str">
        <f t="shared" si="56"/>
        <v/>
      </c>
      <c r="C489" s="33" t="str">
        <f t="shared" si="62"/>
        <v/>
      </c>
      <c r="D489" s="33" t="str">
        <f t="shared" si="57"/>
        <v/>
      </c>
      <c r="E489" s="34" t="e">
        <f t="shared" si="58"/>
        <v>#VALUE!</v>
      </c>
      <c r="F489" s="33" t="e">
        <f t="shared" si="59"/>
        <v>#VALUE!</v>
      </c>
      <c r="G489" s="33" t="str">
        <f t="shared" si="60"/>
        <v/>
      </c>
      <c r="H489" s="33" t="str">
        <f t="shared" si="63"/>
        <v/>
      </c>
      <c r="I489" s="33" t="e">
        <f t="shared" si="61"/>
        <v>#VALUE!</v>
      </c>
      <c r="J489" s="33">
        <f>SUM($H$18:$H489)</f>
        <v>0</v>
      </c>
    </row>
    <row r="490" spans="1:10">
      <c r="A490" s="36" t="str">
        <f>IF(Values_Entered,A489+1,"")</f>
        <v/>
      </c>
      <c r="B490" s="35" t="str">
        <f t="shared" si="56"/>
        <v/>
      </c>
      <c r="C490" s="33" t="str">
        <f t="shared" si="62"/>
        <v/>
      </c>
      <c r="D490" s="33" t="str">
        <f t="shared" si="57"/>
        <v/>
      </c>
      <c r="E490" s="34" t="e">
        <f t="shared" si="58"/>
        <v>#VALUE!</v>
      </c>
      <c r="F490" s="33" t="e">
        <f t="shared" si="59"/>
        <v>#VALUE!</v>
      </c>
      <c r="G490" s="33" t="str">
        <f t="shared" si="60"/>
        <v/>
      </c>
      <c r="H490" s="33" t="str">
        <f t="shared" si="63"/>
        <v/>
      </c>
      <c r="I490" s="33" t="e">
        <f t="shared" si="61"/>
        <v>#VALUE!</v>
      </c>
      <c r="J490" s="33">
        <f>SUM($H$18:$H490)</f>
        <v>0</v>
      </c>
    </row>
    <row r="491" spans="1:10">
      <c r="A491" s="36" t="str">
        <f>IF(Values_Entered,A490+1,"")</f>
        <v/>
      </c>
      <c r="B491" s="35" t="str">
        <f t="shared" si="56"/>
        <v/>
      </c>
      <c r="C491" s="33" t="str">
        <f t="shared" si="62"/>
        <v/>
      </c>
      <c r="D491" s="33" t="str">
        <f t="shared" si="57"/>
        <v/>
      </c>
      <c r="E491" s="34" t="e">
        <f t="shared" si="58"/>
        <v>#VALUE!</v>
      </c>
      <c r="F491" s="33" t="e">
        <f t="shared" si="59"/>
        <v>#VALUE!</v>
      </c>
      <c r="G491" s="33" t="str">
        <f t="shared" si="60"/>
        <v/>
      </c>
      <c r="H491" s="33" t="str">
        <f t="shared" si="63"/>
        <v/>
      </c>
      <c r="I491" s="33" t="e">
        <f t="shared" si="61"/>
        <v>#VALUE!</v>
      </c>
      <c r="J491" s="33">
        <f>SUM($H$18:$H491)</f>
        <v>0</v>
      </c>
    </row>
    <row r="492" spans="1:10">
      <c r="A492" s="36" t="str">
        <f>IF(Values_Entered,A491+1,"")</f>
        <v/>
      </c>
      <c r="B492" s="35" t="str">
        <f t="shared" si="56"/>
        <v/>
      </c>
      <c r="C492" s="33" t="str">
        <f t="shared" si="62"/>
        <v/>
      </c>
      <c r="D492" s="33" t="str">
        <f t="shared" si="57"/>
        <v/>
      </c>
      <c r="E492" s="34" t="e">
        <f t="shared" si="58"/>
        <v>#VALUE!</v>
      </c>
      <c r="F492" s="33" t="e">
        <f t="shared" si="59"/>
        <v>#VALUE!</v>
      </c>
      <c r="G492" s="33" t="str">
        <f t="shared" si="60"/>
        <v/>
      </c>
      <c r="H492" s="33" t="str">
        <f t="shared" si="63"/>
        <v/>
      </c>
      <c r="I492" s="33" t="e">
        <f t="shared" si="61"/>
        <v>#VALUE!</v>
      </c>
      <c r="J492" s="33">
        <f>SUM($H$18:$H492)</f>
        <v>0</v>
      </c>
    </row>
    <row r="493" spans="1:10">
      <c r="A493" s="36" t="str">
        <f>IF(Values_Entered,A492+1,"")</f>
        <v/>
      </c>
      <c r="B493" s="35" t="str">
        <f t="shared" si="56"/>
        <v/>
      </c>
      <c r="C493" s="33" t="str">
        <f t="shared" si="62"/>
        <v/>
      </c>
      <c r="D493" s="33" t="str">
        <f t="shared" si="57"/>
        <v/>
      </c>
      <c r="E493" s="34" t="e">
        <f t="shared" si="58"/>
        <v>#VALUE!</v>
      </c>
      <c r="F493" s="33" t="e">
        <f t="shared" si="59"/>
        <v>#VALUE!</v>
      </c>
      <c r="G493" s="33" t="str">
        <f t="shared" si="60"/>
        <v/>
      </c>
      <c r="H493" s="33" t="str">
        <f t="shared" si="63"/>
        <v/>
      </c>
      <c r="I493" s="33" t="e">
        <f t="shared" si="61"/>
        <v>#VALUE!</v>
      </c>
      <c r="J493" s="33">
        <f>SUM($H$18:$H493)</f>
        <v>0</v>
      </c>
    </row>
    <row r="494" spans="1:10">
      <c r="A494" s="36" t="str">
        <f>IF(Values_Entered,A493+1,"")</f>
        <v/>
      </c>
      <c r="B494" s="35" t="str">
        <f t="shared" si="56"/>
        <v/>
      </c>
      <c r="C494" s="33" t="str">
        <f t="shared" si="62"/>
        <v/>
      </c>
      <c r="D494" s="33" t="str">
        <f t="shared" si="57"/>
        <v/>
      </c>
      <c r="E494" s="34" t="e">
        <f t="shared" si="58"/>
        <v>#VALUE!</v>
      </c>
      <c r="F494" s="33" t="e">
        <f t="shared" si="59"/>
        <v>#VALUE!</v>
      </c>
      <c r="G494" s="33" t="str">
        <f t="shared" si="60"/>
        <v/>
      </c>
      <c r="H494" s="33" t="str">
        <f t="shared" si="63"/>
        <v/>
      </c>
      <c r="I494" s="33" t="e">
        <f t="shared" si="61"/>
        <v>#VALUE!</v>
      </c>
      <c r="J494" s="33">
        <f>SUM($H$18:$H494)</f>
        <v>0</v>
      </c>
    </row>
    <row r="495" spans="1:10">
      <c r="A495" s="36" t="str">
        <f>IF(Values_Entered,A494+1,"")</f>
        <v/>
      </c>
      <c r="B495" s="35" t="str">
        <f t="shared" si="56"/>
        <v/>
      </c>
      <c r="C495" s="33" t="str">
        <f t="shared" si="62"/>
        <v/>
      </c>
      <c r="D495" s="33" t="str">
        <f t="shared" si="57"/>
        <v/>
      </c>
      <c r="E495" s="34" t="e">
        <f t="shared" si="58"/>
        <v>#VALUE!</v>
      </c>
      <c r="F495" s="33" t="e">
        <f t="shared" si="59"/>
        <v>#VALUE!</v>
      </c>
      <c r="G495" s="33" t="str">
        <f t="shared" si="60"/>
        <v/>
      </c>
      <c r="H495" s="33" t="str">
        <f t="shared" si="63"/>
        <v/>
      </c>
      <c r="I495" s="33" t="e">
        <f t="shared" si="61"/>
        <v>#VALUE!</v>
      </c>
      <c r="J495" s="33">
        <f>SUM($H$18:$H495)</f>
        <v>0</v>
      </c>
    </row>
    <row r="496" spans="1:10">
      <c r="A496" s="36" t="str">
        <f>IF(Values_Entered,A495+1,"")</f>
        <v/>
      </c>
      <c r="B496" s="35" t="str">
        <f t="shared" si="56"/>
        <v/>
      </c>
      <c r="C496" s="33" t="str">
        <f t="shared" si="62"/>
        <v/>
      </c>
      <c r="D496" s="33" t="str">
        <f t="shared" si="57"/>
        <v/>
      </c>
      <c r="E496" s="34" t="e">
        <f t="shared" si="58"/>
        <v>#VALUE!</v>
      </c>
      <c r="F496" s="33" t="e">
        <f t="shared" si="59"/>
        <v>#VALUE!</v>
      </c>
      <c r="G496" s="33" t="str">
        <f t="shared" si="60"/>
        <v/>
      </c>
      <c r="H496" s="33" t="str">
        <f t="shared" si="63"/>
        <v/>
      </c>
      <c r="I496" s="33" t="e">
        <f t="shared" si="61"/>
        <v>#VALUE!</v>
      </c>
      <c r="J496" s="33">
        <f>SUM($H$18:$H496)</f>
        <v>0</v>
      </c>
    </row>
    <row r="497" spans="1:10">
      <c r="A497" s="36" t="str">
        <f>IF(Values_Entered,A496+1,"")</f>
        <v/>
      </c>
      <c r="B497" s="35" t="str">
        <f t="shared" si="56"/>
        <v/>
      </c>
      <c r="C497" s="33" t="str">
        <f t="shared" si="62"/>
        <v/>
      </c>
      <c r="D497" s="33" t="str">
        <f t="shared" si="57"/>
        <v/>
      </c>
      <c r="E497" s="34" t="e">
        <f t="shared" si="58"/>
        <v>#VALUE!</v>
      </c>
      <c r="F497" s="33" t="e">
        <f t="shared" si="59"/>
        <v>#VALUE!</v>
      </c>
      <c r="G497" s="33" t="str">
        <f t="shared" si="60"/>
        <v/>
      </c>
      <c r="H497" s="33" t="str">
        <f t="shared" si="63"/>
        <v/>
      </c>
      <c r="I497" s="33" t="e">
        <f t="shared" si="61"/>
        <v>#VALUE!</v>
      </c>
      <c r="J497" s="33">
        <f>SUM($H$18:$H497)</f>
        <v>0</v>
      </c>
    </row>
  </sheetData>
  <sheetProtection sheet="1" objects="1" scenarios="1" selectLockedCells="1"/>
  <mergeCells count="3">
    <mergeCell ref="C12:D12"/>
    <mergeCell ref="B4:D4"/>
    <mergeCell ref="H4:J4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 xr:uid="{00000000-0002-0000-0000-000002000000}"/>
    <dataValidation type="date" operator="greaterThanOrEqual" allowBlank="1" showInputMessage="1" showErrorMessage="1" errorTitle="Date" error="Please enter a valid date greater than or equal to January 1, 1900." sqref="D9" xr:uid="{00000000-0002-0000-0000-000001000000}">
      <formula1>1</formula1>
    </dataValidation>
    <dataValidation type="whole" allowBlank="1" showInputMessage="1" showErrorMessage="1" errorTitle="Years" error="Please enter a whole number of years from 1 to 40." sqref="D7" xr:uid="{00000000-0002-0000-0000-000000000000}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n r Q U l I P b y O j A A A A 9 Q A A A B I A H A B D b 2 5 m a W c v U G F j a 2 F n Z S 5 4 b W w g o h g A K K A U A A A A A A A A A A A A A A A A A A A A A A A A A A A A h Y 8 x D o I w G I W v Q r r T l u K g p J Q Y V k l M T I x r U y o 0 w o + h x X I 3 B 4 / k F c Q o 6 u b 4 v v c N 7 9 2 v N 5 6 N b R N c d G 9 N B y m K M E W B B t W V B q o U D e 4 Y L l E m + F a q k 6 x 0 M M l g k 9 G W K a q d O y e E e O + x j 3 H X V 4 R R G p F D s d m p W r c S f W T z X w 4 N W C d B a S T 4 / j V G M L y K 8 Y I x T D m Z G S 8 M f H s 2 z X 2 2 P 5 D n Q + O G X g s N Y b 7 m Z I 6 c v C + I B 1 B L A w Q U A A I A C A A 6 e t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r Q U i i K R 7 g O A A A A E Q A A A B M A H A B G b 3 J t d W x h c y 9 T Z W N 0 a W 9 u M S 5 t I K I Y A C i g F A A A A A A A A A A A A A A A A A A A A A A A A A A A A C t O T S 7 J z M 9 T C I b Q h t Y A U E s B A i 0 A F A A C A A g A O n r Q U l I P b y O j A A A A 9 Q A A A B I A A A A A A A A A A A A A A A A A A A A A A E N v b m Z p Z y 9 Q Y W N r Y W d l L n h t b F B L A Q I t A B Q A A g A I A D p 6 0 F I P y u m r p A A A A O k A A A A T A A A A A A A A A A A A A A A A A O 8 A A A B b Q 2 9 u d G V u d F 9 U e X B l c 1 0 u e G 1 s U E s B A i 0 A F A A C A A g A O n r Q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I f i g J P O 9 p P n g d v M M v X a Q U A A A A A A g A A A A A A E G Y A A A A B A A A g A A A A J w V R n g H j S e R Q l u z 3 V g P 3 H N n 7 A z K h U w 2 r T z y X I N + O O e o A A A A A D o A A A A A C A A A g A A A A L D J + p f 6 g v 9 5 j v q r 2 t p J K q x 2 6 W Q V M s r t R i X V D Z r o w x T h Q A A A A r G 6 o t 9 k W 1 F G 2 Q b H E 4 r h f B 5 M o K Z T J I I 7 e Q Y J z i h o D Q x 6 m g 2 0 9 O V f W m G C 5 Z n 8 8 C x k 7 f 9 w q w 2 N 5 a h B t n v m z p v V L B 4 n V 7 t F I c M 3 z 1 1 b 7 s A G 1 v S 1 A A A A A 1 M f 3 r I W U 0 1 E q L 5 X y N G v I 1 j d r J 2 I P H U p y 1 K c u R i g Y x 2 q x I Y 6 b c N a 0 g n p c k H z s W q F 0 w / T h 9 Z 8 U + T j 1 d H T 8 W H I l z A = = < / D a t a M a s h u p > 
</file>

<file path=customXml/itemProps1.xml><?xml version="1.0" encoding="utf-8"?>
<ds:datastoreItem xmlns:ds="http://schemas.openxmlformats.org/officeDocument/2006/customXml" ds:itemID="{FF323BE0-3C17-48B1-BCC3-62B183B7FE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Terrence Mugova</dc:creator>
  <cp:keywords/>
  <dc:description/>
  <cp:lastModifiedBy/>
  <cp:revision/>
  <dcterms:created xsi:type="dcterms:W3CDTF">2002-11-14T18:47:55Z</dcterms:created>
  <dcterms:modified xsi:type="dcterms:W3CDTF">2022-01-29T20:51:11Z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