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/>
  <mc:AlternateContent xmlns:mc="http://schemas.openxmlformats.org/markup-compatibility/2006">
    <mc:Choice Requires="x15">
      <x15ac:absPath xmlns:x15ac="http://schemas.microsoft.com/office/spreadsheetml/2010/11/ac" url="https://lawrenceu-my.sharepoint.com/personal/wengs_lawrence_edu/Documents/Classes/Business Classes/BUEN 220 Foundations of Financial Management Team 1/Project/Financial Statement Analysis/"/>
    </mc:Choice>
  </mc:AlternateContent>
  <xr:revisionPtr revIDLastSave="1911" documentId="11_0B1D56BE9CDCCE836B02CE7A5FB0D4A9BBFD1C62" xr6:coauthVersionLast="47" xr6:coauthVersionMax="47" xr10:uidLastSave="{B6248F6A-766A-9444-A628-30C27BC9789D}"/>
  <bookViews>
    <workbookView xWindow="-5180" yWindow="-20940" windowWidth="21760" windowHeight="20660" xr2:uid="{00000000-000D-0000-FFFF-FFFF00000000}"/>
  </bookViews>
  <sheets>
    <sheet name="Financial Ratios" sheetId="5" r:id="rId1"/>
    <sheet name="Balance Sheet" sheetId="2" r:id="rId2"/>
    <sheet name="Income Statement" sheetId="1" r:id="rId3"/>
    <sheet name="Statement of Cash Flows " sheetId="3" r:id="rId4"/>
    <sheet name="Observations" sheetId="4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5" l="1"/>
  <c r="D34" i="5"/>
  <c r="C34" i="5"/>
  <c r="E28" i="5"/>
  <c r="D28" i="5"/>
  <c r="C28" i="5"/>
  <c r="E26" i="5"/>
  <c r="D26" i="5"/>
  <c r="C26" i="5"/>
  <c r="E22" i="5"/>
  <c r="D22" i="5"/>
  <c r="C22" i="5"/>
  <c r="C6" i="5"/>
  <c r="E6" i="5"/>
  <c r="D6" i="5"/>
  <c r="E42" i="5"/>
  <c r="D42" i="5"/>
  <c r="C42" i="5"/>
  <c r="E40" i="5"/>
  <c r="D40" i="5"/>
  <c r="C40" i="5"/>
  <c r="E20" i="5"/>
  <c r="D20" i="5"/>
  <c r="C20" i="5"/>
  <c r="E18" i="5"/>
  <c r="D18" i="5"/>
  <c r="C18" i="5"/>
  <c r="E32" i="5"/>
  <c r="D32" i="5"/>
  <c r="C32" i="5"/>
  <c r="E24" i="5"/>
  <c r="D24" i="5"/>
  <c r="C24" i="5"/>
  <c r="E16" i="5"/>
  <c r="D16" i="5"/>
  <c r="C16" i="5"/>
  <c r="E12" i="5"/>
  <c r="D12" i="5"/>
  <c r="C12" i="5"/>
  <c r="D10" i="5"/>
  <c r="E10" i="5"/>
  <c r="C10" i="5"/>
  <c r="E8" i="5"/>
  <c r="D8" i="5"/>
  <c r="C8" i="5"/>
  <c r="E4" i="5"/>
  <c r="D4" i="5"/>
  <c r="C4" i="5"/>
  <c r="C6" i="1"/>
  <c r="B6" i="1"/>
  <c r="I13" i="1"/>
  <c r="H5" i="1"/>
  <c r="H6" i="1"/>
  <c r="H8" i="1"/>
  <c r="H9" i="1"/>
  <c r="H10" i="1"/>
  <c r="H11" i="1"/>
  <c r="H13" i="1"/>
  <c r="H14" i="1"/>
  <c r="H15" i="1"/>
  <c r="H16" i="1"/>
  <c r="H18" i="1"/>
  <c r="H19" i="1"/>
  <c r="H21" i="1"/>
  <c r="H22" i="1"/>
  <c r="L30" i="2"/>
  <c r="K30" i="2"/>
  <c r="K44" i="2"/>
  <c r="J44" i="2"/>
  <c r="J33" i="2"/>
  <c r="J34" i="2"/>
  <c r="J35" i="2"/>
  <c r="J36" i="2"/>
  <c r="J37" i="2"/>
  <c r="J38" i="2"/>
  <c r="J31" i="2"/>
  <c r="J30" i="2"/>
  <c r="H44" i="2"/>
  <c r="H43" i="2"/>
  <c r="H33" i="2"/>
  <c r="H34" i="2"/>
  <c r="H35" i="2"/>
  <c r="H36" i="2"/>
  <c r="H37" i="2"/>
  <c r="H38" i="2"/>
  <c r="H28" i="2"/>
  <c r="F32" i="2"/>
  <c r="H32" i="2"/>
  <c r="H31" i="2"/>
  <c r="F31" i="2"/>
  <c r="H30" i="2"/>
  <c r="F43" i="2"/>
  <c r="E38" i="2"/>
  <c r="K16" i="2"/>
  <c r="L21" i="2"/>
  <c r="L19" i="2"/>
  <c r="K19" i="2"/>
  <c r="L14" i="2"/>
  <c r="K14" i="2"/>
  <c r="K8" i="2"/>
  <c r="L8" i="2"/>
  <c r="J20" i="2"/>
  <c r="H20" i="2"/>
  <c r="F20" i="2"/>
  <c r="F21" i="2"/>
  <c r="E21" i="2"/>
  <c r="J14" i="2"/>
  <c r="J19" i="2"/>
  <c r="H19" i="2"/>
  <c r="H14" i="2"/>
  <c r="F19" i="2"/>
  <c r="F14" i="2"/>
  <c r="F8" i="2"/>
  <c r="I20" i="3"/>
  <c r="B10" i="1"/>
  <c r="E44" i="2"/>
  <c r="E20" i="2"/>
  <c r="K20" i="3"/>
  <c r="M20" i="3"/>
  <c r="D10" i="1"/>
  <c r="F10" i="1"/>
  <c r="D8" i="1"/>
  <c r="D6" i="1"/>
  <c r="D5" i="1"/>
  <c r="G44" i="2"/>
  <c r="G43" i="2"/>
  <c r="G20" i="2"/>
  <c r="G21" i="2"/>
  <c r="I20" i="2"/>
  <c r="N8" i="3"/>
  <c r="F6" i="1"/>
  <c r="E31" i="2"/>
  <c r="G31" i="2"/>
  <c r="G38" i="2" s="1"/>
  <c r="E13" i="2"/>
  <c r="G13" i="2"/>
  <c r="I43" i="2"/>
  <c r="I31" i="2"/>
  <c r="I38" i="2" s="1"/>
  <c r="I44" i="2" s="1"/>
  <c r="L35" i="2"/>
  <c r="L36" i="2"/>
  <c r="L37" i="2"/>
  <c r="L38" i="2"/>
  <c r="K35" i="2"/>
  <c r="K36" i="2"/>
  <c r="K37" i="2"/>
  <c r="K38" i="2"/>
  <c r="I13" i="2"/>
  <c r="L17" i="2"/>
  <c r="K17" i="2"/>
  <c r="H17" i="2"/>
  <c r="F17" i="2"/>
  <c r="L16" i="2"/>
  <c r="H16" i="2"/>
  <c r="F16" i="2"/>
  <c r="L15" i="2"/>
  <c r="K15" i="2"/>
  <c r="H15" i="2"/>
  <c r="F15" i="2"/>
  <c r="O14" i="3"/>
  <c r="N42" i="3"/>
  <c r="N41" i="3"/>
  <c r="N40" i="3"/>
  <c r="N39" i="3"/>
  <c r="N38" i="3"/>
  <c r="N37" i="3"/>
  <c r="N36" i="3"/>
  <c r="N30" i="3"/>
  <c r="N29" i="3"/>
  <c r="N28" i="3"/>
  <c r="N27" i="3"/>
  <c r="N26" i="3"/>
  <c r="N25" i="3"/>
  <c r="N24" i="3"/>
  <c r="N21" i="3"/>
  <c r="N20" i="3"/>
  <c r="N18" i="3"/>
  <c r="N17" i="3"/>
  <c r="N15" i="3"/>
  <c r="N14" i="3"/>
  <c r="N13" i="3"/>
  <c r="N11" i="3"/>
  <c r="N10" i="3"/>
  <c r="N9" i="3"/>
  <c r="L42" i="3"/>
  <c r="L41" i="3"/>
  <c r="L40" i="3"/>
  <c r="L39" i="3"/>
  <c r="L38" i="3"/>
  <c r="L37" i="3"/>
  <c r="L36" i="3"/>
  <c r="L30" i="3"/>
  <c r="L29" i="3"/>
  <c r="L28" i="3"/>
  <c r="L27" i="3"/>
  <c r="L26" i="3"/>
  <c r="L25" i="3"/>
  <c r="L24" i="3"/>
  <c r="L21" i="3"/>
  <c r="L20" i="3"/>
  <c r="L18" i="3"/>
  <c r="L17" i="3"/>
  <c r="L15" i="3"/>
  <c r="L14" i="3"/>
  <c r="L13" i="3"/>
  <c r="L11" i="3"/>
  <c r="L10" i="3"/>
  <c r="L9" i="3"/>
  <c r="L8" i="3"/>
  <c r="J42" i="3"/>
  <c r="J41" i="3"/>
  <c r="J40" i="3"/>
  <c r="J39" i="3"/>
  <c r="J38" i="3"/>
  <c r="J37" i="3"/>
  <c r="J36" i="3"/>
  <c r="J30" i="3"/>
  <c r="J29" i="3"/>
  <c r="J28" i="3"/>
  <c r="J27" i="3"/>
  <c r="J26" i="3"/>
  <c r="J25" i="3"/>
  <c r="J24" i="3"/>
  <c r="J21" i="3"/>
  <c r="J20" i="3"/>
  <c r="J18" i="3"/>
  <c r="J17" i="3"/>
  <c r="J15" i="3"/>
  <c r="J14" i="3"/>
  <c r="J13" i="3"/>
  <c r="J11" i="3"/>
  <c r="J10" i="3"/>
  <c r="J9" i="3"/>
  <c r="J8" i="3"/>
  <c r="H4" i="1"/>
  <c r="I4" i="1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21" i="3"/>
  <c r="O21" i="3"/>
  <c r="P11" i="3"/>
  <c r="O11" i="3"/>
  <c r="P10" i="3"/>
  <c r="O10" i="3"/>
  <c r="P9" i="3"/>
  <c r="O9" i="3"/>
  <c r="P8" i="3"/>
  <c r="O8" i="3"/>
  <c r="P20" i="3"/>
  <c r="O20" i="3"/>
  <c r="P18" i="3"/>
  <c r="O18" i="3"/>
  <c r="P17" i="3"/>
  <c r="O17" i="3"/>
  <c r="P15" i="3"/>
  <c r="O15" i="3"/>
  <c r="P14" i="3"/>
  <c r="P13" i="3"/>
  <c r="O13" i="3"/>
  <c r="P6" i="3"/>
  <c r="O6" i="3"/>
  <c r="P4" i="3"/>
  <c r="O4" i="3"/>
  <c r="K43" i="2"/>
  <c r="K42" i="2"/>
  <c r="K41" i="2"/>
  <c r="K40" i="2"/>
  <c r="K34" i="2"/>
  <c r="K33" i="2"/>
  <c r="K32" i="2"/>
  <c r="K31" i="2"/>
  <c r="K29" i="2"/>
  <c r="K28" i="2"/>
  <c r="K27" i="2"/>
  <c r="K26" i="2"/>
  <c r="K25" i="2"/>
  <c r="K20" i="2"/>
  <c r="K18" i="2"/>
  <c r="K13" i="2"/>
  <c r="K11" i="2"/>
  <c r="K10" i="2"/>
  <c r="K9" i="2"/>
  <c r="K12" i="2"/>
  <c r="F25" i="2" l="1"/>
  <c r="F33" i="2"/>
  <c r="F34" i="2"/>
  <c r="F35" i="2"/>
  <c r="F36" i="2"/>
  <c r="F37" i="2"/>
  <c r="F30" i="2"/>
  <c r="I21" i="2"/>
  <c r="F29" i="2"/>
  <c r="F10" i="2"/>
  <c r="I5" i="1"/>
  <c r="I6" i="1"/>
  <c r="I8" i="1"/>
  <c r="I9" i="1"/>
  <c r="I10" i="1"/>
  <c r="I11" i="1"/>
  <c r="I14" i="1"/>
  <c r="I15" i="1"/>
  <c r="I16" i="1"/>
  <c r="I18" i="1"/>
  <c r="I19" i="1"/>
  <c r="I21" i="1"/>
  <c r="I22" i="1"/>
  <c r="C22" i="1"/>
  <c r="G6" i="1"/>
  <c r="G8" i="1"/>
  <c r="G9" i="1"/>
  <c r="G10" i="1"/>
  <c r="G11" i="1"/>
  <c r="G13" i="1"/>
  <c r="G14" i="1"/>
  <c r="G15" i="1"/>
  <c r="G16" i="1"/>
  <c r="G17" i="1"/>
  <c r="G18" i="1"/>
  <c r="G19" i="1"/>
  <c r="G21" i="1"/>
  <c r="G22" i="1"/>
  <c r="G5" i="1"/>
  <c r="E11" i="1"/>
  <c r="E6" i="1"/>
  <c r="E8" i="1"/>
  <c r="E9" i="1"/>
  <c r="E10" i="1"/>
  <c r="E13" i="1"/>
  <c r="E14" i="1"/>
  <c r="E15" i="1"/>
  <c r="E16" i="1"/>
  <c r="E18" i="1"/>
  <c r="E19" i="1"/>
  <c r="E21" i="1"/>
  <c r="E22" i="1"/>
  <c r="E5" i="1"/>
  <c r="C11" i="1"/>
  <c r="C9" i="1"/>
  <c r="C8" i="1"/>
  <c r="C5" i="1"/>
  <c r="C10" i="1"/>
  <c r="C13" i="1"/>
  <c r="C14" i="1"/>
  <c r="C15" i="1"/>
  <c r="C16" i="1"/>
  <c r="C18" i="1"/>
  <c r="C19" i="1"/>
  <c r="C21" i="1"/>
  <c r="L44" i="2"/>
  <c r="L43" i="2"/>
  <c r="L42" i="2"/>
  <c r="L41" i="2"/>
  <c r="L40" i="2"/>
  <c r="L34" i="2"/>
  <c r="L33" i="2"/>
  <c r="L32" i="2"/>
  <c r="L31" i="2"/>
  <c r="L29" i="2"/>
  <c r="L28" i="2"/>
  <c r="L27" i="2"/>
  <c r="L26" i="2"/>
  <c r="L25" i="2"/>
  <c r="L20" i="2"/>
  <c r="L18" i="2"/>
  <c r="L13" i="2"/>
  <c r="L12" i="2"/>
  <c r="L11" i="2"/>
  <c r="L10" i="2"/>
  <c r="L9" i="2"/>
  <c r="J42" i="2"/>
  <c r="J41" i="2"/>
  <c r="J40" i="2"/>
  <c r="J43" i="2" s="1"/>
  <c r="J32" i="2"/>
  <c r="J29" i="2"/>
  <c r="J28" i="2"/>
  <c r="J27" i="2"/>
  <c r="J26" i="2"/>
  <c r="J25" i="2"/>
  <c r="H42" i="2"/>
  <c r="H41" i="2"/>
  <c r="H40" i="2"/>
  <c r="H29" i="2"/>
  <c r="H27" i="2"/>
  <c r="H26" i="2"/>
  <c r="H25" i="2"/>
  <c r="F42" i="2"/>
  <c r="F41" i="2"/>
  <c r="F40" i="2"/>
  <c r="F28" i="2"/>
  <c r="F27" i="2"/>
  <c r="F26" i="2"/>
  <c r="J18" i="2"/>
  <c r="J12" i="2"/>
  <c r="J11" i="2"/>
  <c r="J10" i="2"/>
  <c r="J9" i="2"/>
  <c r="H18" i="2"/>
  <c r="H12" i="2"/>
  <c r="H11" i="2"/>
  <c r="H10" i="2"/>
  <c r="H9" i="2"/>
  <c r="H8" i="2"/>
  <c r="H13" i="2" s="1"/>
  <c r="H21" i="2" s="1"/>
  <c r="F18" i="2"/>
  <c r="F12" i="2"/>
  <c r="F11" i="2"/>
  <c r="F9" i="2"/>
  <c r="F13" i="2" s="1"/>
  <c r="F38" i="2" l="1"/>
  <c r="F44" i="2" s="1"/>
  <c r="J17" i="2"/>
  <c r="J16" i="2"/>
  <c r="J15" i="2"/>
  <c r="K21" i="2"/>
  <c r="J8" i="2"/>
  <c r="J13" i="2" s="1"/>
  <c r="J21" i="2" s="1"/>
</calcChain>
</file>

<file path=xl/sharedStrings.xml><?xml version="1.0" encoding="utf-8"?>
<sst xmlns="http://schemas.openxmlformats.org/spreadsheetml/2006/main" count="243" uniqueCount="148">
  <si>
    <t>Microsoft Balance Sheet : Commonsized</t>
  </si>
  <si>
    <t>ASSETS</t>
  </si>
  <si>
    <t>in millions, except per share data</t>
  </si>
  <si>
    <t>Common-Sizing</t>
  </si>
  <si>
    <t>2022-2021</t>
  </si>
  <si>
    <t>2021-2020</t>
  </si>
  <si>
    <t>Current assets</t>
  </si>
  <si>
    <t>Horizontal</t>
  </si>
  <si>
    <t xml:space="preserve">     Cash and cash equivalents</t>
  </si>
  <si>
    <t>Short-Term Investments</t>
  </si>
  <si>
    <t xml:space="preserve">     Accounts receivable - net</t>
  </si>
  <si>
    <t xml:space="preserve">     Inventories</t>
  </si>
  <si>
    <t xml:space="preserve">     Other current assets</t>
  </si>
  <si>
    <t xml:space="preserve">          Total current assets</t>
  </si>
  <si>
    <t xml:space="preserve">Property, Plant, Equipment </t>
  </si>
  <si>
    <t>Operating lease right-of-use assets</t>
  </si>
  <si>
    <t>Equity Investments</t>
  </si>
  <si>
    <t xml:space="preserve">   Goodwill</t>
  </si>
  <si>
    <t>Intangible Assets, net</t>
  </si>
  <si>
    <t xml:space="preserve">Other Long-term assets </t>
  </si>
  <si>
    <t xml:space="preserve">          Total non-current assets</t>
  </si>
  <si>
    <t xml:space="preserve">               Total assets</t>
  </si>
  <si>
    <t>LIABILITIES</t>
  </si>
  <si>
    <t>Current liabilities</t>
  </si>
  <si>
    <t xml:space="preserve">     Accounts payable</t>
  </si>
  <si>
    <t xml:space="preserve">     Other current liabilities</t>
  </si>
  <si>
    <t>Current Portion of Long term debt</t>
  </si>
  <si>
    <t>Accrued compensation</t>
  </si>
  <si>
    <t>Short-term income taxes</t>
  </si>
  <si>
    <t>Short-term unearned revenue</t>
  </si>
  <si>
    <t xml:space="preserve">Total Current Liabilities </t>
  </si>
  <si>
    <t>Long-term debt</t>
  </si>
  <si>
    <t>Long-term income taxes</t>
  </si>
  <si>
    <t>Long-term unearned revenue</t>
  </si>
  <si>
    <t xml:space="preserve">Deffered Income taxes </t>
  </si>
  <si>
    <t xml:space="preserve">Operating Lease liabilities </t>
  </si>
  <si>
    <t xml:space="preserve">Other Long-term liabilities </t>
  </si>
  <si>
    <t xml:space="preserve">Total Liabilites </t>
  </si>
  <si>
    <t>STOCKHOLDERS' EQUITY</t>
  </si>
  <si>
    <t>Common stock</t>
  </si>
  <si>
    <t>Retained earnings</t>
  </si>
  <si>
    <t>Accumulated other comprehensive income/(loss)</t>
  </si>
  <si>
    <t xml:space="preserve">     Total stockholders' (deficit) equity</t>
  </si>
  <si>
    <t xml:space="preserve">          Total liabilities and stockholders' equity</t>
  </si>
  <si>
    <t>INCOME STATEMENT: Microsoft</t>
  </si>
  <si>
    <t xml:space="preserve">Horizontal </t>
  </si>
  <si>
    <t>Net sales</t>
  </si>
  <si>
    <t>Cost of goods sold</t>
  </si>
  <si>
    <t xml:space="preserve">     Gross Profit</t>
  </si>
  <si>
    <t>Operating expenses:</t>
  </si>
  <si>
    <t xml:space="preserve">     Selling, general, and administrative</t>
  </si>
  <si>
    <t>Research and Developement</t>
  </si>
  <si>
    <t xml:space="preserve">          Total operating expenses</t>
  </si>
  <si>
    <t>Operating income</t>
  </si>
  <si>
    <t>Interest and other (income) expense:</t>
  </si>
  <si>
    <t xml:space="preserve">          Interest and other, net</t>
  </si>
  <si>
    <t>Earnings before provision for income taxes</t>
  </si>
  <si>
    <t>Provision for income taxes</t>
  </si>
  <si>
    <t>Net earnings (Net Income)</t>
  </si>
  <si>
    <t>Basic weighted average common shares</t>
  </si>
  <si>
    <t>Basic earnings per share</t>
  </si>
  <si>
    <t>Diluted weighted average common shares</t>
  </si>
  <si>
    <t>Diluted earnings per share</t>
  </si>
  <si>
    <t>Microsoft</t>
  </si>
  <si>
    <t>MICROSOFT CASH FLOW</t>
  </si>
  <si>
    <t>Cash, cash equivalents and restricted cash, beginning balances</t>
  </si>
  <si>
    <t>Cash Flows from Operating Activities</t>
  </si>
  <si>
    <t>Net income</t>
  </si>
  <si>
    <t>Asjustments to recondile net income to cash generated by operating activities:</t>
  </si>
  <si>
    <t xml:space="preserve">     Depreciation and amortization</t>
  </si>
  <si>
    <t xml:space="preserve">     Share-based compensation expense</t>
  </si>
  <si>
    <t>Net recognized gain on investments and derivatives</t>
  </si>
  <si>
    <t>Deffered Income Taxes</t>
  </si>
  <si>
    <t>Changes in operating assets and liabilities:</t>
  </si>
  <si>
    <t xml:space="preserve">     Accounts receivable, net</t>
  </si>
  <si>
    <t>Other long-term assets</t>
  </si>
  <si>
    <t xml:space="preserve">     Account payable</t>
  </si>
  <si>
    <t xml:space="preserve">     Deferred revenue</t>
  </si>
  <si>
    <t>Income Taxes</t>
  </si>
  <si>
    <t xml:space="preserve">     Other current and non-current liabilities</t>
  </si>
  <si>
    <t xml:space="preserve">          Cash generated by operating activities</t>
  </si>
  <si>
    <t>Investing Activities:</t>
  </si>
  <si>
    <t>Additions to property and equipment</t>
  </si>
  <si>
    <t>Acquisition of companies, net of cash acquired, and purchases of intangible and other assets</t>
  </si>
  <si>
    <t>Purchases of investments</t>
  </si>
  <si>
    <t>Maturities of investments</t>
  </si>
  <si>
    <t>Sales of investments</t>
  </si>
  <si>
    <t>Other</t>
  </si>
  <si>
    <t xml:space="preserve">          Cash used in investing activities</t>
  </si>
  <si>
    <t xml:space="preserve">Effect of Foreign Exchange rates on cash and cash equiv. </t>
  </si>
  <si>
    <t xml:space="preserve">Cash and Cash equiv. </t>
  </si>
  <si>
    <t xml:space="preserve">Cash and Cash equiv. beggining of period </t>
  </si>
  <si>
    <t xml:space="preserve">Cash and Cash equiv. end of period </t>
  </si>
  <si>
    <t>Financing Acitivities:</t>
  </si>
  <si>
    <t>Cash premium on debt exchange</t>
  </si>
  <si>
    <t>Repayments of debt</t>
  </si>
  <si>
    <t>Common stock issued</t>
  </si>
  <si>
    <t>Common stock repurchased</t>
  </si>
  <si>
    <t>Common stock cash dividends paid</t>
  </si>
  <si>
    <t>Other, net</t>
  </si>
  <si>
    <t>Net cash used in financing</t>
  </si>
  <si>
    <t>2022-2020</t>
  </si>
  <si>
    <t>Ratios</t>
  </si>
  <si>
    <t>Formulas</t>
  </si>
  <si>
    <t>1. Current Ratio</t>
  </si>
  <si>
    <t>Current Assets / Current Liabilities</t>
  </si>
  <si>
    <t>Industry Avg.</t>
  </si>
  <si>
    <t>2.  Quick Ratio</t>
  </si>
  <si>
    <t>(Current Assets - Inventories) / Current Liabilities</t>
  </si>
  <si>
    <t>3.  Inventory Rurnover</t>
  </si>
  <si>
    <t>Sales / Inventory</t>
  </si>
  <si>
    <t>4.  Days Sales Outstanding</t>
  </si>
  <si>
    <t>Account Receivables / (Annual Sales / 365)</t>
  </si>
  <si>
    <t>5.  Days Payable outstanding</t>
  </si>
  <si>
    <t>6. Fixed Asset Turnover</t>
  </si>
  <si>
    <t>Sales / Net Fixed Assets</t>
  </si>
  <si>
    <t>7. Total Asset Turnover</t>
  </si>
  <si>
    <t>Sales / Total Assets</t>
  </si>
  <si>
    <t>8.  Debt Ratio</t>
  </si>
  <si>
    <t>Total Debt / Total Assets</t>
  </si>
  <si>
    <t>9.  TIE (Timrs-Interest-Earned)</t>
  </si>
  <si>
    <t>EBIT / Interest Charges</t>
  </si>
  <si>
    <t>10.  Operating Profit Margin</t>
  </si>
  <si>
    <t>EBIT / Sales</t>
  </si>
  <si>
    <t>11. Profit Margin</t>
  </si>
  <si>
    <t>Net Income / Sales</t>
  </si>
  <si>
    <t>12.  ROA (Return on Total Assets)</t>
  </si>
  <si>
    <t>Net Income / Total Assets</t>
  </si>
  <si>
    <t>13.  ROE (Return on Common Equity)</t>
  </si>
  <si>
    <t>Net Income / (Common Stock + Retained Earnings)</t>
  </si>
  <si>
    <t>14.  ROIC (Return on Invested Capital)</t>
  </si>
  <si>
    <t>Net Operating Profit after Tax (NOPAT) / Total Invested Capital</t>
  </si>
  <si>
    <t>15.  BEP (Basic Earning power)</t>
  </si>
  <si>
    <t>16. P/E Ratio</t>
  </si>
  <si>
    <t>Price per Share / Earning per Share</t>
  </si>
  <si>
    <t>17. Market/Book Ratio</t>
  </si>
  <si>
    <t>Market Price per Share / Book Value per Share</t>
  </si>
  <si>
    <t>18.  EPS</t>
  </si>
  <si>
    <t>(Net Income - Preferred Dividends) / (Common Shares Outstanding)</t>
  </si>
  <si>
    <t>19.  Dividend Yield</t>
  </si>
  <si>
    <t>20.  DuPont Formula</t>
  </si>
  <si>
    <t>(Net Income / Sales) * (Sales/Total Assets) * (Total Assets / Total Equity)</t>
  </si>
  <si>
    <t>EBIT / Total Assets</t>
  </si>
  <si>
    <t>Account Payables / (COGS / 365)</t>
  </si>
  <si>
    <t>N/A</t>
  </si>
  <si>
    <t>Price per Share</t>
  </si>
  <si>
    <t>Annual Dividends / Price per Share</t>
  </si>
  <si>
    <t>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</si>
</sst>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venir Book"/>
      <family val="2"/>
    </font>
    <font>
      <sz val="11"/>
      <color theme="1"/>
      <name val="Avenir Book"/>
      <family val="2"/>
    </font>
    <font>
      <sz val="9"/>
      <color theme="1"/>
      <name val="Avenir Book"/>
      <family val="2"/>
    </font>
    <font>
      <sz val="10"/>
      <color theme="1"/>
      <name val="Avenir Book"/>
      <family val="2"/>
    </font>
    <font>
      <sz val="8"/>
      <color theme="1"/>
      <name val="Avenir Book"/>
      <family val="2"/>
    </font>
    <font>
      <sz val="11"/>
      <color rgb="FF000000"/>
      <name val="Avenir Book"/>
      <family val="2"/>
    </font>
    <font>
      <b/>
      <sz val="11"/>
      <color theme="1"/>
      <name val="Avenir Book"/>
      <family val="2"/>
    </font>
    <font>
      <b/>
      <sz val="12"/>
      <color theme="1"/>
      <name val="Avenir Book"/>
      <family val="2"/>
    </font>
    <font>
      <b/>
      <sz val="16"/>
      <color theme="1"/>
      <name val="Avenir Book"/>
      <family val="2"/>
    </font>
    <font>
      <sz val="12"/>
      <color rgb="FF000000"/>
      <name val="Avenir Book"/>
      <family val="2"/>
    </font>
    <font>
      <sz val="12"/>
      <color theme="1"/>
      <name val="Avenir Book"/>
      <family val="2"/>
    </font>
    <font>
      <sz val="13.5"/>
      <color rgb="FF000000"/>
      <name val="Times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5" fillId="0" borderId="4" xfId="0" applyFont="1" applyBorder="1"/>
    <xf numFmtId="9" fontId="3" fillId="2" borderId="2" xfId="1" applyFont="1" applyFill="1" applyBorder="1"/>
    <xf numFmtId="0" fontId="2" fillId="2" borderId="1" xfId="0" applyFont="1" applyFill="1" applyBorder="1"/>
    <xf numFmtId="0" fontId="6" fillId="2" borderId="1" xfId="0" applyFont="1" applyFill="1" applyBorder="1"/>
    <xf numFmtId="9" fontId="3" fillId="0" borderId="0" xfId="1" applyFont="1"/>
    <xf numFmtId="0" fontId="5" fillId="0" borderId="5" xfId="0" applyFont="1" applyBorder="1"/>
    <xf numFmtId="0" fontId="3" fillId="2" borderId="0" xfId="0" applyFont="1" applyFill="1" applyAlignment="1">
      <alignment horizontal="center"/>
    </xf>
    <xf numFmtId="9" fontId="3" fillId="2" borderId="0" xfId="1" applyFont="1" applyFill="1"/>
    <xf numFmtId="9" fontId="3" fillId="0" borderId="6" xfId="1" applyFont="1" applyFill="1" applyBorder="1"/>
    <xf numFmtId="9" fontId="3" fillId="0" borderId="0" xfId="1" applyFont="1" applyFill="1"/>
    <xf numFmtId="164" fontId="3" fillId="0" borderId="4" xfId="2" applyNumberFormat="1" applyFont="1" applyFill="1" applyBorder="1"/>
    <xf numFmtId="164" fontId="3" fillId="0" borderId="0" xfId="2" applyNumberFormat="1" applyFont="1" applyFill="1"/>
    <xf numFmtId="9" fontId="3" fillId="0" borderId="0" xfId="1" applyFont="1" applyFill="1" applyBorder="1"/>
    <xf numFmtId="9" fontId="3" fillId="0" borderId="3" xfId="1" applyFont="1" applyFill="1" applyBorder="1"/>
    <xf numFmtId="0" fontId="3" fillId="2" borderId="15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3" borderId="0" xfId="0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3" fillId="3" borderId="18" xfId="0" applyFont="1" applyFill="1" applyBorder="1"/>
    <xf numFmtId="0" fontId="0" fillId="3" borderId="18" xfId="0" applyFill="1" applyBorder="1"/>
    <xf numFmtId="0" fontId="5" fillId="3" borderId="18" xfId="0" applyFont="1" applyFill="1" applyBorder="1"/>
    <xf numFmtId="0" fontId="0" fillId="0" borderId="18" xfId="0" applyBorder="1"/>
    <xf numFmtId="0" fontId="3" fillId="0" borderId="18" xfId="0" applyFont="1" applyBorder="1"/>
    <xf numFmtId="10" fontId="3" fillId="3" borderId="18" xfId="0" applyNumberFormat="1" applyFont="1" applyFill="1" applyBorder="1"/>
    <xf numFmtId="10" fontId="3" fillId="0" borderId="5" xfId="1" applyNumberFormat="1" applyFont="1" applyFill="1" applyBorder="1"/>
    <xf numFmtId="10" fontId="3" fillId="0" borderId="6" xfId="1" applyNumberFormat="1" applyFont="1" applyFill="1" applyBorder="1"/>
    <xf numFmtId="10" fontId="3" fillId="0" borderId="3" xfId="1" applyNumberFormat="1" applyFont="1" applyFill="1" applyBorder="1"/>
    <xf numFmtId="10" fontId="3" fillId="0" borderId="7" xfId="1" applyNumberFormat="1" applyFont="1" applyFill="1" applyBorder="1"/>
    <xf numFmtId="10" fontId="3" fillId="0" borderId="13" xfId="1" applyNumberFormat="1" applyFont="1" applyFill="1" applyBorder="1"/>
    <xf numFmtId="10" fontId="3" fillId="0" borderId="11" xfId="1" applyNumberFormat="1" applyFont="1" applyFill="1" applyBorder="1"/>
    <xf numFmtId="10" fontId="3" fillId="0" borderId="14" xfId="1" applyNumberFormat="1" applyFont="1" applyFill="1" applyBorder="1"/>
    <xf numFmtId="10" fontId="3" fillId="0" borderId="0" xfId="1" applyNumberFormat="1" applyFont="1" applyFill="1"/>
    <xf numFmtId="10" fontId="3" fillId="0" borderId="1" xfId="1" applyNumberFormat="1" applyFont="1" applyFill="1" applyBorder="1"/>
    <xf numFmtId="10" fontId="3" fillId="0" borderId="15" xfId="1" applyNumberFormat="1" applyFont="1" applyFill="1" applyBorder="1"/>
    <xf numFmtId="10" fontId="3" fillId="0" borderId="0" xfId="1" applyNumberFormat="1" applyFont="1" applyFill="1" applyBorder="1"/>
    <xf numFmtId="10" fontId="3" fillId="0" borderId="12" xfId="1" applyNumberFormat="1" applyFont="1" applyFill="1" applyBorder="1"/>
    <xf numFmtId="10" fontId="3" fillId="0" borderId="8" xfId="1" applyNumberFormat="1" applyFont="1" applyFill="1" applyBorder="1"/>
    <xf numFmtId="10" fontId="3" fillId="0" borderId="16" xfId="1" applyNumberFormat="1" applyFont="1" applyFill="1" applyBorder="1"/>
    <xf numFmtId="10" fontId="3" fillId="0" borderId="17" xfId="1" applyNumberFormat="1" applyFont="1" applyFill="1" applyBorder="1"/>
    <xf numFmtId="10" fontId="3" fillId="0" borderId="10" xfId="1" applyNumberFormat="1" applyFont="1" applyFill="1" applyBorder="1"/>
    <xf numFmtId="10" fontId="3" fillId="3" borderId="18" xfId="1" applyNumberFormat="1" applyFont="1" applyFill="1" applyBorder="1"/>
    <xf numFmtId="10" fontId="3" fillId="0" borderId="18" xfId="0" applyNumberFormat="1" applyFont="1" applyBorder="1"/>
    <xf numFmtId="0" fontId="3" fillId="3" borderId="20" xfId="0" applyFont="1" applyFill="1" applyBorder="1"/>
    <xf numFmtId="0" fontId="8" fillId="2" borderId="0" xfId="0" applyFont="1" applyFill="1"/>
    <xf numFmtId="0" fontId="9" fillId="0" borderId="0" xfId="0" applyFont="1"/>
    <xf numFmtId="0" fontId="10" fillId="0" borderId="0" xfId="0" applyFont="1"/>
    <xf numFmtId="0" fontId="3" fillId="2" borderId="2" xfId="0" applyFont="1" applyFill="1" applyBorder="1"/>
    <xf numFmtId="0" fontId="9" fillId="2" borderId="0" xfId="0" applyFont="1" applyFill="1"/>
    <xf numFmtId="164" fontId="3" fillId="0" borderId="0" xfId="2" applyNumberFormat="1" applyFont="1"/>
    <xf numFmtId="10" fontId="3" fillId="0" borderId="0" xfId="1" applyNumberFormat="1" applyFont="1"/>
    <xf numFmtId="10" fontId="3" fillId="2" borderId="0" xfId="1" applyNumberFormat="1" applyFont="1" applyFill="1"/>
    <xf numFmtId="164" fontId="3" fillId="2" borderId="0" xfId="2" applyNumberFormat="1" applyFont="1" applyFill="1"/>
    <xf numFmtId="0" fontId="11" fillId="0" borderId="0" xfId="0" applyFont="1"/>
    <xf numFmtId="0" fontId="12" fillId="0" borderId="0" xfId="0" applyFont="1"/>
    <xf numFmtId="10" fontId="3" fillId="0" borderId="21" xfId="1" applyNumberFormat="1" applyFont="1" applyFill="1" applyBorder="1"/>
    <xf numFmtId="0" fontId="13" fillId="0" borderId="0" xfId="0" applyFont="1"/>
    <xf numFmtId="0" fontId="14" fillId="0" borderId="0" xfId="0" applyFont="1"/>
    <xf numFmtId="164" fontId="3" fillId="0" borderId="6" xfId="2" applyNumberFormat="1" applyFont="1" applyFill="1" applyBorder="1"/>
    <xf numFmtId="164" fontId="3" fillId="0" borderId="0" xfId="2" applyNumberFormat="1" applyFont="1" applyFill="1" applyBorder="1"/>
    <xf numFmtId="164" fontId="3" fillId="0" borderId="3" xfId="2" applyNumberFormat="1" applyFont="1" applyFill="1" applyBorder="1"/>
    <xf numFmtId="42" fontId="3" fillId="0" borderId="0" xfId="0" applyNumberFormat="1" applyFont="1"/>
    <xf numFmtId="41" fontId="3" fillId="0" borderId="0" xfId="0" applyNumberFormat="1" applyFont="1"/>
    <xf numFmtId="0" fontId="3" fillId="0" borderId="4" xfId="0" applyFont="1" applyBorder="1"/>
    <xf numFmtId="0" fontId="5" fillId="0" borderId="15" xfId="0" applyFont="1" applyBorder="1"/>
    <xf numFmtId="164" fontId="3" fillId="0" borderId="5" xfId="2" applyNumberFormat="1" applyFont="1" applyFill="1" applyBorder="1"/>
    <xf numFmtId="164" fontId="3" fillId="0" borderId="16" xfId="2" applyNumberFormat="1" applyFont="1" applyFill="1" applyBorder="1"/>
    <xf numFmtId="164" fontId="3" fillId="0" borderId="7" xfId="2" applyNumberFormat="1" applyFont="1" applyFill="1" applyBorder="1"/>
    <xf numFmtId="164" fontId="3" fillId="0" borderId="9" xfId="2" applyNumberFormat="1" applyFont="1" applyFill="1" applyBorder="1"/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/>
    <xf numFmtId="0" fontId="5" fillId="0" borderId="18" xfId="0" applyFont="1" applyBorder="1"/>
    <xf numFmtId="42" fontId="3" fillId="0" borderId="19" xfId="0" applyNumberFormat="1" applyFont="1" applyBorder="1"/>
    <xf numFmtId="10" fontId="3" fillId="0" borderId="18" xfId="1" applyNumberFormat="1" applyFont="1" applyFill="1" applyBorder="1"/>
    <xf numFmtId="42" fontId="3" fillId="0" borderId="18" xfId="0" applyNumberFormat="1" applyFont="1" applyBorder="1"/>
    <xf numFmtId="41" fontId="3" fillId="0" borderId="19" xfId="0" applyNumberFormat="1" applyFont="1" applyBorder="1"/>
    <xf numFmtId="41" fontId="3" fillId="0" borderId="18" xfId="0" applyNumberFormat="1" applyFont="1" applyBorder="1"/>
    <xf numFmtId="41" fontId="7" fillId="0" borderId="19" xfId="0" applyNumberFormat="1" applyFont="1" applyBorder="1"/>
    <xf numFmtId="41" fontId="7" fillId="0" borderId="18" xfId="0" applyNumberFormat="1" applyFont="1" applyBorder="1"/>
    <xf numFmtId="44" fontId="3" fillId="0" borderId="19" xfId="0" applyNumberFormat="1" applyFont="1" applyBorder="1"/>
    <xf numFmtId="44" fontId="3" fillId="0" borderId="18" xfId="0" applyNumberFormat="1" applyFont="1" applyBorder="1"/>
    <xf numFmtId="0" fontId="8" fillId="0" borderId="0" xfId="0" applyFont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9" xfId="0" applyFont="1" applyBorder="1"/>
    <xf numFmtId="2" fontId="3" fillId="0" borderId="24" xfId="0" applyNumberFormat="1" applyFont="1" applyBorder="1"/>
    <xf numFmtId="2" fontId="3" fillId="0" borderId="30" xfId="0" applyNumberFormat="1" applyFont="1" applyBorder="1"/>
    <xf numFmtId="2" fontId="3" fillId="0" borderId="25" xfId="0" applyNumberFormat="1" applyFont="1" applyBorder="1"/>
    <xf numFmtId="2" fontId="3" fillId="0" borderId="27" xfId="0" applyNumberFormat="1" applyFont="1" applyBorder="1"/>
    <xf numFmtId="2" fontId="3" fillId="0" borderId="28" xfId="0" applyNumberFormat="1" applyFont="1" applyBorder="1"/>
    <xf numFmtId="10" fontId="3" fillId="0" borderId="27" xfId="0" applyNumberFormat="1" applyFont="1" applyBorder="1" applyAlignment="1">
      <alignment horizontal="right"/>
    </xf>
    <xf numFmtId="10" fontId="3" fillId="0" borderId="28" xfId="0" applyNumberFormat="1" applyFont="1" applyBorder="1" applyAlignment="1">
      <alignment horizontal="right"/>
    </xf>
    <xf numFmtId="10" fontId="3" fillId="0" borderId="24" xfId="0" applyNumberFormat="1" applyFont="1" applyBorder="1" applyAlignment="1">
      <alignment horizontal="right"/>
    </xf>
    <xf numFmtId="10" fontId="3" fillId="0" borderId="25" xfId="0" applyNumberFormat="1" applyFont="1" applyBorder="1" applyAlignment="1">
      <alignment horizontal="right"/>
    </xf>
    <xf numFmtId="0" fontId="3" fillId="0" borderId="27" xfId="0" applyFont="1" applyFill="1" applyBorder="1"/>
    <xf numFmtId="2" fontId="3" fillId="0" borderId="28" xfId="0" applyNumberFormat="1" applyFont="1" applyFill="1" applyBorder="1"/>
    <xf numFmtId="2" fontId="3" fillId="0" borderId="24" xfId="0" applyNumberFormat="1" applyFont="1" applyFill="1" applyBorder="1"/>
    <xf numFmtId="2" fontId="3" fillId="0" borderId="25" xfId="0" applyNumberFormat="1" applyFont="1" applyFill="1" applyBorder="1"/>
    <xf numFmtId="10" fontId="3" fillId="0" borderId="27" xfId="0" applyNumberFormat="1" applyFont="1" applyFill="1" applyBorder="1" applyAlignment="1">
      <alignment horizontal="right"/>
    </xf>
    <xf numFmtId="10" fontId="3" fillId="0" borderId="28" xfId="0" applyNumberFormat="1" applyFont="1" applyFill="1" applyBorder="1" applyAlignment="1">
      <alignment horizontal="right"/>
    </xf>
    <xf numFmtId="2" fontId="3" fillId="0" borderId="30" xfId="0" applyNumberFormat="1" applyFont="1" applyFill="1" applyBorder="1"/>
    <xf numFmtId="10" fontId="3" fillId="0" borderId="24" xfId="0" applyNumberFormat="1" applyFont="1" applyFill="1" applyBorder="1" applyAlignment="1">
      <alignment horizontal="right"/>
    </xf>
    <xf numFmtId="10" fontId="3" fillId="0" borderId="25" xfId="0" applyNumberFormat="1" applyFont="1" applyFill="1" applyBorder="1" applyAlignment="1">
      <alignment horizontal="right"/>
    </xf>
    <xf numFmtId="10" fontId="3" fillId="0" borderId="24" xfId="0" applyNumberFormat="1" applyFont="1" applyFill="1" applyBorder="1"/>
    <xf numFmtId="10" fontId="3" fillId="0" borderId="25" xfId="0" applyNumberFormat="1" applyFont="1" applyFill="1" applyBorder="1"/>
    <xf numFmtId="10" fontId="3" fillId="0" borderId="24" xfId="1" applyNumberFormat="1" applyFont="1" applyFill="1" applyBorder="1"/>
    <xf numFmtId="10" fontId="3" fillId="0" borderId="30" xfId="1" applyNumberFormat="1" applyFont="1" applyFill="1" applyBorder="1"/>
    <xf numFmtId="10" fontId="3" fillId="0" borderId="27" xfId="0" applyNumberFormat="1" applyFont="1" applyFill="1" applyBorder="1"/>
    <xf numFmtId="10" fontId="3" fillId="0" borderId="31" xfId="0" applyNumberFormat="1" applyFont="1" applyFill="1" applyBorder="1"/>
    <xf numFmtId="10" fontId="3" fillId="0" borderId="32" xfId="0" applyNumberFormat="1" applyFont="1" applyFill="1" applyBorder="1"/>
    <xf numFmtId="2" fontId="3" fillId="0" borderId="33" xfId="0" applyNumberFormat="1" applyFont="1" applyFill="1" applyBorder="1"/>
    <xf numFmtId="2" fontId="3" fillId="0" borderId="34" xfId="0" applyNumberFormat="1" applyFont="1" applyFill="1" applyBorder="1"/>
    <xf numFmtId="2" fontId="3" fillId="0" borderId="35" xfId="0" applyNumberFormat="1" applyFont="1" applyFill="1" applyBorder="1"/>
    <xf numFmtId="2" fontId="3" fillId="0" borderId="27" xfId="0" applyNumberFormat="1" applyFont="1" applyFill="1" applyBorder="1"/>
    <xf numFmtId="2" fontId="3" fillId="0" borderId="36" xfId="0" applyNumberFormat="1" applyFont="1" applyFill="1" applyBorder="1"/>
    <xf numFmtId="2" fontId="3" fillId="0" borderId="31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7C14-B8AB-684D-BB33-E8317786A81B}">
  <dimension ref="A3:E47"/>
  <sheetViews>
    <sheetView tabSelected="1" topLeftCell="B1" workbookViewId="0">
      <selection activeCell="C7" sqref="C7:E37"/>
    </sheetView>
  </sheetViews>
  <sheetFormatPr baseColWidth="10" defaultRowHeight="15"/>
  <cols>
    <col min="1" max="1" width="33.6640625" bestFit="1" customWidth="1"/>
    <col min="2" max="2" width="62.5" bestFit="1" customWidth="1"/>
    <col min="5" max="5" width="12.1640625" bestFit="1" customWidth="1"/>
  </cols>
  <sheetData>
    <row r="3" spans="1:5" ht="17" thickBot="1">
      <c r="A3" s="92" t="s">
        <v>102</v>
      </c>
      <c r="B3" s="92" t="s">
        <v>103</v>
      </c>
      <c r="C3" s="92">
        <v>2022</v>
      </c>
      <c r="D3" s="92">
        <v>2021</v>
      </c>
      <c r="E3" s="92">
        <v>2020</v>
      </c>
    </row>
    <row r="4" spans="1:5" ht="16">
      <c r="A4" s="93" t="s">
        <v>104</v>
      </c>
      <c r="B4" s="94" t="s">
        <v>105</v>
      </c>
      <c r="C4" s="98">
        <f>'Balance Sheet'!E13/'Balance Sheet'!E31</f>
        <v>1.7846069708251824</v>
      </c>
      <c r="D4" s="98">
        <f>'Balance Sheet'!G13/'Balance Sheet'!G31</f>
        <v>2.0799936835218875</v>
      </c>
      <c r="E4" s="100">
        <f>'Balance Sheet'!I13/'Balance Sheet'!I31</f>
        <v>2.5157654542940118</v>
      </c>
    </row>
    <row r="5" spans="1:5" ht="17" thickBot="1">
      <c r="A5" s="95" t="s">
        <v>106</v>
      </c>
      <c r="B5" s="96"/>
      <c r="C5" s="103" t="s">
        <v>144</v>
      </c>
      <c r="D5" s="103" t="s">
        <v>144</v>
      </c>
      <c r="E5" s="104" t="s">
        <v>144</v>
      </c>
    </row>
    <row r="6" spans="1:5" ht="16">
      <c r="A6" s="97" t="s">
        <v>107</v>
      </c>
      <c r="B6" s="94" t="s">
        <v>108</v>
      </c>
      <c r="C6" s="98">
        <f>('Balance Sheet'!$E$13-'Balance Sheet'!$E$11)/'Balance Sheet'!$E$31</f>
        <v>1.7452514671546664</v>
      </c>
      <c r="D6" s="98">
        <f>('Balance Sheet'!$G$13-'Balance Sheet'!$G$11)/'Balance Sheet'!$G$31</f>
        <v>2.0502611186933914</v>
      </c>
      <c r="E6" s="100">
        <f>('Balance Sheet'!$I$13-'Balance Sheet'!$I$11)/'Balance Sheet'!$I$31</f>
        <v>2.4895588438666851</v>
      </c>
    </row>
    <row r="7" spans="1:5" ht="17" thickBot="1">
      <c r="A7" s="95" t="s">
        <v>106</v>
      </c>
      <c r="B7" s="96"/>
      <c r="C7" s="107">
        <v>0.43</v>
      </c>
      <c r="D7" s="107">
        <v>1.1499999999999999</v>
      </c>
      <c r="E7" s="108">
        <v>1.48</v>
      </c>
    </row>
    <row r="8" spans="1:5" ht="16">
      <c r="A8" s="97" t="s">
        <v>109</v>
      </c>
      <c r="B8" s="94" t="s">
        <v>110</v>
      </c>
      <c r="C8" s="109">
        <f>'Income Statement'!B4/'Balance Sheet'!E11</f>
        <v>52.985034740780328</v>
      </c>
      <c r="D8" s="109">
        <f>'Income Statement'!D4/'Balance Sheet'!G11</f>
        <v>63.76631259484067</v>
      </c>
      <c r="E8" s="110">
        <f>'Income Statement'!F4/'Balance Sheet'!I11</f>
        <v>75.469656992084438</v>
      </c>
    </row>
    <row r="9" spans="1:5" ht="17" thickBot="1">
      <c r="A9" s="95" t="s">
        <v>106</v>
      </c>
      <c r="B9" s="96"/>
      <c r="C9" s="111" t="s">
        <v>144</v>
      </c>
      <c r="D9" s="111" t="s">
        <v>144</v>
      </c>
      <c r="E9" s="112" t="s">
        <v>144</v>
      </c>
    </row>
    <row r="10" spans="1:5" ht="16">
      <c r="A10" s="97" t="s">
        <v>111</v>
      </c>
      <c r="B10" s="94" t="s">
        <v>112</v>
      </c>
      <c r="C10" s="109">
        <f>'Balance Sheet'!E10/('Income Statement'!B4/365)</f>
        <v>81.481136833610734</v>
      </c>
      <c r="D10" s="109">
        <f>'Balance Sheet'!G10/('Income Statement'!D4/365)</f>
        <v>82.609674694207797</v>
      </c>
      <c r="E10" s="110">
        <f>'Balance Sheet'!I10/('Income Statement'!F4/365)</f>
        <v>81.697828899066536</v>
      </c>
    </row>
    <row r="11" spans="1:5" ht="17" thickBot="1">
      <c r="A11" s="95" t="s">
        <v>106</v>
      </c>
      <c r="B11" s="96"/>
      <c r="C11" s="111" t="s">
        <v>144</v>
      </c>
      <c r="D11" s="111" t="s">
        <v>144</v>
      </c>
      <c r="E11" s="112" t="s">
        <v>144</v>
      </c>
    </row>
    <row r="12" spans="1:5" ht="16">
      <c r="A12" s="97" t="s">
        <v>113</v>
      </c>
      <c r="B12" s="94" t="s">
        <v>143</v>
      </c>
      <c r="C12" s="109">
        <f>'Balance Sheet'!E25/('Income Statement'!B5/365)</f>
        <v>110.69433359936153</v>
      </c>
      <c r="D12" s="109">
        <f>'Balance Sheet'!G25/('Income Statement'!D5/365)</f>
        <v>105.95985219788635</v>
      </c>
      <c r="E12" s="113">
        <f>'Balance Sheet'!I25/('Income Statement'!F5/365)</f>
        <v>99.254524935978125</v>
      </c>
    </row>
    <row r="13" spans="1:5" ht="17" thickBot="1">
      <c r="A13" s="95" t="s">
        <v>106</v>
      </c>
      <c r="B13" s="96"/>
      <c r="C13" s="111" t="s">
        <v>144</v>
      </c>
      <c r="D13" s="111" t="s">
        <v>144</v>
      </c>
      <c r="E13" s="112" t="s">
        <v>144</v>
      </c>
    </row>
    <row r="14" spans="1:5" ht="16">
      <c r="A14" s="93" t="s">
        <v>114</v>
      </c>
      <c r="B14" s="94" t="s">
        <v>115</v>
      </c>
      <c r="C14" s="114" t="s">
        <v>144</v>
      </c>
      <c r="D14" s="114" t="s">
        <v>144</v>
      </c>
      <c r="E14" s="115" t="s">
        <v>144</v>
      </c>
    </row>
    <row r="15" spans="1:5" ht="17" thickBot="1">
      <c r="A15" s="95" t="s">
        <v>106</v>
      </c>
      <c r="B15" s="96"/>
      <c r="C15" s="111" t="s">
        <v>144</v>
      </c>
      <c r="D15" s="111" t="s">
        <v>144</v>
      </c>
      <c r="E15" s="112" t="s">
        <v>144</v>
      </c>
    </row>
    <row r="16" spans="1:5" ht="16">
      <c r="A16" s="97" t="s">
        <v>116</v>
      </c>
      <c r="B16" s="94" t="s">
        <v>117</v>
      </c>
      <c r="C16" s="116">
        <f>'Income Statement'!B4/'Balance Sheet'!E21</f>
        <v>0.54344370134853637</v>
      </c>
      <c r="D16" s="116">
        <f>'Income Statement'!D4/'Balance Sheet'!G21</f>
        <v>0.50359069923512267</v>
      </c>
      <c r="E16" s="117">
        <f>'Income Statement'!F4/'Balance Sheet'!I21</f>
        <v>0.47464247903329121</v>
      </c>
    </row>
    <row r="17" spans="1:5" ht="17" thickBot="1">
      <c r="A17" s="95" t="s">
        <v>106</v>
      </c>
      <c r="B17" s="96"/>
      <c r="C17" s="111" t="s">
        <v>144</v>
      </c>
      <c r="D17" s="111" t="s">
        <v>144</v>
      </c>
      <c r="E17" s="112" t="s">
        <v>144</v>
      </c>
    </row>
    <row r="18" spans="1:5" ht="16">
      <c r="A18" s="97" t="s">
        <v>118</v>
      </c>
      <c r="B18" s="94" t="s">
        <v>119</v>
      </c>
      <c r="C18" s="116">
        <f>('Balance Sheet'!E27+'Balance Sheet'!E32)/'Balance Sheet'!E21</f>
        <v>0.13644611336476264</v>
      </c>
      <c r="D18" s="116">
        <f>('Balance Sheet'!G27+'Balance Sheet'!G32)/'Balance Sheet'!G21</f>
        <v>0.17420508779761459</v>
      </c>
      <c r="E18" s="117">
        <f>('Balance Sheet'!I27+'Balance Sheet'!I32)/'Balance Sheet'!I21</f>
        <v>0.21017155032507939</v>
      </c>
    </row>
    <row r="19" spans="1:5" ht="17" thickBot="1">
      <c r="A19" s="95" t="s">
        <v>106</v>
      </c>
      <c r="B19" s="96"/>
      <c r="C19" s="111" t="s">
        <v>144</v>
      </c>
      <c r="D19" s="111" t="s">
        <v>144</v>
      </c>
      <c r="E19" s="112" t="s">
        <v>144</v>
      </c>
    </row>
    <row r="20" spans="1:5" ht="16">
      <c r="A20" s="97" t="s">
        <v>120</v>
      </c>
      <c r="B20" s="94" t="s">
        <v>121</v>
      </c>
      <c r="C20" s="109">
        <f>'Income Statement'!B14/'Income Statement'!B13</f>
        <v>251.39939939939939</v>
      </c>
      <c r="D20" s="109">
        <f>'Income Statement'!D14/'Income Statement'!D13</f>
        <v>59.951096121416526</v>
      </c>
      <c r="E20" s="110">
        <f>'Income Statement'!F14/'Income Statement'!F13</f>
        <v>688.77922077922074</v>
      </c>
    </row>
    <row r="21" spans="1:5" ht="17" thickBot="1">
      <c r="A21" s="95" t="s">
        <v>106</v>
      </c>
      <c r="B21" s="96"/>
      <c r="C21" s="111" t="s">
        <v>144</v>
      </c>
      <c r="D21" s="111" t="s">
        <v>144</v>
      </c>
      <c r="E21" s="112" t="s">
        <v>144</v>
      </c>
    </row>
    <row r="22" spans="1:5" ht="16">
      <c r="A22" s="97" t="s">
        <v>122</v>
      </c>
      <c r="B22" s="94" t="s">
        <v>123</v>
      </c>
      <c r="C22" s="118">
        <f>'Income Statement'!$B$14/'Income Statement'!$B$4</f>
        <v>0.42223230947697582</v>
      </c>
      <c r="D22" s="118">
        <f>'Income Statement'!$D$14/'Income Statement'!$D$4</f>
        <v>0.4230046166293846</v>
      </c>
      <c r="E22" s="119">
        <f>'Income Statement'!$F$14/'Income Statement'!$F$4</f>
        <v>0.37084221934762091</v>
      </c>
    </row>
    <row r="23" spans="1:5" ht="17" thickBot="1">
      <c r="A23" s="95" t="s">
        <v>106</v>
      </c>
      <c r="B23" s="96"/>
      <c r="C23" s="120">
        <v>0.16900000000000001</v>
      </c>
      <c r="D23" s="120">
        <v>0.184</v>
      </c>
      <c r="E23" s="121">
        <v>0.14199999999999999</v>
      </c>
    </row>
    <row r="24" spans="1:5" ht="16">
      <c r="A24" s="93" t="s">
        <v>124</v>
      </c>
      <c r="B24" s="94" t="s">
        <v>125</v>
      </c>
      <c r="C24" s="116">
        <f>'Income Statement'!B16/'Income Statement'!B4</f>
        <v>0.36686336813436221</v>
      </c>
      <c r="D24" s="116">
        <f>'Income Statement'!D16/'Income Statement'!D4</f>
        <v>0.36451739564989766</v>
      </c>
      <c r="E24" s="113">
        <f>'Income Statement'!F16/'Income Statement'!F4</f>
        <v>0.30962486452470023</v>
      </c>
    </row>
    <row r="25" spans="1:5" ht="17" thickBot="1">
      <c r="A25" s="95" t="s">
        <v>106</v>
      </c>
      <c r="B25" s="96"/>
      <c r="C25" s="122">
        <v>0.23657400000000001</v>
      </c>
      <c r="D25" s="122">
        <v>0.24513299999999999</v>
      </c>
      <c r="E25" s="121">
        <v>0.189975</v>
      </c>
    </row>
    <row r="26" spans="1:5" ht="16">
      <c r="A26" s="97" t="s">
        <v>126</v>
      </c>
      <c r="B26" s="94" t="s">
        <v>127</v>
      </c>
      <c r="C26" s="116">
        <f>'Income Statement'!$B$16/'Balance Sheet'!$E$21</f>
        <v>0.19936958666812848</v>
      </c>
      <c r="D26" s="116">
        <f>'Income Statement'!$D$16/'Balance Sheet'!$G$21</f>
        <v>0.18356757015869782</v>
      </c>
      <c r="E26" s="117">
        <f>'Income Statement'!$F$16/'Balance Sheet'!$I$21</f>
        <v>0.14696111326835065</v>
      </c>
    </row>
    <row r="27" spans="1:5" ht="17" thickBot="1">
      <c r="A27" s="95" t="s">
        <v>106</v>
      </c>
      <c r="B27" s="96"/>
      <c r="C27" s="123">
        <v>25.107226000000001</v>
      </c>
      <c r="D27" s="124">
        <v>23.964265999999999</v>
      </c>
      <c r="E27" s="125">
        <v>15.212847999999999</v>
      </c>
    </row>
    <row r="28" spans="1:5" ht="16">
      <c r="A28" s="97" t="s">
        <v>128</v>
      </c>
      <c r="B28" s="94" t="s">
        <v>129</v>
      </c>
      <c r="C28" s="116">
        <f>'Income Statement'!$B$16/('Balance Sheet'!$E$40+'Balance Sheet'!$E$41)</f>
        <v>0.42482186660436866</v>
      </c>
      <c r="D28" s="116">
        <f>'Income Statement'!$D$16/('Balance Sheet'!$G$40+'Balance Sheet'!$G$41)</f>
        <v>0.43713168671432445</v>
      </c>
      <c r="E28" s="117">
        <f>'Income Statement'!$F$16/('Balance Sheet'!$I$40+'Balance Sheet'!$I$41)</f>
        <v>0.38465748188814958</v>
      </c>
    </row>
    <row r="29" spans="1:5" ht="17" thickBot="1">
      <c r="A29" s="95" t="s">
        <v>106</v>
      </c>
      <c r="B29" s="96"/>
      <c r="C29" s="126">
        <v>154.88588100000001</v>
      </c>
      <c r="D29" s="127">
        <v>117.014477</v>
      </c>
      <c r="E29" s="128">
        <v>70.617329999999995</v>
      </c>
    </row>
    <row r="30" spans="1:5" ht="16">
      <c r="A30" s="97" t="s">
        <v>130</v>
      </c>
      <c r="B30" s="94" t="s">
        <v>131</v>
      </c>
      <c r="C30" s="114" t="s">
        <v>144</v>
      </c>
      <c r="D30" s="114" t="s">
        <v>144</v>
      </c>
      <c r="E30" s="115" t="s">
        <v>144</v>
      </c>
    </row>
    <row r="31" spans="1:5" ht="17" thickBot="1">
      <c r="A31" s="95" t="s">
        <v>106</v>
      </c>
      <c r="B31" s="96"/>
      <c r="C31" s="126">
        <v>54.363745000000002</v>
      </c>
      <c r="D31" s="126">
        <v>45.535069999999997</v>
      </c>
      <c r="E31" s="108">
        <v>28.020600000000002</v>
      </c>
    </row>
    <row r="32" spans="1:5" ht="16">
      <c r="A32" s="97" t="s">
        <v>132</v>
      </c>
      <c r="B32" s="94" t="s">
        <v>142</v>
      </c>
      <c r="C32" s="109">
        <f>'Income Statement'!B14/'Balance Sheet'!E21</f>
        <v>0.22945948909110844</v>
      </c>
      <c r="D32" s="109">
        <f>'Income Statement'!D14/'Balance Sheet'!G21</f>
        <v>0.21302119066807679</v>
      </c>
      <c r="E32" s="113">
        <f>'Income Statement'!F14/'Balance Sheet'!I21</f>
        <v>0.17601747032136231</v>
      </c>
    </row>
    <row r="33" spans="1:5" ht="17" thickBot="1">
      <c r="A33" s="95" t="s">
        <v>106</v>
      </c>
      <c r="B33" s="96"/>
      <c r="C33" s="111" t="s">
        <v>144</v>
      </c>
      <c r="D33" s="111" t="s">
        <v>144</v>
      </c>
      <c r="E33" s="112" t="s">
        <v>144</v>
      </c>
    </row>
    <row r="34" spans="1:5" ht="16">
      <c r="A34" s="93" t="s">
        <v>133</v>
      </c>
      <c r="B34" s="94" t="s">
        <v>134</v>
      </c>
      <c r="C34" s="109">
        <f>$C$46/$C$47</f>
        <v>41.233160621761655</v>
      </c>
      <c r="D34" s="109">
        <f>$D$46/$D$47</f>
        <v>51.708074534161483</v>
      </c>
      <c r="E34" s="110">
        <f>$E$46/$E$47</f>
        <v>53.765625</v>
      </c>
    </row>
    <row r="35" spans="1:5" ht="17" thickBot="1">
      <c r="A35" s="95" t="s">
        <v>106</v>
      </c>
      <c r="B35" s="96"/>
      <c r="C35" s="126">
        <v>21.220134000000002</v>
      </c>
      <c r="D35" s="126">
        <v>30.189910999999999</v>
      </c>
      <c r="E35" s="108">
        <v>39.442202000000002</v>
      </c>
    </row>
    <row r="36" spans="1:5" ht="16">
      <c r="A36" s="97" t="s">
        <v>135</v>
      </c>
      <c r="B36" s="94" t="s">
        <v>136</v>
      </c>
      <c r="C36" s="114" t="s">
        <v>144</v>
      </c>
      <c r="D36" s="114" t="s">
        <v>144</v>
      </c>
      <c r="E36" s="115" t="s">
        <v>144</v>
      </c>
    </row>
    <row r="37" spans="1:5" ht="17" thickBot="1">
      <c r="A37" s="95" t="s">
        <v>106</v>
      </c>
      <c r="B37" s="96"/>
      <c r="C37" s="111" t="s">
        <v>144</v>
      </c>
      <c r="D37" s="111" t="s">
        <v>144</v>
      </c>
      <c r="E37" s="112" t="s">
        <v>144</v>
      </c>
    </row>
    <row r="38" spans="1:5" ht="16">
      <c r="A38" s="97" t="s">
        <v>137</v>
      </c>
      <c r="B38" s="94" t="s">
        <v>138</v>
      </c>
      <c r="C38" s="105" t="s">
        <v>144</v>
      </c>
      <c r="D38" s="105" t="s">
        <v>144</v>
      </c>
      <c r="E38" s="106" t="s">
        <v>144</v>
      </c>
    </row>
    <row r="39" spans="1:5" ht="17" thickBot="1">
      <c r="A39" s="95" t="s">
        <v>106</v>
      </c>
      <c r="B39" s="96"/>
      <c r="C39" s="103" t="s">
        <v>144</v>
      </c>
      <c r="D39" s="103" t="s">
        <v>144</v>
      </c>
      <c r="E39" s="104" t="s">
        <v>144</v>
      </c>
    </row>
    <row r="40" spans="1:5" ht="16">
      <c r="A40" s="97" t="s">
        <v>139</v>
      </c>
      <c r="B40" s="94" t="s">
        <v>146</v>
      </c>
      <c r="C40" s="98">
        <f>-'Statement of Cash Flows '!I40/'Financial Ratios'!C46</f>
        <v>45.576778084945971</v>
      </c>
      <c r="D40" s="98">
        <f>-'Statement of Cash Flows '!K40/'Financial Ratios'!D46</f>
        <v>39.690090090090088</v>
      </c>
      <c r="E40" s="100">
        <f>-'Statement of Cash Flows '!M40/'Financial Ratios'!E46</f>
        <v>48.877910168232752</v>
      </c>
    </row>
    <row r="41" spans="1:5" ht="17" thickBot="1">
      <c r="A41" s="95" t="s">
        <v>106</v>
      </c>
      <c r="B41" s="96"/>
      <c r="C41" s="101">
        <v>0.71996000000000004</v>
      </c>
      <c r="D41" s="101">
        <v>0.55310700000000002</v>
      </c>
      <c r="E41" s="102">
        <v>0.68685799999999997</v>
      </c>
    </row>
    <row r="42" spans="1:5" ht="16">
      <c r="A42" s="97" t="s">
        <v>140</v>
      </c>
      <c r="B42" s="94" t="s">
        <v>141</v>
      </c>
      <c r="C42" s="98">
        <f>('Income Statement'!B16/'Income Statement'!B4)*('Income Statement'!B4/'Balance Sheet'!E21)*('Balance Sheet'!E21/'Balance Sheet'!E43)</f>
        <v>0.43675469250999743</v>
      </c>
      <c r="D42" s="98">
        <f>('Income Statement'!D16/'Income Statement'!D4)*('Income Statement'!D4/'Balance Sheet'!G21)*('Balance Sheet'!G21/'Balance Sheet'!G43)</f>
        <v>0.43152238217314137</v>
      </c>
      <c r="E42" s="99">
        <f>('Income Statement'!F16/'Income Statement'!F4)*('Income Statement'!F4/'Balance Sheet'!I21)*('Balance Sheet'!I21/'Balance Sheet'!I43)</f>
        <v>0.37429841763592103</v>
      </c>
    </row>
    <row r="43" spans="1:5" ht="17" thickBot="1">
      <c r="A43" s="95" t="s">
        <v>106</v>
      </c>
      <c r="B43" s="96"/>
      <c r="C43" s="103" t="s">
        <v>144</v>
      </c>
      <c r="D43" s="103" t="s">
        <v>144</v>
      </c>
      <c r="E43" s="104" t="s">
        <v>144</v>
      </c>
    </row>
    <row r="45" spans="1:5">
      <c r="C45">
        <v>2022</v>
      </c>
      <c r="D45">
        <v>2021</v>
      </c>
      <c r="E45">
        <v>2020</v>
      </c>
    </row>
    <row r="46" spans="1:5" ht="16">
      <c r="A46" s="3" t="s">
        <v>145</v>
      </c>
      <c r="C46">
        <v>397.9</v>
      </c>
      <c r="D46">
        <v>416.25</v>
      </c>
      <c r="E46">
        <v>309.69</v>
      </c>
    </row>
    <row r="47" spans="1:5" ht="16">
      <c r="A47" s="3" t="s">
        <v>147</v>
      </c>
      <c r="C47">
        <v>9.65</v>
      </c>
      <c r="D47">
        <v>8.0500000000000007</v>
      </c>
      <c r="E47">
        <v>5.76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D596-6C91-45EC-8577-457238A641DA}">
  <dimension ref="A2:L44"/>
  <sheetViews>
    <sheetView topLeftCell="A18" zoomScale="114" workbookViewId="0">
      <selection activeCell="G12" sqref="G12"/>
    </sheetView>
  </sheetViews>
  <sheetFormatPr baseColWidth="10" defaultColWidth="10.83203125" defaultRowHeight="16"/>
  <cols>
    <col min="1" max="4" width="10.83203125" style="3"/>
    <col min="5" max="5" width="13.1640625" style="3" bestFit="1" customWidth="1"/>
    <col min="6" max="6" width="13.33203125" style="3" customWidth="1"/>
    <col min="7" max="7" width="13.5" style="3" bestFit="1" customWidth="1"/>
    <col min="8" max="8" width="13.1640625" style="3" bestFit="1" customWidth="1"/>
    <col min="9" max="9" width="13.5" style="3" bestFit="1" customWidth="1"/>
    <col min="10" max="10" width="17.33203125" style="3" customWidth="1"/>
    <col min="11" max="16384" width="10.83203125" style="3"/>
  </cols>
  <sheetData>
    <row r="2" spans="1:12" ht="23">
      <c r="C2" s="56"/>
    </row>
    <row r="3" spans="1:12" ht="23">
      <c r="B3" s="56" t="s">
        <v>0</v>
      </c>
    </row>
    <row r="5" spans="1:12">
      <c r="A5" s="1" t="s">
        <v>1</v>
      </c>
      <c r="B5" s="4"/>
      <c r="C5" s="5"/>
      <c r="D5" s="5"/>
      <c r="E5" s="5"/>
      <c r="F5" s="4" t="s">
        <v>2</v>
      </c>
      <c r="G5" s="5"/>
      <c r="H5" s="5"/>
      <c r="J5" s="12"/>
    </row>
    <row r="6" spans="1:12">
      <c r="A6" s="2"/>
      <c r="B6" s="2"/>
      <c r="C6" s="2"/>
      <c r="D6" s="2"/>
      <c r="E6" s="14">
        <v>2022</v>
      </c>
      <c r="F6" s="6" t="s">
        <v>3</v>
      </c>
      <c r="G6" s="6">
        <v>2021</v>
      </c>
      <c r="H6" s="2" t="s">
        <v>3</v>
      </c>
      <c r="I6" s="6">
        <v>2020</v>
      </c>
      <c r="J6" s="9" t="s">
        <v>3</v>
      </c>
      <c r="K6" s="22" t="s">
        <v>101</v>
      </c>
      <c r="L6" s="22" t="s">
        <v>5</v>
      </c>
    </row>
    <row r="7" spans="1:12">
      <c r="A7" s="3" t="s">
        <v>6</v>
      </c>
      <c r="E7" s="8"/>
      <c r="F7" s="8"/>
      <c r="H7" s="8"/>
      <c r="J7" s="13"/>
      <c r="K7" s="23" t="s">
        <v>7</v>
      </c>
      <c r="L7" s="24" t="s">
        <v>7</v>
      </c>
    </row>
    <row r="8" spans="1:12">
      <c r="A8" s="3" t="s">
        <v>8</v>
      </c>
      <c r="E8" s="19">
        <v>13931</v>
      </c>
      <c r="F8" s="35">
        <f>E8/E$21</f>
        <v>3.8183861418704092E-2</v>
      </c>
      <c r="G8" s="19">
        <v>14224</v>
      </c>
      <c r="H8" s="35">
        <f>G8/G$21</f>
        <v>4.2615023713295327E-2</v>
      </c>
      <c r="I8" s="19">
        <v>13576</v>
      </c>
      <c r="J8" s="35">
        <f>I8/I$21</f>
        <v>4.5056436704932777E-2</v>
      </c>
      <c r="K8" s="20">
        <f>(E8-I8)/I8</f>
        <v>2.6149086623453152E-2</v>
      </c>
      <c r="L8" s="40">
        <f>(G8-I8)/I8</f>
        <v>4.7731290512669416E-2</v>
      </c>
    </row>
    <row r="9" spans="1:12">
      <c r="A9" s="3" t="s">
        <v>9</v>
      </c>
      <c r="E9" s="19">
        <v>90826</v>
      </c>
      <c r="F9" s="35">
        <f>E9/E$21</f>
        <v>0.24894748382852758</v>
      </c>
      <c r="G9" s="19">
        <v>116110</v>
      </c>
      <c r="H9" s="35">
        <f>G9/G$21</f>
        <v>0.34786490462251968</v>
      </c>
      <c r="I9" s="19">
        <v>122951</v>
      </c>
      <c r="J9" s="35">
        <f>I9/I$21</f>
        <v>0.40805347298970168</v>
      </c>
      <c r="K9" s="20">
        <f>(E9-I9)/I9</f>
        <v>-0.26128295011833985</v>
      </c>
      <c r="L9" s="40">
        <f t="shared" ref="L9:L14" si="0">(G9-I9)/I9</f>
        <v>-5.5640051727924134E-2</v>
      </c>
    </row>
    <row r="10" spans="1:12">
      <c r="A10" s="3" t="s">
        <v>10</v>
      </c>
      <c r="E10" s="19">
        <v>44261</v>
      </c>
      <c r="F10" s="35">
        <f>E10/E$21</f>
        <v>0.12131619339984651</v>
      </c>
      <c r="G10" s="19">
        <v>38043</v>
      </c>
      <c r="H10" s="35">
        <f>G10/G$21</f>
        <v>0.11397661326806061</v>
      </c>
      <c r="I10" s="19">
        <v>32011</v>
      </c>
      <c r="J10" s="35">
        <f>I10/I$21</f>
        <v>0.10623906860353588</v>
      </c>
      <c r="K10" s="20">
        <f>(E10-I10)/I10</f>
        <v>0.38268095342226111</v>
      </c>
      <c r="L10" s="40">
        <f t="shared" si="0"/>
        <v>0.18843522539127175</v>
      </c>
    </row>
    <row r="11" spans="1:12">
      <c r="A11" s="3" t="s">
        <v>11</v>
      </c>
      <c r="E11" s="19">
        <v>3742</v>
      </c>
      <c r="F11" s="35">
        <f>E11/E$21</f>
        <v>1.0256550816796405E-2</v>
      </c>
      <c r="G11" s="19">
        <v>2636</v>
      </c>
      <c r="H11" s="35">
        <f>G11/G$21</f>
        <v>7.8974411212209272E-3</v>
      </c>
      <c r="I11" s="19">
        <v>1895</v>
      </c>
      <c r="J11" s="35">
        <f>I11/I$21</f>
        <v>6.2891829372309672E-3</v>
      </c>
      <c r="K11" s="20">
        <f>(E11-I11)/I11</f>
        <v>0.97467018469656996</v>
      </c>
      <c r="L11" s="40">
        <f t="shared" si="0"/>
        <v>0.39102902374670184</v>
      </c>
    </row>
    <row r="12" spans="1:12">
      <c r="A12" s="3" t="s">
        <v>12</v>
      </c>
      <c r="E12" s="19">
        <v>16924</v>
      </c>
      <c r="F12" s="35">
        <f>E12/E$21</f>
        <v>4.6387457515623287E-2</v>
      </c>
      <c r="G12" s="19">
        <v>13393</v>
      </c>
      <c r="H12" s="35">
        <f>G12/G$21</f>
        <v>4.0125352403836072E-2</v>
      </c>
      <c r="I12" s="19">
        <v>11482</v>
      </c>
      <c r="J12" s="35">
        <f>I12/I$21</f>
        <v>3.810680658854141E-2</v>
      </c>
      <c r="K12" s="20">
        <f t="shared" ref="K12:K21" si="1">(E12-I12)/I12</f>
        <v>0.47395924055042676</v>
      </c>
      <c r="L12" s="40">
        <f t="shared" si="0"/>
        <v>0.16643441909075074</v>
      </c>
    </row>
    <row r="13" spans="1:12">
      <c r="A13" s="3" t="s">
        <v>13</v>
      </c>
      <c r="E13" s="68">
        <f t="shared" ref="E13:J13" si="2">SUM(E8:E12)</f>
        <v>169684</v>
      </c>
      <c r="F13" s="36">
        <f t="shared" si="2"/>
        <v>0.46509154697949784</v>
      </c>
      <c r="G13" s="68">
        <f t="shared" si="2"/>
        <v>184406</v>
      </c>
      <c r="H13" s="36">
        <f t="shared" si="2"/>
        <v>0.55247933512893266</v>
      </c>
      <c r="I13" s="68">
        <f t="shared" si="2"/>
        <v>181915</v>
      </c>
      <c r="J13" s="39">
        <f t="shared" si="2"/>
        <v>0.60374496782394271</v>
      </c>
      <c r="K13" s="16">
        <f t="shared" si="1"/>
        <v>-6.7234697523568698E-2</v>
      </c>
      <c r="L13" s="36">
        <f t="shared" si="0"/>
        <v>1.3693208366544815E-2</v>
      </c>
    </row>
    <row r="14" spans="1:12">
      <c r="A14" s="3" t="s">
        <v>14</v>
      </c>
      <c r="E14" s="69">
        <v>74398</v>
      </c>
      <c r="F14" s="35">
        <f t="shared" ref="F14:F19" si="3">E14/E$21</f>
        <v>0.20391952636772284</v>
      </c>
      <c r="G14" s="19">
        <v>59715</v>
      </c>
      <c r="H14" s="35">
        <f>G14/G21</f>
        <v>0.17890580294146727</v>
      </c>
      <c r="I14" s="69">
        <v>44151</v>
      </c>
      <c r="J14" s="65">
        <f>I14/I21</f>
        <v>0.14652966536236645</v>
      </c>
      <c r="K14" s="16">
        <f t="shared" si="1"/>
        <v>0.68508074562297572</v>
      </c>
      <c r="L14" s="36">
        <f t="shared" si="0"/>
        <v>0.35251749677244004</v>
      </c>
    </row>
    <row r="15" spans="1:12">
      <c r="A15" s="3" t="s">
        <v>15</v>
      </c>
      <c r="E15" s="19">
        <v>13148</v>
      </c>
      <c r="F15" s="35">
        <f t="shared" si="3"/>
        <v>3.6037715162811096E-2</v>
      </c>
      <c r="G15" s="19">
        <v>11088</v>
      </c>
      <c r="H15" s="35">
        <f>G15/G$21</f>
        <v>3.3219585414301082E-2</v>
      </c>
      <c r="I15" s="19">
        <v>8753</v>
      </c>
      <c r="J15" s="35">
        <f>I15/I$21</f>
        <v>2.9049719392919608E-2</v>
      </c>
      <c r="K15" s="20">
        <f t="shared" ref="K15:K17" si="4">(E15-I15)/I15</f>
        <v>0.50211356106477778</v>
      </c>
      <c r="L15" s="40">
        <f t="shared" ref="L15:L21" si="5">(G15-I15)/I15</f>
        <v>0.26676568033816977</v>
      </c>
    </row>
    <row r="16" spans="1:12">
      <c r="A16" s="3" t="s">
        <v>16</v>
      </c>
      <c r="E16" s="19">
        <v>6891</v>
      </c>
      <c r="F16" s="35">
        <f t="shared" si="3"/>
        <v>1.8887731608376274E-2</v>
      </c>
      <c r="G16" s="19">
        <v>5984</v>
      </c>
      <c r="H16" s="35">
        <f>G16/G$21</f>
        <v>1.792803022359106E-2</v>
      </c>
      <c r="I16" s="19">
        <v>2965</v>
      </c>
      <c r="J16" s="35">
        <f>I16/I$21</f>
        <v>9.8403310864853925E-3</v>
      </c>
      <c r="K16" s="20">
        <f>(E16-I16)/I16</f>
        <v>1.324114671163575</v>
      </c>
      <c r="L16" s="40">
        <f t="shared" si="5"/>
        <v>1.0182124789207421</v>
      </c>
    </row>
    <row r="17" spans="1:12">
      <c r="A17" s="3" t="s">
        <v>17</v>
      </c>
      <c r="E17" s="19">
        <v>67524</v>
      </c>
      <c r="F17" s="35">
        <f t="shared" si="3"/>
        <v>0.18507839052735445</v>
      </c>
      <c r="G17" s="19">
        <v>49711</v>
      </c>
      <c r="H17" s="35">
        <f>G17/G$21</f>
        <v>0.14893387540857872</v>
      </c>
      <c r="I17" s="19">
        <v>43351</v>
      </c>
      <c r="J17" s="35">
        <f>I17/I$21</f>
        <v>0.14387460132554072</v>
      </c>
      <c r="K17" s="20">
        <f t="shared" si="4"/>
        <v>0.55761112777098565</v>
      </c>
      <c r="L17" s="40">
        <f t="shared" si="5"/>
        <v>0.1467094184678554</v>
      </c>
    </row>
    <row r="18" spans="1:12">
      <c r="A18" s="3" t="s">
        <v>18</v>
      </c>
      <c r="E18" s="19">
        <v>11298</v>
      </c>
      <c r="F18" s="35">
        <f t="shared" si="3"/>
        <v>3.0966999232540291E-2</v>
      </c>
      <c r="G18" s="19">
        <v>7800</v>
      </c>
      <c r="H18" s="35">
        <f>G18/G$21</f>
        <v>2.3368755973263745E-2</v>
      </c>
      <c r="I18" s="19">
        <v>7038</v>
      </c>
      <c r="J18" s="35">
        <f>I18/I$21</f>
        <v>2.3357925863974432E-2</v>
      </c>
      <c r="K18" s="20">
        <f t="shared" si="1"/>
        <v>0.60528559249786873</v>
      </c>
      <c r="L18" s="40">
        <f t="shared" si="5"/>
        <v>0.1082693947144075</v>
      </c>
    </row>
    <row r="19" spans="1:12">
      <c r="A19" s="3" t="s">
        <v>19</v>
      </c>
      <c r="E19" s="19">
        <v>21897</v>
      </c>
      <c r="F19" s="35">
        <f t="shared" si="3"/>
        <v>6.0018090121697183E-2</v>
      </c>
      <c r="G19" s="19">
        <v>15075</v>
      </c>
      <c r="H19" s="35">
        <f>G19/G$21</f>
        <v>4.5164614909865508E-2</v>
      </c>
      <c r="I19" s="19">
        <v>13138</v>
      </c>
      <c r="J19" s="35">
        <f>I19/I$21</f>
        <v>4.3602789144770684E-2</v>
      </c>
      <c r="K19" s="20">
        <f t="shared" si="1"/>
        <v>0.6666920383620033</v>
      </c>
      <c r="L19" s="40">
        <f t="shared" si="5"/>
        <v>0.14743492160146141</v>
      </c>
    </row>
    <row r="20" spans="1:12">
      <c r="A20" s="3" t="s">
        <v>20</v>
      </c>
      <c r="E20" s="68">
        <f t="shared" ref="E20:J20" si="6">SUM(E14:E19)</f>
        <v>195156</v>
      </c>
      <c r="F20" s="36">
        <f t="shared" si="6"/>
        <v>0.53490845302050216</v>
      </c>
      <c r="G20" s="68">
        <f t="shared" si="6"/>
        <v>149373</v>
      </c>
      <c r="H20" s="36">
        <f t="shared" si="6"/>
        <v>0.4475206648710674</v>
      </c>
      <c r="I20" s="68">
        <f t="shared" si="6"/>
        <v>119396</v>
      </c>
      <c r="J20" s="39">
        <f t="shared" si="6"/>
        <v>0.39625503217605729</v>
      </c>
      <c r="K20" s="16">
        <f t="shared" si="1"/>
        <v>0.63452711983651044</v>
      </c>
      <c r="L20" s="36">
        <f t="shared" si="5"/>
        <v>0.25107206271566884</v>
      </c>
    </row>
    <row r="21" spans="1:12">
      <c r="A21" s="3" t="s">
        <v>21</v>
      </c>
      <c r="E21" s="70">
        <f>E13+E20</f>
        <v>364840</v>
      </c>
      <c r="F21" s="37">
        <f>SUM(F13,F20)</f>
        <v>1</v>
      </c>
      <c r="G21" s="70">
        <f>G13+G20</f>
        <v>333779</v>
      </c>
      <c r="H21" s="38">
        <f>SUM(H13,H20)</f>
        <v>1</v>
      </c>
      <c r="I21" s="70">
        <f>I13+I20</f>
        <v>301311</v>
      </c>
      <c r="J21" s="38">
        <f>SUM(J13,J20)</f>
        <v>1</v>
      </c>
      <c r="K21" s="21">
        <f t="shared" si="1"/>
        <v>0.21084195399437791</v>
      </c>
      <c r="L21" s="41">
        <f t="shared" si="5"/>
        <v>0.10775577393457259</v>
      </c>
    </row>
    <row r="22" spans="1:12">
      <c r="F22" s="71"/>
      <c r="J22" s="17"/>
    </row>
    <row r="23" spans="1:12">
      <c r="A23" s="10" t="s">
        <v>22</v>
      </c>
      <c r="B23" s="11"/>
      <c r="C23" s="7"/>
      <c r="D23" s="7"/>
      <c r="E23" s="14">
        <v>2022</v>
      </c>
      <c r="F23" s="6" t="s">
        <v>3</v>
      </c>
      <c r="G23" s="6">
        <v>2021</v>
      </c>
      <c r="H23" s="2" t="s">
        <v>3</v>
      </c>
      <c r="I23" s="6">
        <v>2020</v>
      </c>
      <c r="J23" s="9" t="s">
        <v>3</v>
      </c>
      <c r="K23" s="22" t="s">
        <v>4</v>
      </c>
      <c r="L23" s="22" t="s">
        <v>5</v>
      </c>
    </row>
    <row r="24" spans="1:12">
      <c r="A24" s="3" t="s">
        <v>23</v>
      </c>
      <c r="E24" s="8" t="s">
        <v>3</v>
      </c>
      <c r="F24" s="72"/>
      <c r="G24" s="73"/>
      <c r="H24" s="74" t="s">
        <v>3</v>
      </c>
      <c r="I24" s="18"/>
      <c r="J24" s="8" t="s">
        <v>3</v>
      </c>
      <c r="K24" s="23"/>
      <c r="L24" s="24"/>
    </row>
    <row r="25" spans="1:12">
      <c r="A25" s="3" t="s">
        <v>24</v>
      </c>
      <c r="E25" s="19">
        <v>19000</v>
      </c>
      <c r="F25" s="42">
        <f t="shared" ref="F25:F30" si="7">E25/E$44</f>
        <v>5.2077623067646094E-2</v>
      </c>
      <c r="G25" s="19">
        <v>15163</v>
      </c>
      <c r="H25" s="40">
        <f t="shared" ref="H25:H30" si="8">G25/G$44</f>
        <v>4.5428262413153613E-2</v>
      </c>
      <c r="I25" s="19">
        <v>12530</v>
      </c>
      <c r="J25" s="35">
        <f t="shared" ref="J25:J30" si="9">I25/I$44</f>
        <v>4.1584940476783128E-2</v>
      </c>
      <c r="K25" s="45">
        <f t="shared" ref="K25:K38" si="10">(E25-I25)/I25</f>
        <v>0.51636073423782924</v>
      </c>
      <c r="L25" s="40">
        <f t="shared" ref="L25:L30" si="11">(G25-I25)/I25</f>
        <v>0.21013567438148445</v>
      </c>
    </row>
    <row r="26" spans="1:12">
      <c r="A26" s="3" t="s">
        <v>25</v>
      </c>
      <c r="E26" s="19">
        <v>13067</v>
      </c>
      <c r="F26" s="42">
        <f t="shared" si="7"/>
        <v>3.5815700032891133E-2</v>
      </c>
      <c r="G26" s="19">
        <v>11666</v>
      </c>
      <c r="H26" s="40">
        <f t="shared" si="8"/>
        <v>3.4951270151807032E-2</v>
      </c>
      <c r="I26" s="19">
        <v>10027</v>
      </c>
      <c r="J26" s="35">
        <f t="shared" si="9"/>
        <v>3.3277908871564593E-2</v>
      </c>
      <c r="K26" s="45">
        <f t="shared" si="10"/>
        <v>0.30318141019248029</v>
      </c>
      <c r="L26" s="40">
        <f t="shared" si="11"/>
        <v>0.16345866161364317</v>
      </c>
    </row>
    <row r="27" spans="1:12">
      <c r="A27" s="3" t="s">
        <v>26</v>
      </c>
      <c r="E27" s="19">
        <v>2749</v>
      </c>
      <c r="F27" s="42">
        <f t="shared" si="7"/>
        <v>7.5348097796294269E-3</v>
      </c>
      <c r="G27" s="19">
        <v>8072</v>
      </c>
      <c r="H27" s="40">
        <f t="shared" si="8"/>
        <v>2.4183666437972432E-2</v>
      </c>
      <c r="I27" s="19">
        <v>3749</v>
      </c>
      <c r="J27" s="35">
        <f t="shared" si="9"/>
        <v>1.2442293842574616E-2</v>
      </c>
      <c r="K27" s="45">
        <f t="shared" si="10"/>
        <v>-0.26673779674579889</v>
      </c>
      <c r="L27" s="40">
        <f t="shared" si="11"/>
        <v>1.1531074953320886</v>
      </c>
    </row>
    <row r="28" spans="1:12">
      <c r="A28" s="3" t="s">
        <v>27</v>
      </c>
      <c r="E28" s="19">
        <v>10661</v>
      </c>
      <c r="F28" s="42">
        <f t="shared" si="7"/>
        <v>2.9221028396009211E-2</v>
      </c>
      <c r="G28" s="19">
        <v>10057</v>
      </c>
      <c r="H28" s="40">
        <f t="shared" si="8"/>
        <v>3.0130715233732501E-2</v>
      </c>
      <c r="I28" s="19">
        <v>7874</v>
      </c>
      <c r="J28" s="35">
        <f t="shared" si="9"/>
        <v>2.6132467782457328E-2</v>
      </c>
      <c r="K28" s="45">
        <f t="shared" si="10"/>
        <v>0.35394970789941582</v>
      </c>
      <c r="L28" s="40">
        <f t="shared" si="11"/>
        <v>0.27724155448310894</v>
      </c>
    </row>
    <row r="29" spans="1:12">
      <c r="A29" s="3" t="s">
        <v>28</v>
      </c>
      <c r="E29" s="19">
        <v>4067</v>
      </c>
      <c r="F29" s="43">
        <f t="shared" si="7"/>
        <v>1.1147352264006139E-2</v>
      </c>
      <c r="G29" s="19">
        <v>2174</v>
      </c>
      <c r="H29" s="40">
        <f t="shared" si="8"/>
        <v>6.5132917289583824E-3</v>
      </c>
      <c r="I29" s="19">
        <v>2130</v>
      </c>
      <c r="J29" s="47">
        <f t="shared" si="9"/>
        <v>7.0691079980485282E-3</v>
      </c>
      <c r="K29" s="45">
        <f t="shared" si="10"/>
        <v>0.90938967136150239</v>
      </c>
      <c r="L29" s="40">
        <f t="shared" si="11"/>
        <v>2.0657276995305163E-2</v>
      </c>
    </row>
    <row r="30" spans="1:12">
      <c r="A30" s="3" t="s">
        <v>29</v>
      </c>
      <c r="E30" s="68">
        <v>45538</v>
      </c>
      <c r="F30" s="43">
        <f t="shared" si="7"/>
        <v>0.1248163578554983</v>
      </c>
      <c r="G30" s="68">
        <v>41525</v>
      </c>
      <c r="H30" s="40">
        <f t="shared" si="8"/>
        <v>0.12440866561407399</v>
      </c>
      <c r="I30" s="68">
        <v>36000</v>
      </c>
      <c r="J30" s="47">
        <f t="shared" si="9"/>
        <v>0.11947788165715822</v>
      </c>
      <c r="K30" s="45">
        <f t="shared" si="10"/>
        <v>0.26494444444444443</v>
      </c>
      <c r="L30" s="40">
        <f t="shared" si="11"/>
        <v>0.15347222222222223</v>
      </c>
    </row>
    <row r="31" spans="1:12">
      <c r="B31" s="3" t="s">
        <v>30</v>
      </c>
      <c r="E31" s="19">
        <f t="shared" ref="E31:J31" si="12">SUM(E25:E30)</f>
        <v>95082</v>
      </c>
      <c r="F31" s="42">
        <f t="shared" si="12"/>
        <v>0.26061287139568035</v>
      </c>
      <c r="G31" s="19">
        <f t="shared" si="12"/>
        <v>88657</v>
      </c>
      <c r="H31" s="40">
        <f t="shared" si="12"/>
        <v>0.2656158715796979</v>
      </c>
      <c r="I31" s="19">
        <f t="shared" si="12"/>
        <v>72310</v>
      </c>
      <c r="J31" s="35">
        <f t="shared" si="12"/>
        <v>0.2399846006285864</v>
      </c>
      <c r="K31" s="45">
        <f t="shared" si="10"/>
        <v>0.31492186419582352</v>
      </c>
      <c r="L31" s="40">
        <f>(G31-I31)/I31</f>
        <v>0.22606831696860738</v>
      </c>
    </row>
    <row r="32" spans="1:12">
      <c r="A32" s="3" t="s">
        <v>31</v>
      </c>
      <c r="E32" s="19">
        <v>47032</v>
      </c>
      <c r="F32" s="42">
        <f>E32/E$44</f>
        <v>0.1289113035851332</v>
      </c>
      <c r="G32" s="19">
        <v>50074</v>
      </c>
      <c r="H32" s="40">
        <f>G32/G$44</f>
        <v>0.15002142135964217</v>
      </c>
      <c r="I32" s="19">
        <v>59578</v>
      </c>
      <c r="J32" s="35">
        <f>I32/I$44</f>
        <v>0.19772925648250478</v>
      </c>
      <c r="K32" s="45">
        <f t="shared" si="10"/>
        <v>-0.21058108697841485</v>
      </c>
      <c r="L32" s="40">
        <f>(G32-I32)/I32</f>
        <v>-0.15952197119742187</v>
      </c>
    </row>
    <row r="33" spans="1:12">
      <c r="A33" s="3" t="s">
        <v>32</v>
      </c>
      <c r="E33" s="68">
        <v>26069</v>
      </c>
      <c r="F33" s="42">
        <f t="shared" ref="F33:F37" si="13">E33/E$44</f>
        <v>7.1453239776340313E-2</v>
      </c>
      <c r="G33" s="68">
        <v>27190</v>
      </c>
      <c r="H33" s="40">
        <f t="shared" ref="H33:H38" si="14">G33/G$44</f>
        <v>8.1461086527312987E-2</v>
      </c>
      <c r="I33" s="68">
        <v>29432</v>
      </c>
      <c r="J33" s="35">
        <f t="shared" ref="J33:J38" si="15">I33/I$44</f>
        <v>9.767980591481891E-2</v>
      </c>
      <c r="K33" s="36">
        <f t="shared" si="10"/>
        <v>-0.11426338678988855</v>
      </c>
      <c r="L33" s="36">
        <f>(G33-I33)/I33</f>
        <v>-7.6175591193259035E-2</v>
      </c>
    </row>
    <row r="34" spans="1:12">
      <c r="A34" s="3" t="s">
        <v>33</v>
      </c>
      <c r="E34" s="68">
        <v>2870</v>
      </c>
      <c r="F34" s="42">
        <f t="shared" si="13"/>
        <v>7.866462010744436E-3</v>
      </c>
      <c r="G34" s="68">
        <v>2616</v>
      </c>
      <c r="H34" s="40">
        <f t="shared" si="14"/>
        <v>7.8375212341099953E-3</v>
      </c>
      <c r="I34" s="68">
        <v>3180</v>
      </c>
      <c r="J34" s="35">
        <f t="shared" si="15"/>
        <v>1.055387954638231E-2</v>
      </c>
      <c r="K34" s="48">
        <f t="shared" si="10"/>
        <v>-9.7484276729559755E-2</v>
      </c>
      <c r="L34" s="49">
        <f>(G34-I34)/I34</f>
        <v>-0.17735849056603772</v>
      </c>
    </row>
    <row r="35" spans="1:12">
      <c r="A35" s="3" t="s">
        <v>34</v>
      </c>
      <c r="E35" s="68">
        <v>230</v>
      </c>
      <c r="F35" s="42">
        <f t="shared" si="13"/>
        <v>6.3041333187150534E-4</v>
      </c>
      <c r="G35" s="68">
        <v>198</v>
      </c>
      <c r="H35" s="40">
        <f t="shared" si="14"/>
        <v>5.9320688239823357E-4</v>
      </c>
      <c r="I35" s="68">
        <v>204</v>
      </c>
      <c r="J35" s="35">
        <f t="shared" si="15"/>
        <v>6.7704132939056319E-4</v>
      </c>
      <c r="K35" s="48">
        <f t="shared" si="10"/>
        <v>0.12745098039215685</v>
      </c>
      <c r="L35" s="49">
        <f t="shared" ref="L35:L38" si="16">(G35-I35)/I35</f>
        <v>-2.9411764705882353E-2</v>
      </c>
    </row>
    <row r="36" spans="1:12">
      <c r="A36" s="3" t="s">
        <v>35</v>
      </c>
      <c r="E36" s="68">
        <v>11489</v>
      </c>
      <c r="F36" s="42">
        <f t="shared" si="13"/>
        <v>3.1490516390746626E-2</v>
      </c>
      <c r="G36" s="68">
        <v>9629</v>
      </c>
      <c r="H36" s="40">
        <f t="shared" si="14"/>
        <v>2.8848429649558541E-2</v>
      </c>
      <c r="I36" s="68">
        <v>7671</v>
      </c>
      <c r="J36" s="35">
        <f t="shared" si="15"/>
        <v>2.5458745283112798E-2</v>
      </c>
      <c r="K36" s="48">
        <f t="shared" si="10"/>
        <v>0.4977186807456655</v>
      </c>
      <c r="L36" s="49">
        <f t="shared" si="16"/>
        <v>0.25524703428496937</v>
      </c>
    </row>
    <row r="37" spans="1:12">
      <c r="A37" s="3" t="s">
        <v>36</v>
      </c>
      <c r="E37" s="68">
        <v>15526</v>
      </c>
      <c r="F37" s="42">
        <f t="shared" si="13"/>
        <v>4.2555640828856482E-2</v>
      </c>
      <c r="G37" s="68">
        <v>13427</v>
      </c>
      <c r="H37" s="40">
        <f t="shared" si="14"/>
        <v>4.0227216211924655E-2</v>
      </c>
      <c r="I37" s="68">
        <v>10632</v>
      </c>
      <c r="J37" s="35">
        <f t="shared" si="15"/>
        <v>3.5285801049414062E-2</v>
      </c>
      <c r="K37" s="48">
        <f t="shared" si="10"/>
        <v>0.46030850263355905</v>
      </c>
      <c r="L37" s="49">
        <f t="shared" si="16"/>
        <v>0.26288562829194884</v>
      </c>
    </row>
    <row r="38" spans="1:12">
      <c r="A38" s="3" t="s">
        <v>37</v>
      </c>
      <c r="E38" s="68">
        <f>SUM(E31:E37)</f>
        <v>198298</v>
      </c>
      <c r="F38" s="42">
        <f>SUM(F31:F37)</f>
        <v>0.54352044731937288</v>
      </c>
      <c r="G38" s="68">
        <f>SUM(G31:G37)</f>
        <v>191791</v>
      </c>
      <c r="H38" s="40">
        <f t="shared" si="14"/>
        <v>0.57460475344464446</v>
      </c>
      <c r="I38" s="68">
        <f>SUM(I31:I37)</f>
        <v>183007</v>
      </c>
      <c r="J38" s="35">
        <f t="shared" si="15"/>
        <v>0.6073691302342098</v>
      </c>
      <c r="K38" s="48">
        <f t="shared" si="10"/>
        <v>8.3554180987612497E-2</v>
      </c>
      <c r="L38" s="49">
        <f t="shared" si="16"/>
        <v>4.7998164004655557E-2</v>
      </c>
    </row>
    <row r="39" spans="1:12">
      <c r="A39" s="10" t="s">
        <v>38</v>
      </c>
      <c r="B39" s="7"/>
      <c r="C39" s="7"/>
      <c r="D39" s="7"/>
      <c r="E39" s="14">
        <v>2022</v>
      </c>
      <c r="F39" s="6" t="s">
        <v>3</v>
      </c>
      <c r="G39" s="6">
        <v>2021</v>
      </c>
      <c r="H39" s="2" t="s">
        <v>3</v>
      </c>
      <c r="I39" s="6">
        <v>2020</v>
      </c>
      <c r="J39" s="9" t="s">
        <v>3</v>
      </c>
      <c r="K39" s="22" t="s">
        <v>4</v>
      </c>
      <c r="L39" s="22" t="s">
        <v>5</v>
      </c>
    </row>
    <row r="40" spans="1:12">
      <c r="A40" s="3" t="s">
        <v>39</v>
      </c>
      <c r="E40" s="18">
        <v>86939</v>
      </c>
      <c r="F40" s="42">
        <f>E40/E$44</f>
        <v>0.23829349851989914</v>
      </c>
      <c r="G40" s="18">
        <v>83111</v>
      </c>
      <c r="H40" s="44">
        <f>G40/G$44</f>
        <v>0.24900008688383632</v>
      </c>
      <c r="I40" s="18">
        <v>80552</v>
      </c>
      <c r="J40" s="50">
        <f>I40/I$44</f>
        <v>0.26733839786798358</v>
      </c>
      <c r="K40" s="44">
        <f t="shared" ref="K40:K43" si="17">(E40-I40)/I40</f>
        <v>7.9290396265766214E-2</v>
      </c>
      <c r="L40" s="50">
        <f>(G40-I40)/I40</f>
        <v>3.1768298738702946E-2</v>
      </c>
    </row>
    <row r="41" spans="1:12">
      <c r="A41" s="3" t="s">
        <v>40</v>
      </c>
      <c r="E41" s="75">
        <v>84281</v>
      </c>
      <c r="F41" s="42">
        <f>E41/E$44</f>
        <v>0.23100811314548844</v>
      </c>
      <c r="G41" s="75">
        <v>57055</v>
      </c>
      <c r="H41" s="45">
        <f>G41/G$44</f>
        <v>0.17093645795571322</v>
      </c>
      <c r="I41" s="75">
        <v>34566</v>
      </c>
      <c r="J41" s="40">
        <f>I41/I$44</f>
        <v>0.11471867937114809</v>
      </c>
      <c r="K41" s="45">
        <f t="shared" si="17"/>
        <v>1.4382630330382458</v>
      </c>
      <c r="L41" s="40">
        <f>(G41-I41)/I41</f>
        <v>0.65061042643059652</v>
      </c>
    </row>
    <row r="42" spans="1:12">
      <c r="A42" s="3" t="s">
        <v>41</v>
      </c>
      <c r="E42" s="75">
        <v>-4678</v>
      </c>
      <c r="F42" s="42">
        <f>E42/E$44</f>
        <v>-1.2822058984760442E-2</v>
      </c>
      <c r="G42" s="75">
        <v>1822</v>
      </c>
      <c r="H42" s="45">
        <f>G42/G$44</f>
        <v>5.4587017158059673E-3</v>
      </c>
      <c r="I42" s="76">
        <v>3186</v>
      </c>
      <c r="J42" s="35">
        <f>I42/I$44</f>
        <v>1.0573792526658502E-2</v>
      </c>
      <c r="K42" s="45">
        <f t="shared" si="17"/>
        <v>-2.4682988072818581</v>
      </c>
      <c r="L42" s="40">
        <f>(G42-I42)/I42</f>
        <v>-0.42812303829252984</v>
      </c>
    </row>
    <row r="43" spans="1:12">
      <c r="A43" s="3" t="s">
        <v>42</v>
      </c>
      <c r="E43" s="68">
        <v>166542</v>
      </c>
      <c r="F43" s="39">
        <f>SUM(F40:F42)</f>
        <v>0.45647955268062712</v>
      </c>
      <c r="G43" s="18">
        <f>SUM(G40:G42)</f>
        <v>141988</v>
      </c>
      <c r="H43" s="46">
        <f>SUM(H40:H42)</f>
        <v>0.42539524655535554</v>
      </c>
      <c r="I43" s="76">
        <f>SUM(I40:I42)</f>
        <v>118304</v>
      </c>
      <c r="J43" s="39">
        <f>SUM(J40:J42)</f>
        <v>0.3926308697657902</v>
      </c>
      <c r="K43" s="36">
        <f t="shared" si="17"/>
        <v>0.40774614552339733</v>
      </c>
      <c r="L43" s="36">
        <f>(G43-I43)/I43</f>
        <v>0.20019610494995943</v>
      </c>
    </row>
    <row r="44" spans="1:12">
      <c r="A44" s="3" t="s">
        <v>43</v>
      </c>
      <c r="E44" s="77">
        <f>SUM(E43+E38)</f>
        <v>364840</v>
      </c>
      <c r="F44" s="37">
        <f>SUM(F38,F43)</f>
        <v>1</v>
      </c>
      <c r="G44" s="78">
        <f>G38+G43</f>
        <v>333779</v>
      </c>
      <c r="H44" s="41">
        <f>SUM(H43+H38)</f>
        <v>1</v>
      </c>
      <c r="I44" s="70">
        <f>I38+I43</f>
        <v>301311</v>
      </c>
      <c r="J44" s="38">
        <f>SUM(J38+J43)</f>
        <v>1</v>
      </c>
      <c r="K44" s="37">
        <f>(E44-I44)/I44</f>
        <v>0.21084195399437791</v>
      </c>
      <c r="L44" s="41">
        <f>(G44-I44)/I44</f>
        <v>0.10775577393457259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zoomScale="87" workbookViewId="0">
      <selection activeCell="F14" sqref="F14"/>
    </sheetView>
  </sheetViews>
  <sheetFormatPr baseColWidth="10" defaultColWidth="8.83203125" defaultRowHeight="15" customHeight="1"/>
  <cols>
    <col min="1" max="1" width="45.5" customWidth="1"/>
    <col min="2" max="3" width="13.83203125" customWidth="1"/>
    <col min="4" max="4" width="12.5" bestFit="1" customWidth="1"/>
    <col min="5" max="5" width="15.33203125" customWidth="1"/>
    <col min="6" max="6" width="12.5" bestFit="1" customWidth="1"/>
    <col min="7" max="7" width="14.5" customWidth="1"/>
    <col min="8" max="8" width="10.5" bestFit="1" customWidth="1"/>
    <col min="9" max="9" width="11.5" style="3" bestFit="1" customWidth="1"/>
    <col min="10" max="10" width="9.6640625" style="3" bestFit="1" customWidth="1"/>
  </cols>
  <sheetData>
    <row r="1" spans="1:10" ht="15" customHeight="1">
      <c r="A1" s="27" t="s">
        <v>44</v>
      </c>
      <c r="B1" s="26"/>
      <c r="C1" s="26"/>
      <c r="D1" s="28" t="s">
        <v>2</v>
      </c>
      <c r="E1" s="25"/>
      <c r="F1" s="26"/>
      <c r="G1" s="26"/>
      <c r="H1" s="26"/>
      <c r="I1" s="25"/>
    </row>
    <row r="2" spans="1:10" ht="15" customHeight="1">
      <c r="A2" s="29"/>
      <c r="B2" s="79">
        <v>2022</v>
      </c>
      <c r="C2" s="32"/>
      <c r="D2" s="80">
        <v>2021</v>
      </c>
      <c r="E2" s="32"/>
      <c r="F2" s="80">
        <v>2020</v>
      </c>
      <c r="G2" s="30"/>
      <c r="H2" s="30" t="s">
        <v>101</v>
      </c>
      <c r="I2" s="29" t="s">
        <v>5</v>
      </c>
      <c r="J2" s="25"/>
    </row>
    <row r="3" spans="1:10" ht="15" customHeight="1">
      <c r="A3" s="29"/>
      <c r="B3" s="81"/>
      <c r="C3" s="82" t="s">
        <v>3</v>
      </c>
      <c r="D3" s="33"/>
      <c r="E3" s="82" t="s">
        <v>3</v>
      </c>
      <c r="F3" s="32"/>
      <c r="G3" s="31" t="s">
        <v>3</v>
      </c>
      <c r="H3" s="29" t="s">
        <v>45</v>
      </c>
      <c r="I3" s="53" t="s">
        <v>45</v>
      </c>
    </row>
    <row r="4" spans="1:10" ht="15" customHeight="1">
      <c r="A4" s="29" t="s">
        <v>46</v>
      </c>
      <c r="B4" s="83">
        <v>198270</v>
      </c>
      <c r="C4" s="84"/>
      <c r="D4" s="85">
        <v>168088</v>
      </c>
      <c r="E4" s="84"/>
      <c r="F4" s="85">
        <v>143015</v>
      </c>
      <c r="G4" s="51"/>
      <c r="H4" s="34">
        <f>(B4-F4)/F4</f>
        <v>0.38635807432786773</v>
      </c>
      <c r="I4" s="34">
        <f>(D4-F4)/F4</f>
        <v>0.175317274411775</v>
      </c>
    </row>
    <row r="5" spans="1:10" ht="15" customHeight="1">
      <c r="A5" s="29" t="s">
        <v>47</v>
      </c>
      <c r="B5" s="86">
        <v>62650</v>
      </c>
      <c r="C5" s="84">
        <f>B5/$B$4</f>
        <v>0.31598325515710901</v>
      </c>
      <c r="D5" s="87">
        <f>18219+34013</f>
        <v>52232</v>
      </c>
      <c r="E5" s="84">
        <f>D5/$D$4</f>
        <v>0.31074199228975297</v>
      </c>
      <c r="F5" s="87">
        <v>46078</v>
      </c>
      <c r="G5" s="51">
        <f>F5/$F$4</f>
        <v>0.32218998007202043</v>
      </c>
      <c r="H5" s="34">
        <f t="shared" ref="H5:H22" si="0">(B5-F5)/F5</f>
        <v>0.35965102652024827</v>
      </c>
      <c r="I5" s="34">
        <f t="shared" ref="I5:I22" si="1">(D5-F5)/F5</f>
        <v>0.13355614392985807</v>
      </c>
    </row>
    <row r="6" spans="1:10" ht="15" customHeight="1">
      <c r="A6" s="29" t="s">
        <v>48</v>
      </c>
      <c r="B6" s="86">
        <f>B4-B5</f>
        <v>135620</v>
      </c>
      <c r="C6" s="84">
        <f>B6/$B$4</f>
        <v>0.68401674484289099</v>
      </c>
      <c r="D6" s="87">
        <f>D4-D5</f>
        <v>115856</v>
      </c>
      <c r="E6" s="84">
        <f t="shared" ref="E6:E22" si="2">D6/$D$4</f>
        <v>0.68925800771024703</v>
      </c>
      <c r="F6" s="87">
        <f>F4-F5</f>
        <v>96937</v>
      </c>
      <c r="G6" s="51">
        <f t="shared" ref="G6:G22" si="3">F6/$F$4</f>
        <v>0.67781001992797962</v>
      </c>
      <c r="H6" s="34">
        <f t="shared" si="0"/>
        <v>0.39905299318113824</v>
      </c>
      <c r="I6" s="34">
        <f t="shared" si="1"/>
        <v>0.19516799570855298</v>
      </c>
    </row>
    <row r="7" spans="1:10" ht="15" customHeight="1">
      <c r="A7" s="29" t="s">
        <v>49</v>
      </c>
      <c r="B7" s="86"/>
      <c r="C7" s="84"/>
      <c r="D7" s="87"/>
      <c r="E7" s="84"/>
      <c r="F7" s="87"/>
      <c r="G7" s="51"/>
      <c r="H7" s="34"/>
      <c r="I7" s="34"/>
    </row>
    <row r="8" spans="1:10" ht="15" customHeight="1">
      <c r="A8" s="29" t="s">
        <v>50</v>
      </c>
      <c r="B8" s="86">
        <v>27725</v>
      </c>
      <c r="C8" s="84">
        <f>B8/$B$4</f>
        <v>0.13983456902204064</v>
      </c>
      <c r="D8" s="87">
        <f>20117+5107</f>
        <v>25224</v>
      </c>
      <c r="E8" s="84">
        <f t="shared" si="2"/>
        <v>0.15006425205844556</v>
      </c>
      <c r="F8" s="87">
        <v>24709</v>
      </c>
      <c r="G8" s="51">
        <f t="shared" si="3"/>
        <v>0.17277208684403733</v>
      </c>
      <c r="H8" s="34">
        <f t="shared" si="0"/>
        <v>0.12206078756728318</v>
      </c>
      <c r="I8" s="34">
        <f t="shared" si="1"/>
        <v>2.0842607956614998E-2</v>
      </c>
    </row>
    <row r="9" spans="1:10" ht="15" customHeight="1">
      <c r="A9" s="29" t="s">
        <v>51</v>
      </c>
      <c r="B9" s="88">
        <v>24512</v>
      </c>
      <c r="C9" s="84">
        <f>B9/$B$4</f>
        <v>0.12362939426035205</v>
      </c>
      <c r="D9" s="89">
        <v>20716</v>
      </c>
      <c r="E9" s="84">
        <f t="shared" si="2"/>
        <v>0.12324496692208843</v>
      </c>
      <c r="F9" s="89">
        <v>19269</v>
      </c>
      <c r="G9" s="51">
        <f t="shared" si="3"/>
        <v>0.1347341187987274</v>
      </c>
      <c r="H9" s="34">
        <f t="shared" si="0"/>
        <v>0.27209507499091806</v>
      </c>
      <c r="I9" s="34">
        <f t="shared" si="1"/>
        <v>7.5094711713114326E-2</v>
      </c>
    </row>
    <row r="10" spans="1:10" ht="15" customHeight="1">
      <c r="A10" s="29" t="s">
        <v>52</v>
      </c>
      <c r="B10" s="86">
        <f>B8+B9</f>
        <v>52237</v>
      </c>
      <c r="C10" s="84">
        <f t="shared" ref="C10:C22" si="4">B10/$B$4</f>
        <v>0.26346396328239269</v>
      </c>
      <c r="D10" s="87">
        <f>D8+D9</f>
        <v>45940</v>
      </c>
      <c r="E10" s="84">
        <f t="shared" si="2"/>
        <v>0.27330921898053401</v>
      </c>
      <c r="F10" s="87">
        <f>F8+F9</f>
        <v>43978</v>
      </c>
      <c r="G10" s="51">
        <f t="shared" si="3"/>
        <v>0.30750620564276476</v>
      </c>
      <c r="H10" s="34">
        <f t="shared" si="0"/>
        <v>0.18779844467688389</v>
      </c>
      <c r="I10" s="34">
        <f t="shared" si="1"/>
        <v>4.4613215698758472E-2</v>
      </c>
    </row>
    <row r="11" spans="1:10" ht="15" customHeight="1">
      <c r="A11" s="29" t="s">
        <v>53</v>
      </c>
      <c r="B11" s="86">
        <v>83383</v>
      </c>
      <c r="C11" s="84">
        <f>B11/$B$4</f>
        <v>0.4205527815604983</v>
      </c>
      <c r="D11" s="87">
        <v>69916</v>
      </c>
      <c r="E11" s="84">
        <f>D11/$D$4</f>
        <v>0.41594878872971303</v>
      </c>
      <c r="F11" s="87">
        <v>52959</v>
      </c>
      <c r="G11" s="51">
        <f t="shared" si="3"/>
        <v>0.37030381428521486</v>
      </c>
      <c r="H11" s="34">
        <f t="shared" si="0"/>
        <v>0.57448214656621155</v>
      </c>
      <c r="I11" s="34">
        <f t="shared" si="1"/>
        <v>0.32019109122151096</v>
      </c>
    </row>
    <row r="12" spans="1:10" ht="15" customHeight="1">
      <c r="A12" s="29" t="s">
        <v>54</v>
      </c>
      <c r="B12" s="86"/>
      <c r="C12" s="84"/>
      <c r="D12" s="87"/>
      <c r="E12" s="84"/>
      <c r="F12" s="87"/>
      <c r="G12" s="51"/>
      <c r="H12" s="34"/>
      <c r="I12" s="34"/>
    </row>
    <row r="13" spans="1:10" ht="15" customHeight="1">
      <c r="A13" s="29" t="s">
        <v>55</v>
      </c>
      <c r="B13" s="88">
        <v>333</v>
      </c>
      <c r="C13" s="84">
        <f t="shared" si="4"/>
        <v>1.6795279164775307E-3</v>
      </c>
      <c r="D13" s="89">
        <v>1186</v>
      </c>
      <c r="E13" s="84">
        <f t="shared" si="2"/>
        <v>7.0558278996716009E-3</v>
      </c>
      <c r="F13" s="89">
        <v>77</v>
      </c>
      <c r="G13" s="51">
        <f t="shared" si="3"/>
        <v>5.3840506240604132E-4</v>
      </c>
      <c r="H13" s="34">
        <f t="shared" si="0"/>
        <v>3.3246753246753249</v>
      </c>
      <c r="I13" s="34">
        <f>(D13-F13)/F13</f>
        <v>14.402597402597403</v>
      </c>
    </row>
    <row r="14" spans="1:10" ht="15" customHeight="1">
      <c r="A14" s="29" t="s">
        <v>56</v>
      </c>
      <c r="B14" s="86">
        <v>83716</v>
      </c>
      <c r="C14" s="84">
        <f t="shared" si="4"/>
        <v>0.42223230947697582</v>
      </c>
      <c r="D14" s="87">
        <v>71102</v>
      </c>
      <c r="E14" s="84">
        <f t="shared" si="2"/>
        <v>0.4230046166293846</v>
      </c>
      <c r="F14" s="87">
        <v>53036</v>
      </c>
      <c r="G14" s="51">
        <f t="shared" si="3"/>
        <v>0.37084221934762091</v>
      </c>
      <c r="H14" s="34">
        <f t="shared" si="0"/>
        <v>0.57847499811448833</v>
      </c>
      <c r="I14" s="34">
        <f t="shared" si="1"/>
        <v>0.3406365487593333</v>
      </c>
    </row>
    <row r="15" spans="1:10" ht="15" customHeight="1">
      <c r="A15" s="29" t="s">
        <v>57</v>
      </c>
      <c r="B15" s="86">
        <v>10978</v>
      </c>
      <c r="C15" s="84">
        <f t="shared" si="4"/>
        <v>5.5368941342613609E-2</v>
      </c>
      <c r="D15" s="87">
        <v>9831</v>
      </c>
      <c r="E15" s="84">
        <f t="shared" si="2"/>
        <v>5.8487220979486935E-2</v>
      </c>
      <c r="F15" s="87">
        <v>8755</v>
      </c>
      <c r="G15" s="51">
        <f t="shared" si="3"/>
        <v>6.1217354822920671E-2</v>
      </c>
      <c r="H15" s="34">
        <f t="shared" si="0"/>
        <v>0.25391205025699598</v>
      </c>
      <c r="I15" s="34">
        <f t="shared" si="1"/>
        <v>0.12290119931467733</v>
      </c>
    </row>
    <row r="16" spans="1:10" ht="15" customHeight="1">
      <c r="A16" s="29" t="s">
        <v>58</v>
      </c>
      <c r="B16" s="83">
        <v>72738</v>
      </c>
      <c r="C16" s="84">
        <f t="shared" si="4"/>
        <v>0.36686336813436221</v>
      </c>
      <c r="D16" s="85">
        <v>61271</v>
      </c>
      <c r="E16" s="84">
        <f t="shared" si="2"/>
        <v>0.36451739564989766</v>
      </c>
      <c r="F16" s="85">
        <v>44281</v>
      </c>
      <c r="G16" s="51">
        <f t="shared" si="3"/>
        <v>0.30962486452470023</v>
      </c>
      <c r="H16" s="34">
        <f t="shared" si="0"/>
        <v>0.642645830039972</v>
      </c>
      <c r="I16" s="34">
        <f t="shared" si="1"/>
        <v>0.38368600528443353</v>
      </c>
    </row>
    <row r="17" spans="1:9" ht="15" customHeight="1">
      <c r="A17" s="29"/>
      <c r="B17" s="86"/>
      <c r="C17" s="84"/>
      <c r="D17" s="87"/>
      <c r="E17" s="84"/>
      <c r="F17" s="87"/>
      <c r="G17" s="51">
        <f t="shared" si="3"/>
        <v>0</v>
      </c>
      <c r="H17" s="34"/>
      <c r="I17" s="34"/>
    </row>
    <row r="18" spans="1:9" ht="15" customHeight="1">
      <c r="A18" s="29" t="s">
        <v>59</v>
      </c>
      <c r="B18" s="86">
        <v>7496</v>
      </c>
      <c r="C18" s="84">
        <f t="shared" si="4"/>
        <v>3.7807030816563274E-2</v>
      </c>
      <c r="D18" s="87">
        <v>7547</v>
      </c>
      <c r="E18" s="84">
        <f t="shared" si="2"/>
        <v>4.4899100471181765E-2</v>
      </c>
      <c r="F18" s="87">
        <v>7610</v>
      </c>
      <c r="G18" s="51">
        <f t="shared" si="3"/>
        <v>5.3211201622207459E-2</v>
      </c>
      <c r="H18" s="34">
        <f t="shared" si="0"/>
        <v>-1.4980289093298292E-2</v>
      </c>
      <c r="I18" s="34">
        <f t="shared" si="1"/>
        <v>-8.2785808147174764E-3</v>
      </c>
    </row>
    <row r="19" spans="1:9" ht="15" customHeight="1">
      <c r="A19" s="29" t="s">
        <v>60</v>
      </c>
      <c r="B19" s="90">
        <v>9.6999999999999993</v>
      </c>
      <c r="C19" s="84">
        <f t="shared" si="4"/>
        <v>4.8923185555051188E-5</v>
      </c>
      <c r="D19" s="91">
        <v>8.1199999999999992</v>
      </c>
      <c r="E19" s="84">
        <f t="shared" si="2"/>
        <v>4.8308029127599826E-5</v>
      </c>
      <c r="F19" s="91">
        <v>5.82</v>
      </c>
      <c r="G19" s="51">
        <f t="shared" si="3"/>
        <v>4.0695031989651436E-5</v>
      </c>
      <c r="H19" s="34">
        <f t="shared" si="0"/>
        <v>0.66666666666666652</v>
      </c>
      <c r="I19" s="34">
        <f t="shared" si="1"/>
        <v>0.39518900343642593</v>
      </c>
    </row>
    <row r="20" spans="1:9" ht="15" customHeight="1">
      <c r="A20" s="29"/>
      <c r="B20" s="86"/>
      <c r="C20" s="84"/>
      <c r="D20" s="87"/>
      <c r="E20" s="84"/>
      <c r="F20" s="87"/>
      <c r="G20" s="51"/>
      <c r="H20" s="34"/>
      <c r="I20" s="34"/>
    </row>
    <row r="21" spans="1:9" ht="15" customHeight="1">
      <c r="A21" s="29" t="s">
        <v>61</v>
      </c>
      <c r="B21" s="86">
        <v>7540</v>
      </c>
      <c r="C21" s="84">
        <f t="shared" si="4"/>
        <v>3.8028950421142883E-2</v>
      </c>
      <c r="D21" s="87">
        <v>7608</v>
      </c>
      <c r="E21" s="84">
        <f t="shared" si="2"/>
        <v>4.5262005616105848E-2</v>
      </c>
      <c r="F21" s="87">
        <v>7683</v>
      </c>
      <c r="G21" s="51">
        <f t="shared" si="3"/>
        <v>5.3721637590462536E-2</v>
      </c>
      <c r="H21" s="34">
        <f t="shared" si="0"/>
        <v>-1.8612521150592216E-2</v>
      </c>
      <c r="I21" s="34">
        <f t="shared" si="1"/>
        <v>-9.7618117922686452E-3</v>
      </c>
    </row>
    <row r="22" spans="1:9" ht="15" customHeight="1">
      <c r="A22" s="29" t="s">
        <v>62</v>
      </c>
      <c r="B22" s="90">
        <v>9.65</v>
      </c>
      <c r="C22" s="84">
        <f t="shared" si="4"/>
        <v>4.8671004186210727E-5</v>
      </c>
      <c r="D22" s="91">
        <v>8.0500000000000007</v>
      </c>
      <c r="E22" s="84">
        <f t="shared" si="2"/>
        <v>4.7891580600637764E-5</v>
      </c>
      <c r="F22" s="91">
        <v>5.76</v>
      </c>
      <c r="G22" s="51">
        <f t="shared" si="3"/>
        <v>4.0275495577386985E-5</v>
      </c>
      <c r="H22" s="34">
        <f t="shared" si="0"/>
        <v>0.67534722222222232</v>
      </c>
      <c r="I22" s="34">
        <f t="shared" si="1"/>
        <v>0.39756944444444464</v>
      </c>
    </row>
    <row r="23" spans="1:9" ht="15" customHeight="1">
      <c r="A23" s="32"/>
      <c r="B23" s="81"/>
      <c r="C23" s="52"/>
      <c r="D23" s="33"/>
      <c r="E23" s="52"/>
      <c r="F23" s="33"/>
      <c r="G23" s="52"/>
      <c r="H23" s="34"/>
      <c r="I23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04E6-1C3E-49D3-9671-A7CE839D5EF7}">
  <dimension ref="A1:P53"/>
  <sheetViews>
    <sheetView topLeftCell="A9" zoomScale="91" workbookViewId="0">
      <selection activeCell="J50" sqref="J50"/>
    </sheetView>
  </sheetViews>
  <sheetFormatPr baseColWidth="10" defaultColWidth="8.83203125" defaultRowHeight="15"/>
  <cols>
    <col min="9" max="9" width="12.5" bestFit="1" customWidth="1"/>
    <col min="10" max="10" width="14.5" bestFit="1" customWidth="1"/>
    <col min="11" max="11" width="12.33203125" bestFit="1" customWidth="1"/>
    <col min="12" max="12" width="14.5" bestFit="1" customWidth="1"/>
    <col min="13" max="13" width="12.33203125" bestFit="1" customWidth="1"/>
    <col min="14" max="14" width="14.5" bestFit="1" customWidth="1"/>
    <col min="15" max="16" width="9.83203125" bestFit="1" customWidth="1"/>
  </cols>
  <sheetData>
    <row r="1" spans="1:16">
      <c r="B1" t="s">
        <v>63</v>
      </c>
    </row>
    <row r="3" spans="1:16" ht="16">
      <c r="A3" s="3" t="s">
        <v>64</v>
      </c>
      <c r="B3" s="3"/>
      <c r="C3" s="3"/>
      <c r="D3" s="3"/>
      <c r="E3" s="3"/>
      <c r="F3" s="3"/>
      <c r="G3" s="3"/>
      <c r="H3" s="3"/>
      <c r="I3" s="6">
        <v>2022</v>
      </c>
      <c r="J3" s="6" t="s">
        <v>3</v>
      </c>
      <c r="K3" s="6">
        <v>2021</v>
      </c>
      <c r="L3" s="57" t="s">
        <v>3</v>
      </c>
      <c r="M3" s="6">
        <v>2020</v>
      </c>
      <c r="N3" s="9" t="s">
        <v>3</v>
      </c>
      <c r="O3" s="57" t="s">
        <v>101</v>
      </c>
      <c r="P3" s="57" t="s">
        <v>5</v>
      </c>
    </row>
    <row r="4" spans="1:16" ht="16">
      <c r="A4" s="3" t="s">
        <v>65</v>
      </c>
      <c r="B4" s="3"/>
      <c r="C4" s="3"/>
      <c r="D4" s="3"/>
      <c r="E4" s="3"/>
      <c r="F4" s="3"/>
      <c r="G4" s="3"/>
      <c r="H4" s="3"/>
      <c r="I4" s="59">
        <v>14224</v>
      </c>
      <c r="J4" s="60"/>
      <c r="K4" s="19">
        <v>13576</v>
      </c>
      <c r="L4" s="42"/>
      <c r="M4" s="19">
        <v>11356</v>
      </c>
      <c r="N4" s="60"/>
      <c r="O4" s="12">
        <f>(I4-M4)/M4</f>
        <v>0.25255371609721733</v>
      </c>
      <c r="P4" s="12">
        <f>(K4-M4)/M4</f>
        <v>0.19549137020077492</v>
      </c>
    </row>
    <row r="5" spans="1:16" ht="16">
      <c r="A5" s="54" t="s">
        <v>66</v>
      </c>
      <c r="B5" s="2"/>
      <c r="C5" s="2"/>
      <c r="D5" s="2"/>
      <c r="E5" s="2"/>
      <c r="F5" s="2"/>
      <c r="G5" s="2"/>
      <c r="H5" s="2"/>
      <c r="I5" s="2"/>
      <c r="J5" s="61"/>
      <c r="K5" s="61"/>
      <c r="L5" s="61"/>
      <c r="M5" s="61"/>
      <c r="N5" s="61"/>
      <c r="O5" s="15"/>
      <c r="P5" s="15"/>
    </row>
    <row r="6" spans="1:16" ht="16">
      <c r="A6" s="3" t="s">
        <v>67</v>
      </c>
      <c r="B6" s="3"/>
      <c r="C6" s="3"/>
      <c r="D6" s="3"/>
      <c r="E6" s="3"/>
      <c r="F6" s="3"/>
      <c r="G6" s="3"/>
      <c r="H6" s="3"/>
      <c r="I6" s="19">
        <v>72738</v>
      </c>
      <c r="J6" s="42"/>
      <c r="K6" s="19">
        <v>61271</v>
      </c>
      <c r="L6" s="42"/>
      <c r="M6" s="19">
        <v>44281</v>
      </c>
      <c r="N6" s="42"/>
      <c r="O6" s="17">
        <f>(I6-M6)/M6</f>
        <v>0.642645830039972</v>
      </c>
      <c r="P6" s="17">
        <f>(K6-M6)/M6</f>
        <v>0.38368600528443353</v>
      </c>
    </row>
    <row r="7" spans="1:16" ht="16">
      <c r="A7" s="3" t="s">
        <v>68</v>
      </c>
      <c r="B7" s="3"/>
      <c r="C7" s="3"/>
      <c r="D7" s="3"/>
      <c r="E7" s="3"/>
      <c r="F7" s="3"/>
      <c r="G7" s="3"/>
      <c r="H7" s="3"/>
      <c r="I7" s="19"/>
      <c r="J7" s="42"/>
      <c r="K7" s="19"/>
      <c r="L7" s="42"/>
      <c r="M7" s="19"/>
      <c r="N7" s="42"/>
      <c r="O7" s="17"/>
      <c r="P7" s="17"/>
    </row>
    <row r="8" spans="1:16" ht="16">
      <c r="A8" s="3" t="s">
        <v>69</v>
      </c>
      <c r="B8" s="3"/>
      <c r="C8" s="3"/>
      <c r="D8" s="3"/>
      <c r="E8" s="3"/>
      <c r="F8" s="3"/>
      <c r="G8" s="3"/>
      <c r="H8" s="3"/>
      <c r="I8" s="19">
        <v>14460</v>
      </c>
      <c r="J8" s="42">
        <f>I8/$I$6</f>
        <v>0.19879567763754846</v>
      </c>
      <c r="K8" s="19">
        <v>11686</v>
      </c>
      <c r="L8" s="42">
        <f>K8/$K$6</f>
        <v>0.19072644481075876</v>
      </c>
      <c r="M8" s="19">
        <v>12796</v>
      </c>
      <c r="N8" s="42">
        <f>M8/$M$6</f>
        <v>0.28897269709356155</v>
      </c>
      <c r="O8" s="17">
        <f t="shared" ref="O8:O11" si="0">(I8-M8)/M8</f>
        <v>0.13004063769928104</v>
      </c>
      <c r="P8" s="17">
        <f t="shared" ref="P8:P11" si="1">(K8-M8)/M8</f>
        <v>-8.6745858080650204E-2</v>
      </c>
    </row>
    <row r="9" spans="1:16" ht="16">
      <c r="A9" s="3" t="s">
        <v>70</v>
      </c>
      <c r="B9" s="3"/>
      <c r="C9" s="3"/>
      <c r="D9" s="3"/>
      <c r="E9" s="3"/>
      <c r="F9" s="3"/>
      <c r="G9" s="3"/>
      <c r="H9" s="3"/>
      <c r="I9" s="19">
        <v>7502</v>
      </c>
      <c r="J9" s="42">
        <f t="shared" ref="J9:J11" si="2">I9/$I$6</f>
        <v>0.1031372872501306</v>
      </c>
      <c r="K9" s="19">
        <v>6118</v>
      </c>
      <c r="L9" s="42">
        <f t="shared" ref="L9:L11" si="3">K9/$K$6</f>
        <v>9.9851479492745338E-2</v>
      </c>
      <c r="M9" s="19">
        <v>5289</v>
      </c>
      <c r="N9" s="42">
        <f t="shared" ref="N9:N11" si="4">M9/$M$6</f>
        <v>0.11944174702468327</v>
      </c>
      <c r="O9" s="17">
        <f t="shared" si="0"/>
        <v>0.41841557950463226</v>
      </c>
      <c r="P9" s="17">
        <f t="shared" si="1"/>
        <v>0.15674040461334846</v>
      </c>
    </row>
    <row r="10" spans="1:16" ht="16">
      <c r="A10" s="3" t="s">
        <v>71</v>
      </c>
      <c r="B10" s="3"/>
      <c r="C10" s="3"/>
      <c r="D10" s="3"/>
      <c r="E10" s="3"/>
      <c r="F10" s="3"/>
      <c r="G10" s="3"/>
      <c r="H10" s="3"/>
      <c r="I10" s="19">
        <v>-409</v>
      </c>
      <c r="J10" s="42">
        <f t="shared" si="2"/>
        <v>-5.622920619208667E-3</v>
      </c>
      <c r="K10" s="19">
        <v>-1249</v>
      </c>
      <c r="L10" s="42">
        <f t="shared" si="3"/>
        <v>-2.0384847644073053E-2</v>
      </c>
      <c r="M10" s="19">
        <v>-219</v>
      </c>
      <c r="N10" s="42">
        <f t="shared" si="4"/>
        <v>-4.9456877667622681E-3</v>
      </c>
      <c r="O10" s="17">
        <f t="shared" si="0"/>
        <v>0.86757990867579904</v>
      </c>
      <c r="P10" s="17">
        <f t="shared" si="1"/>
        <v>4.7031963470319633</v>
      </c>
    </row>
    <row r="11" spans="1:16" ht="16">
      <c r="A11" s="3" t="s">
        <v>72</v>
      </c>
      <c r="B11" s="3"/>
      <c r="C11" s="3"/>
      <c r="D11" s="3"/>
      <c r="E11" s="3"/>
      <c r="F11" s="3"/>
      <c r="G11" s="3"/>
      <c r="H11" s="3"/>
      <c r="I11" s="19">
        <v>-5702</v>
      </c>
      <c r="J11" s="42">
        <f t="shared" si="2"/>
        <v>-7.8390937336742836E-2</v>
      </c>
      <c r="K11" s="19">
        <v>-150</v>
      </c>
      <c r="L11" s="42">
        <f t="shared" si="3"/>
        <v>-2.448140229472344E-3</v>
      </c>
      <c r="M11" s="19">
        <v>11</v>
      </c>
      <c r="N11" s="42">
        <f t="shared" si="4"/>
        <v>2.4841354079627832E-4</v>
      </c>
      <c r="O11" s="17">
        <f t="shared" si="0"/>
        <v>-519.36363636363637</v>
      </c>
      <c r="P11" s="17">
        <f t="shared" si="1"/>
        <v>-14.636363636363637</v>
      </c>
    </row>
    <row r="12" spans="1:16" ht="16">
      <c r="A12" s="3" t="s">
        <v>73</v>
      </c>
      <c r="B12" s="3"/>
      <c r="C12" s="3"/>
      <c r="D12" s="3"/>
      <c r="E12" s="3"/>
      <c r="F12" s="3"/>
      <c r="G12" s="3"/>
      <c r="H12" s="3"/>
      <c r="I12" s="19"/>
      <c r="J12" s="42"/>
      <c r="K12" s="19"/>
      <c r="L12" s="42"/>
      <c r="M12" s="19"/>
      <c r="N12" s="42"/>
      <c r="O12" s="17"/>
      <c r="P12" s="17"/>
    </row>
    <row r="13" spans="1:16" ht="16">
      <c r="A13" s="3" t="s">
        <v>74</v>
      </c>
      <c r="B13" s="3"/>
      <c r="C13" s="3"/>
      <c r="D13" s="3"/>
      <c r="E13" s="3"/>
      <c r="F13" s="3"/>
      <c r="G13" s="3"/>
      <c r="H13" s="3"/>
      <c r="I13" s="19">
        <v>-6834</v>
      </c>
      <c r="J13" s="42">
        <f t="shared" ref="J13:J21" si="5">I13/$I$6</f>
        <v>-9.3953641837828922E-2</v>
      </c>
      <c r="K13" s="19">
        <v>6481</v>
      </c>
      <c r="L13" s="42">
        <f t="shared" ref="L13:L21" si="6">K13/$K$6</f>
        <v>0.10577597884806841</v>
      </c>
      <c r="M13" s="19">
        <v>-2577</v>
      </c>
      <c r="N13" s="42">
        <f t="shared" ref="N13:N21" si="7">M13/$M$6</f>
        <v>-5.8196517693819019E-2</v>
      </c>
      <c r="O13" s="17">
        <f t="shared" ref="O13:O20" si="8">(I13-M13)/M13</f>
        <v>1.6519208381839348</v>
      </c>
      <c r="P13" s="17">
        <f t="shared" ref="P13:P20" si="9">(K13-M13)/M13</f>
        <v>-3.514939852541715</v>
      </c>
    </row>
    <row r="14" spans="1:16" ht="16">
      <c r="A14" s="3" t="s">
        <v>11</v>
      </c>
      <c r="B14" s="3"/>
      <c r="C14" s="3"/>
      <c r="D14" s="3"/>
      <c r="E14" s="3"/>
      <c r="F14" s="3"/>
      <c r="G14" s="3"/>
      <c r="H14" s="3"/>
      <c r="I14" s="19">
        <v>-1123</v>
      </c>
      <c r="J14" s="42">
        <f t="shared" si="5"/>
        <v>-1.5438972751519151E-2</v>
      </c>
      <c r="K14" s="19">
        <v>-737</v>
      </c>
      <c r="L14" s="42">
        <f t="shared" si="6"/>
        <v>-1.2028528994140784E-2</v>
      </c>
      <c r="M14" s="19">
        <v>168</v>
      </c>
      <c r="N14" s="42">
        <f t="shared" si="7"/>
        <v>3.7939522594340686E-3</v>
      </c>
      <c r="O14" s="17">
        <f>(I14-M14)/M14</f>
        <v>-7.6845238095238093</v>
      </c>
      <c r="P14" s="17">
        <f t="shared" si="9"/>
        <v>-5.3869047619047619</v>
      </c>
    </row>
    <row r="15" spans="1:16" ht="16">
      <c r="A15" s="3" t="s">
        <v>12</v>
      </c>
      <c r="B15" s="3"/>
      <c r="C15" s="3"/>
      <c r="D15" s="3"/>
      <c r="E15" s="3"/>
      <c r="F15" s="3"/>
      <c r="G15" s="3"/>
      <c r="H15" s="3"/>
      <c r="I15" s="19">
        <v>-709</v>
      </c>
      <c r="J15" s="42">
        <f t="shared" si="5"/>
        <v>-9.7473122714399618E-3</v>
      </c>
      <c r="K15" s="19">
        <v>-932</v>
      </c>
      <c r="L15" s="42">
        <f t="shared" si="6"/>
        <v>-1.5211111292454832E-2</v>
      </c>
      <c r="M15" s="19">
        <v>-2330</v>
      </c>
      <c r="N15" s="42">
        <f t="shared" si="7"/>
        <v>-5.2618504550484405E-2</v>
      </c>
      <c r="O15" s="17">
        <f t="shared" si="8"/>
        <v>-0.69570815450643775</v>
      </c>
      <c r="P15" s="17">
        <f t="shared" si="9"/>
        <v>-0.6</v>
      </c>
    </row>
    <row r="16" spans="1:16" ht="16">
      <c r="A16" s="3" t="s">
        <v>75</v>
      </c>
      <c r="B16" s="3"/>
      <c r="C16" s="3"/>
      <c r="D16" s="3"/>
      <c r="E16" s="3"/>
      <c r="F16" s="3"/>
      <c r="G16" s="3"/>
      <c r="H16" s="3"/>
      <c r="I16" s="19">
        <v>-2805</v>
      </c>
      <c r="J16" s="42"/>
      <c r="K16" s="19">
        <v>-3459</v>
      </c>
      <c r="L16" s="42"/>
      <c r="M16" s="19">
        <v>-1037</v>
      </c>
      <c r="N16" s="42"/>
      <c r="O16" s="17"/>
      <c r="P16" s="17"/>
    </row>
    <row r="17" spans="1:16" ht="16">
      <c r="A17" s="3" t="s">
        <v>76</v>
      </c>
      <c r="B17" s="3"/>
      <c r="C17" s="3"/>
      <c r="D17" s="3"/>
      <c r="E17" s="3"/>
      <c r="F17" s="3"/>
      <c r="G17" s="3"/>
      <c r="H17" s="3"/>
      <c r="I17" s="19">
        <v>2943</v>
      </c>
      <c r="J17" s="42">
        <f t="shared" si="5"/>
        <v>4.0460282108389013E-2</v>
      </c>
      <c r="K17" s="19">
        <v>2798</v>
      </c>
      <c r="L17" s="42">
        <f t="shared" si="6"/>
        <v>4.5665975747090796E-2</v>
      </c>
      <c r="M17" s="19">
        <v>3018</v>
      </c>
      <c r="N17" s="42">
        <f t="shared" si="7"/>
        <v>6.8155642374833444E-2</v>
      </c>
      <c r="O17" s="17">
        <f t="shared" si="8"/>
        <v>-2.4850894632206761E-2</v>
      </c>
      <c r="P17" s="17">
        <f t="shared" si="9"/>
        <v>-7.2895957587806495E-2</v>
      </c>
    </row>
    <row r="18" spans="1:16" ht="16">
      <c r="A18" s="3" t="s">
        <v>77</v>
      </c>
      <c r="B18" s="3"/>
      <c r="C18" s="3"/>
      <c r="D18" s="3"/>
      <c r="E18" s="3"/>
      <c r="F18" s="3"/>
      <c r="G18" s="3"/>
      <c r="H18" s="3"/>
      <c r="I18" s="19">
        <v>5109</v>
      </c>
      <c r="J18" s="42">
        <f t="shared" si="5"/>
        <v>7.0238389837498971E-2</v>
      </c>
      <c r="K18" s="19">
        <v>4633</v>
      </c>
      <c r="L18" s="42">
        <f t="shared" si="6"/>
        <v>7.5614891220969135E-2</v>
      </c>
      <c r="M18" s="19">
        <v>2212</v>
      </c>
      <c r="N18" s="42">
        <f t="shared" si="7"/>
        <v>4.995370474921524E-2</v>
      </c>
      <c r="O18" s="17">
        <f t="shared" si="8"/>
        <v>1.3096745027124774</v>
      </c>
      <c r="P18" s="17">
        <f t="shared" si="9"/>
        <v>1.0944846292947559</v>
      </c>
    </row>
    <row r="19" spans="1:16" ht="16">
      <c r="A19" s="3" t="s">
        <v>78</v>
      </c>
      <c r="B19" s="3"/>
      <c r="C19" s="3"/>
      <c r="D19" s="3"/>
      <c r="E19" s="3"/>
      <c r="F19" s="3"/>
      <c r="G19" s="3"/>
      <c r="H19" s="3"/>
      <c r="I19" s="19">
        <v>696</v>
      </c>
      <c r="J19" s="42"/>
      <c r="K19" s="19">
        <v>-2309</v>
      </c>
      <c r="L19" s="42"/>
      <c r="M19" s="19">
        <v>-3631</v>
      </c>
      <c r="N19" s="42"/>
      <c r="O19" s="17"/>
      <c r="P19" s="17"/>
    </row>
    <row r="20" spans="1:16" ht="16">
      <c r="A20" s="3" t="s">
        <v>79</v>
      </c>
      <c r="B20" s="3"/>
      <c r="C20" s="3"/>
      <c r="D20" s="3"/>
      <c r="E20" s="3"/>
      <c r="F20" s="3"/>
      <c r="G20" s="3"/>
      <c r="H20" s="3"/>
      <c r="I20" s="19">
        <f>2344+825</f>
        <v>3169</v>
      </c>
      <c r="J20" s="42">
        <f t="shared" si="5"/>
        <v>4.3567323819736589E-2</v>
      </c>
      <c r="K20" s="19">
        <f>4149+1402</f>
        <v>5551</v>
      </c>
      <c r="L20" s="42">
        <f t="shared" si="6"/>
        <v>9.0597509425339881E-2</v>
      </c>
      <c r="M20" s="19">
        <f>1346+1348</f>
        <v>2694</v>
      </c>
      <c r="N20" s="42">
        <f t="shared" si="7"/>
        <v>6.0838734445924886E-2</v>
      </c>
      <c r="O20" s="17">
        <f t="shared" si="8"/>
        <v>0.17631774313288789</v>
      </c>
      <c r="P20" s="17">
        <f t="shared" si="9"/>
        <v>1.0605048255382332</v>
      </c>
    </row>
    <row r="21" spans="1:16" ht="16">
      <c r="A21" s="3" t="s">
        <v>80</v>
      </c>
      <c r="B21" s="3"/>
      <c r="C21" s="3"/>
      <c r="D21" s="3"/>
      <c r="E21" s="3"/>
      <c r="F21" s="3"/>
      <c r="G21" s="3"/>
      <c r="H21" s="3"/>
      <c r="I21" s="59">
        <v>89035</v>
      </c>
      <c r="J21" s="60">
        <f t="shared" si="5"/>
        <v>1.224050702521378</v>
      </c>
      <c r="K21" s="19">
        <v>76740</v>
      </c>
      <c r="L21" s="42">
        <f t="shared" si="6"/>
        <v>1.2524685413980512</v>
      </c>
      <c r="M21" s="19">
        <v>60675</v>
      </c>
      <c r="N21" s="60">
        <f t="shared" si="7"/>
        <v>1.370226507983108</v>
      </c>
      <c r="O21" s="12">
        <f>(I21-M21)/M21</f>
        <v>0.46740832303255048</v>
      </c>
      <c r="P21" s="12">
        <f>(K21-M21)/M21</f>
        <v>0.26477132262051917</v>
      </c>
    </row>
    <row r="22" spans="1:16" ht="16">
      <c r="A22" s="3"/>
      <c r="B22" s="3"/>
      <c r="C22" s="3"/>
      <c r="D22" s="3"/>
      <c r="E22" s="3"/>
      <c r="F22" s="3"/>
      <c r="G22" s="3"/>
      <c r="H22" s="3"/>
      <c r="I22" s="59"/>
      <c r="J22" s="60"/>
      <c r="K22" s="19"/>
      <c r="L22" s="42"/>
      <c r="M22" s="19"/>
      <c r="N22" s="60"/>
      <c r="O22" s="12"/>
      <c r="P22" s="12"/>
    </row>
    <row r="23" spans="1:16" ht="16">
      <c r="A23" s="54" t="s">
        <v>81</v>
      </c>
      <c r="B23" s="2"/>
      <c r="C23" s="2"/>
      <c r="D23" s="2"/>
      <c r="E23" s="2"/>
      <c r="F23" s="2"/>
      <c r="G23" s="2"/>
      <c r="H23" s="2"/>
      <c r="I23" s="62"/>
      <c r="J23" s="61"/>
      <c r="K23" s="61"/>
      <c r="L23" s="61"/>
      <c r="M23" s="61"/>
      <c r="N23" s="61"/>
      <c r="O23" s="15"/>
      <c r="P23" s="15"/>
    </row>
    <row r="24" spans="1:16" ht="19">
      <c r="A24" s="66" t="s">
        <v>82</v>
      </c>
      <c r="B24" s="3"/>
      <c r="C24" s="3"/>
      <c r="D24" s="3"/>
      <c r="E24" s="3"/>
      <c r="F24" s="3"/>
      <c r="G24" s="3"/>
      <c r="H24" s="3"/>
      <c r="I24" s="59">
        <v>-23886</v>
      </c>
      <c r="J24" s="60">
        <f t="shared" ref="J24:J30" si="10">I24/$I$6</f>
        <v>-0.32838406335065579</v>
      </c>
      <c r="K24" s="19">
        <v>-20622</v>
      </c>
      <c r="L24" s="42">
        <f t="shared" ref="L24:L30" si="11">K24/$K$6</f>
        <v>-0.33657031874785787</v>
      </c>
      <c r="M24" s="19">
        <v>-15441</v>
      </c>
      <c r="N24" s="60">
        <f t="shared" ref="N24:N30" si="12">M24/$M$6</f>
        <v>-0.34870486213048485</v>
      </c>
      <c r="O24" s="12">
        <f t="shared" ref="O24:O30" si="13">(I24-M24)/M24</f>
        <v>0.54692053623469983</v>
      </c>
      <c r="P24" s="12">
        <f t="shared" ref="P24:P30" si="14">(K24-M24)/M24</f>
        <v>0.33553526326015154</v>
      </c>
    </row>
    <row r="25" spans="1:16" ht="16">
      <c r="A25" s="3" t="s">
        <v>83</v>
      </c>
      <c r="B25" s="3"/>
      <c r="C25" s="3"/>
      <c r="D25" s="3"/>
      <c r="E25" s="3"/>
      <c r="F25" s="3"/>
      <c r="G25" s="3"/>
      <c r="H25" s="3"/>
      <c r="I25" s="59">
        <v>-22038</v>
      </c>
      <c r="J25" s="60">
        <f t="shared" si="10"/>
        <v>-0.30297781077291097</v>
      </c>
      <c r="K25" s="19">
        <v>-8909</v>
      </c>
      <c r="L25" s="42">
        <f t="shared" si="11"/>
        <v>-0.1454032086957941</v>
      </c>
      <c r="M25" s="19">
        <v>-2521</v>
      </c>
      <c r="N25" s="60">
        <f t="shared" si="12"/>
        <v>-5.6931866940674328E-2</v>
      </c>
      <c r="O25" s="12">
        <f t="shared" si="13"/>
        <v>7.7417691392304642</v>
      </c>
      <c r="P25" s="12">
        <f t="shared" si="14"/>
        <v>2.533915113050377</v>
      </c>
    </row>
    <row r="26" spans="1:16" ht="16">
      <c r="A26" s="3" t="s">
        <v>84</v>
      </c>
      <c r="B26" s="3"/>
      <c r="C26" s="3"/>
      <c r="D26" s="3"/>
      <c r="E26" s="3"/>
      <c r="F26" s="3"/>
      <c r="G26" s="3"/>
      <c r="H26" s="3"/>
      <c r="I26" s="59">
        <v>-26456</v>
      </c>
      <c r="J26" s="60">
        <f t="shared" si="10"/>
        <v>-0.36371635183810386</v>
      </c>
      <c r="K26" s="19">
        <v>-62924</v>
      </c>
      <c r="L26" s="42">
        <f t="shared" si="11"/>
        <v>-1.0269785053287852</v>
      </c>
      <c r="M26" s="19">
        <v>-77190</v>
      </c>
      <c r="N26" s="60">
        <f t="shared" si="12"/>
        <v>-1.7431855649149748</v>
      </c>
      <c r="O26" s="12">
        <f t="shared" si="13"/>
        <v>-0.65726130327762666</v>
      </c>
      <c r="P26" s="12">
        <f t="shared" si="14"/>
        <v>-0.18481668609923566</v>
      </c>
    </row>
    <row r="27" spans="1:16" ht="16">
      <c r="A27" s="3" t="s">
        <v>85</v>
      </c>
      <c r="B27" s="3"/>
      <c r="C27" s="3"/>
      <c r="D27" s="3"/>
      <c r="E27" s="3"/>
      <c r="F27" s="3"/>
      <c r="G27" s="3"/>
      <c r="H27" s="3"/>
      <c r="I27" s="59">
        <v>16451</v>
      </c>
      <c r="J27" s="60">
        <f t="shared" si="10"/>
        <v>0.22616789023619016</v>
      </c>
      <c r="K27" s="19">
        <v>51792</v>
      </c>
      <c r="L27" s="42">
        <f t="shared" si="11"/>
        <v>0.84529385843221094</v>
      </c>
      <c r="M27" s="19">
        <v>66449</v>
      </c>
      <c r="N27" s="60">
        <f t="shared" si="12"/>
        <v>1.5006210338519907</v>
      </c>
      <c r="O27" s="12">
        <f t="shared" si="13"/>
        <v>-0.75242667308763111</v>
      </c>
      <c r="P27" s="12">
        <f t="shared" si="14"/>
        <v>-0.22057517795602644</v>
      </c>
    </row>
    <row r="28" spans="1:16" ht="16">
      <c r="A28" s="3" t="s">
        <v>86</v>
      </c>
      <c r="B28" s="3"/>
      <c r="C28" s="3"/>
      <c r="D28" s="3"/>
      <c r="E28" s="3"/>
      <c r="F28" s="3"/>
      <c r="G28" s="3"/>
      <c r="H28" s="3"/>
      <c r="I28" s="59">
        <v>28443</v>
      </c>
      <c r="J28" s="60">
        <f t="shared" si="10"/>
        <v>0.39103357254804916</v>
      </c>
      <c r="K28" s="19">
        <v>14008</v>
      </c>
      <c r="L28" s="42">
        <f t="shared" si="11"/>
        <v>0.22862365556299064</v>
      </c>
      <c r="M28" s="19">
        <v>17721</v>
      </c>
      <c r="N28" s="60">
        <f t="shared" si="12"/>
        <v>0.40019421422280438</v>
      </c>
      <c r="O28" s="12">
        <f t="shared" si="13"/>
        <v>0.60504486202810226</v>
      </c>
      <c r="P28" s="12">
        <f t="shared" si="14"/>
        <v>-0.20952542181592462</v>
      </c>
    </row>
    <row r="29" spans="1:16" ht="16">
      <c r="A29" s="3" t="s">
        <v>87</v>
      </c>
      <c r="B29" s="3"/>
      <c r="C29" s="3"/>
      <c r="D29" s="3"/>
      <c r="E29" s="3"/>
      <c r="F29" s="3"/>
      <c r="G29" s="3"/>
      <c r="H29" s="3"/>
      <c r="I29" s="59">
        <v>-2825</v>
      </c>
      <c r="J29" s="60">
        <f t="shared" si="10"/>
        <v>-3.8838021391844703E-2</v>
      </c>
      <c r="K29" s="19">
        <v>-922</v>
      </c>
      <c r="L29" s="42">
        <f t="shared" si="11"/>
        <v>-1.5047901943823341E-2</v>
      </c>
      <c r="M29" s="19">
        <v>-1241</v>
      </c>
      <c r="N29" s="60">
        <f t="shared" si="12"/>
        <v>-2.8025564011652855E-2</v>
      </c>
      <c r="O29" s="12">
        <f t="shared" si="13"/>
        <v>1.2763900080580177</v>
      </c>
      <c r="P29" s="12">
        <f t="shared" si="14"/>
        <v>-0.2570507655116841</v>
      </c>
    </row>
    <row r="30" spans="1:16" ht="16">
      <c r="A30" s="3" t="s">
        <v>88</v>
      </c>
      <c r="B30" s="3"/>
      <c r="C30" s="3"/>
      <c r="D30" s="3"/>
      <c r="E30" s="3"/>
      <c r="F30" s="3"/>
      <c r="G30" s="3"/>
      <c r="H30" s="3"/>
      <c r="I30" s="59">
        <v>-30311</v>
      </c>
      <c r="J30" s="60">
        <f t="shared" si="10"/>
        <v>-0.41671478456927602</v>
      </c>
      <c r="K30" s="19">
        <v>-27577</v>
      </c>
      <c r="L30" s="42">
        <f t="shared" si="11"/>
        <v>-0.45008242072105892</v>
      </c>
      <c r="M30" s="19">
        <v>-12223</v>
      </c>
      <c r="N30" s="60">
        <f t="shared" si="12"/>
        <v>-0.27603260992299178</v>
      </c>
      <c r="O30" s="12">
        <f t="shared" si="13"/>
        <v>1.4798331015299027</v>
      </c>
      <c r="P30" s="12">
        <f t="shared" si="14"/>
        <v>1.2561564264092284</v>
      </c>
    </row>
    <row r="31" spans="1:16" ht="16">
      <c r="A31" s="3" t="s">
        <v>89</v>
      </c>
      <c r="B31" s="3"/>
      <c r="C31" s="3"/>
      <c r="D31" s="3"/>
      <c r="E31" s="3"/>
      <c r="F31" s="3"/>
      <c r="G31" s="3"/>
      <c r="H31" s="3"/>
      <c r="I31" s="59">
        <v>-141</v>
      </c>
      <c r="J31" s="60"/>
      <c r="K31" s="19">
        <v>-29</v>
      </c>
      <c r="L31" s="42"/>
      <c r="M31" s="19">
        <v>-201</v>
      </c>
      <c r="N31" s="60"/>
      <c r="O31" s="12"/>
      <c r="P31" s="12"/>
    </row>
    <row r="32" spans="1:16" ht="16">
      <c r="A32" s="3" t="s">
        <v>90</v>
      </c>
      <c r="B32" s="3"/>
      <c r="C32" s="3"/>
      <c r="D32" s="3"/>
      <c r="E32" s="3"/>
      <c r="F32" s="3"/>
      <c r="G32" s="3"/>
      <c r="H32" s="3"/>
      <c r="I32" s="59">
        <v>-293</v>
      </c>
      <c r="J32" s="60"/>
      <c r="K32" s="19">
        <v>648</v>
      </c>
      <c r="L32" s="42"/>
      <c r="M32" s="19">
        <v>2220</v>
      </c>
      <c r="N32" s="60"/>
      <c r="O32" s="12"/>
      <c r="P32" s="12"/>
    </row>
    <row r="33" spans="1:16" ht="16">
      <c r="A33" s="3" t="s">
        <v>91</v>
      </c>
      <c r="B33" s="3"/>
      <c r="C33" s="3"/>
      <c r="D33" s="3"/>
      <c r="E33" s="3"/>
      <c r="F33" s="3"/>
      <c r="G33" s="3"/>
      <c r="H33" s="3"/>
      <c r="I33" s="59">
        <v>14224</v>
      </c>
      <c r="J33" s="60"/>
      <c r="K33" s="19">
        <v>13576</v>
      </c>
      <c r="L33" s="42"/>
      <c r="M33" s="19">
        <v>11356</v>
      </c>
      <c r="N33" s="60"/>
      <c r="O33" s="12"/>
      <c r="P33" s="12"/>
    </row>
    <row r="34" spans="1:16" ht="16">
      <c r="A34" s="3" t="s">
        <v>92</v>
      </c>
      <c r="B34" s="3"/>
      <c r="C34" s="3"/>
      <c r="D34" s="3"/>
      <c r="E34" s="3"/>
      <c r="F34" s="3"/>
      <c r="G34" s="3"/>
      <c r="H34" s="3"/>
      <c r="I34" s="59">
        <v>13576</v>
      </c>
      <c r="J34" s="60"/>
      <c r="K34" s="19">
        <v>14224</v>
      </c>
      <c r="L34" s="42"/>
      <c r="M34" s="19">
        <v>13576</v>
      </c>
      <c r="N34" s="60"/>
      <c r="O34" s="12"/>
      <c r="P34" s="12"/>
    </row>
    <row r="35" spans="1:16" ht="17">
      <c r="A35" s="58" t="s">
        <v>93</v>
      </c>
      <c r="B35" s="2"/>
      <c r="C35" s="2"/>
      <c r="D35" s="2"/>
      <c r="E35" s="2"/>
      <c r="F35" s="2"/>
      <c r="G35" s="2"/>
      <c r="H35" s="2"/>
      <c r="I35" s="62"/>
      <c r="J35" s="61"/>
      <c r="K35" s="61"/>
      <c r="L35" s="61"/>
      <c r="M35" s="61"/>
      <c r="N35" s="61"/>
      <c r="O35" s="15"/>
      <c r="P35" s="15"/>
    </row>
    <row r="36" spans="1:16" ht="16">
      <c r="A36" s="67" t="s">
        <v>94</v>
      </c>
      <c r="B36" s="3"/>
      <c r="C36" s="3"/>
      <c r="D36" s="3"/>
      <c r="E36" s="3"/>
      <c r="F36" s="3"/>
      <c r="G36" s="3"/>
      <c r="H36" s="3"/>
      <c r="I36" s="59">
        <v>0</v>
      </c>
      <c r="J36" s="60">
        <f t="shared" ref="J36:J42" si="15">I36/$I$6</f>
        <v>0</v>
      </c>
      <c r="K36" s="19">
        <v>-1754</v>
      </c>
      <c r="L36" s="42">
        <f t="shared" ref="L36:L42" si="16">K36/$K$6</f>
        <v>-2.8626919749963276E-2</v>
      </c>
      <c r="M36" s="19">
        <v>-3417</v>
      </c>
      <c r="N36" s="60">
        <f t="shared" ref="N36:N42" si="17">M36/$M$6</f>
        <v>-7.7166278990989365E-2</v>
      </c>
      <c r="O36" s="12">
        <f t="shared" ref="O36:O42" si="18">(I36-M36)/M36</f>
        <v>-1</v>
      </c>
      <c r="P36" s="12">
        <f t="shared" ref="P36:P42" si="19">(K36-M36)/M36</f>
        <v>-0.48668422592917765</v>
      </c>
    </row>
    <row r="37" spans="1:16" ht="16">
      <c r="A37" s="67" t="s">
        <v>95</v>
      </c>
      <c r="B37" s="3"/>
      <c r="C37" s="3"/>
      <c r="D37" s="3"/>
      <c r="E37" s="3"/>
      <c r="F37" s="3"/>
      <c r="G37" s="3"/>
      <c r="H37" s="3"/>
      <c r="I37" s="59">
        <v>-9023</v>
      </c>
      <c r="J37" s="60">
        <f t="shared" si="15"/>
        <v>-0.12404795292694328</v>
      </c>
      <c r="K37" s="19">
        <v>-3750</v>
      </c>
      <c r="L37" s="42">
        <f t="shared" si="16"/>
        <v>-6.1203505736808606E-2</v>
      </c>
      <c r="M37" s="19">
        <v>-5518</v>
      </c>
      <c r="N37" s="60">
        <f t="shared" si="17"/>
        <v>-0.12461326528307852</v>
      </c>
      <c r="O37" s="12">
        <f t="shared" si="18"/>
        <v>0.63519391083725985</v>
      </c>
      <c r="P37" s="12">
        <f t="shared" si="19"/>
        <v>-0.32040594418267487</v>
      </c>
    </row>
    <row r="38" spans="1:16" ht="16">
      <c r="A38" s="67" t="s">
        <v>96</v>
      </c>
      <c r="B38" s="3"/>
      <c r="C38" s="3"/>
      <c r="D38" s="3"/>
      <c r="E38" s="3"/>
      <c r="F38" s="3"/>
      <c r="G38" s="3"/>
      <c r="H38" s="3"/>
      <c r="I38" s="59">
        <v>1841</v>
      </c>
      <c r="J38" s="60">
        <f t="shared" si="15"/>
        <v>2.5310016772526051E-2</v>
      </c>
      <c r="K38" s="19">
        <v>1693</v>
      </c>
      <c r="L38" s="42">
        <f t="shared" si="16"/>
        <v>2.7631342723311192E-2</v>
      </c>
      <c r="M38" s="19">
        <v>1343</v>
      </c>
      <c r="N38" s="60">
        <f t="shared" si="17"/>
        <v>3.0329035026309251E-2</v>
      </c>
      <c r="O38" s="12">
        <f t="shared" si="18"/>
        <v>0.37081161578555472</v>
      </c>
      <c r="P38" s="12">
        <f t="shared" si="19"/>
        <v>0.26061057334326138</v>
      </c>
    </row>
    <row r="39" spans="1:16" ht="16">
      <c r="A39" s="67" t="s">
        <v>97</v>
      </c>
      <c r="B39" s="3"/>
      <c r="C39" s="3"/>
      <c r="D39" s="3"/>
      <c r="E39" s="3"/>
      <c r="F39" s="3"/>
      <c r="G39" s="3"/>
      <c r="H39" s="3"/>
      <c r="I39" s="59">
        <v>-32696</v>
      </c>
      <c r="J39" s="60">
        <f t="shared" si="15"/>
        <v>-0.44950369820451486</v>
      </c>
      <c r="K39" s="19">
        <v>-27385</v>
      </c>
      <c r="L39" s="42">
        <f t="shared" si="16"/>
        <v>-0.44694880122733432</v>
      </c>
      <c r="M39" s="19">
        <v>-22968</v>
      </c>
      <c r="N39" s="60">
        <f t="shared" si="17"/>
        <v>-0.51868747318262909</v>
      </c>
      <c r="O39" s="12">
        <f t="shared" si="18"/>
        <v>0.42354580285614768</v>
      </c>
      <c r="P39" s="12">
        <f t="shared" si="19"/>
        <v>0.19231104144897249</v>
      </c>
    </row>
    <row r="40" spans="1:16" ht="16">
      <c r="A40" s="67" t="s">
        <v>98</v>
      </c>
      <c r="B40" s="3"/>
      <c r="C40" s="3"/>
      <c r="D40" s="3"/>
      <c r="E40" s="3"/>
      <c r="F40" s="3"/>
      <c r="G40" s="3"/>
      <c r="H40" s="3"/>
      <c r="I40" s="59">
        <v>-18135</v>
      </c>
      <c r="J40" s="60">
        <f t="shared" si="15"/>
        <v>-0.24931947537738183</v>
      </c>
      <c r="K40" s="19">
        <v>-16521</v>
      </c>
      <c r="L40" s="42">
        <f t="shared" si="16"/>
        <v>-0.26963816487408399</v>
      </c>
      <c r="M40" s="19">
        <v>-15137</v>
      </c>
      <c r="N40" s="60">
        <f t="shared" si="17"/>
        <v>-0.34183961518484224</v>
      </c>
      <c r="O40" s="12">
        <f t="shared" si="18"/>
        <v>0.19805773931426307</v>
      </c>
      <c r="P40" s="12">
        <f t="shared" si="19"/>
        <v>9.143159146462311E-2</v>
      </c>
    </row>
    <row r="41" spans="1:16" ht="16">
      <c r="A41" s="67" t="s">
        <v>99</v>
      </c>
      <c r="B41" s="3"/>
      <c r="C41" s="3"/>
      <c r="D41" s="3"/>
      <c r="E41" s="3"/>
      <c r="F41" s="3"/>
      <c r="G41" s="3"/>
      <c r="H41" s="3"/>
      <c r="I41" s="59">
        <v>-863</v>
      </c>
      <c r="J41" s="60">
        <f t="shared" si="15"/>
        <v>-1.1864499986252029E-2</v>
      </c>
      <c r="K41" s="19">
        <v>-769</v>
      </c>
      <c r="L41" s="42">
        <f t="shared" si="16"/>
        <v>-1.2550798909761551E-2</v>
      </c>
      <c r="M41" s="19">
        <v>-334</v>
      </c>
      <c r="N41" s="60">
        <f t="shared" si="17"/>
        <v>-7.5427384205415419E-3</v>
      </c>
      <c r="O41" s="12">
        <f t="shared" si="18"/>
        <v>1.5838323353293413</v>
      </c>
      <c r="P41" s="12">
        <f t="shared" si="19"/>
        <v>1.3023952095808384</v>
      </c>
    </row>
    <row r="42" spans="1:16" ht="16">
      <c r="A42" s="67" t="s">
        <v>100</v>
      </c>
      <c r="B42" s="3"/>
      <c r="C42" s="3"/>
      <c r="D42" s="3"/>
      <c r="E42" s="3"/>
      <c r="F42" s="3"/>
      <c r="G42" s="3"/>
      <c r="H42" s="3"/>
      <c r="I42" s="59">
        <v>-58876</v>
      </c>
      <c r="J42" s="60">
        <f t="shared" si="15"/>
        <v>-0.80942560972256594</v>
      </c>
      <c r="K42" s="19">
        <v>-48486</v>
      </c>
      <c r="L42" s="42">
        <f t="shared" si="16"/>
        <v>-0.79133684777464053</v>
      </c>
      <c r="M42" s="19">
        <v>-46031</v>
      </c>
      <c r="N42" s="60">
        <f t="shared" si="17"/>
        <v>-1.0395203360357717</v>
      </c>
      <c r="O42" s="12">
        <f t="shared" si="18"/>
        <v>0.27905107427603137</v>
      </c>
      <c r="P42" s="12">
        <f t="shared" si="19"/>
        <v>5.3333622993200235E-2</v>
      </c>
    </row>
    <row r="43" spans="1:16" ht="16">
      <c r="A43" s="3"/>
      <c r="B43" s="3"/>
      <c r="C43" s="3"/>
      <c r="D43" s="3"/>
      <c r="E43" s="3"/>
      <c r="F43" s="3"/>
      <c r="G43" s="3"/>
      <c r="H43" s="3"/>
      <c r="I43" s="59"/>
      <c r="J43" s="60"/>
      <c r="K43" s="59"/>
      <c r="L43" s="60"/>
      <c r="M43" s="59"/>
      <c r="N43" s="60"/>
      <c r="O43" s="12"/>
      <c r="P43" s="12"/>
    </row>
    <row r="44" spans="1:16" ht="16">
      <c r="A44" s="3"/>
      <c r="B44" s="3"/>
      <c r="C44" s="3"/>
      <c r="D44" s="3"/>
      <c r="E44" s="3"/>
      <c r="F44" s="3"/>
      <c r="G44" s="3"/>
      <c r="H44" s="3"/>
      <c r="I44" s="59"/>
      <c r="J44" s="60"/>
      <c r="K44" s="59"/>
      <c r="L44" s="60"/>
      <c r="M44" s="59"/>
      <c r="N44" s="60"/>
      <c r="O44" s="12"/>
      <c r="P44" s="12"/>
    </row>
    <row r="45" spans="1:16" ht="16">
      <c r="A45" s="3"/>
      <c r="B45" s="3"/>
      <c r="C45" s="3"/>
      <c r="D45" s="3"/>
      <c r="E45" s="3"/>
      <c r="F45" s="3"/>
      <c r="G45" s="3"/>
      <c r="H45" s="3"/>
      <c r="I45" s="59"/>
      <c r="J45" s="60"/>
      <c r="K45" s="59"/>
      <c r="L45" s="60"/>
      <c r="M45" s="59"/>
      <c r="N45" s="60"/>
      <c r="O45" s="12"/>
      <c r="P45" s="12"/>
    </row>
    <row r="46" spans="1:16" ht="16">
      <c r="A46" s="3"/>
      <c r="B46" s="3"/>
      <c r="C46" s="3"/>
      <c r="D46" s="3"/>
      <c r="E46" s="3"/>
      <c r="F46" s="3"/>
      <c r="G46" s="3"/>
      <c r="H46" s="3"/>
      <c r="I46" s="59"/>
      <c r="J46" s="60"/>
      <c r="K46" s="59"/>
      <c r="L46" s="60"/>
      <c r="M46" s="59"/>
      <c r="N46" s="60"/>
      <c r="O46" s="12"/>
      <c r="P46" s="12"/>
    </row>
    <row r="47" spans="1:16" ht="16">
      <c r="A47" s="3"/>
      <c r="B47" s="3"/>
      <c r="C47" s="3"/>
      <c r="D47" s="3"/>
      <c r="E47" s="3"/>
      <c r="F47" s="3"/>
      <c r="G47" s="3"/>
      <c r="H47" s="3"/>
      <c r="I47" s="59"/>
      <c r="J47" s="60"/>
      <c r="K47" s="59"/>
      <c r="L47" s="60"/>
      <c r="M47" s="59"/>
      <c r="N47" s="60"/>
      <c r="O47" s="12"/>
      <c r="P47" s="12"/>
    </row>
    <row r="48" spans="1:16" ht="16">
      <c r="A48" s="3"/>
      <c r="B48" s="3"/>
      <c r="C48" s="3"/>
      <c r="D48" s="3"/>
      <c r="E48" s="3"/>
      <c r="F48" s="3"/>
      <c r="G48" s="3"/>
      <c r="H48" s="3"/>
      <c r="I48" s="59"/>
      <c r="J48" s="60"/>
      <c r="K48" s="59"/>
      <c r="L48" s="60"/>
      <c r="M48" s="59"/>
      <c r="N48" s="60"/>
      <c r="O48" s="12"/>
      <c r="P48" s="12"/>
    </row>
    <row r="49" spans="1:6" ht="16">
      <c r="A49" s="3"/>
      <c r="B49" s="3"/>
      <c r="C49" s="3"/>
      <c r="D49" s="3"/>
      <c r="E49" s="3"/>
      <c r="F49" s="3"/>
    </row>
    <row r="50" spans="1:6" ht="17">
      <c r="A50" s="55"/>
      <c r="B50" s="3"/>
      <c r="C50" s="3"/>
      <c r="D50" s="3"/>
      <c r="E50" s="3"/>
      <c r="F50" s="3"/>
    </row>
    <row r="51" spans="1:6" ht="16">
      <c r="A51" s="3"/>
      <c r="B51" s="3"/>
      <c r="C51" s="3"/>
      <c r="D51" s="3"/>
      <c r="E51" s="3"/>
      <c r="F51" s="3"/>
    </row>
    <row r="52" spans="1:6" ht="16">
      <c r="A52" s="3"/>
      <c r="B52" s="3"/>
      <c r="C52" s="3"/>
      <c r="D52" s="3"/>
      <c r="E52" s="3"/>
      <c r="F52" s="3"/>
    </row>
    <row r="53" spans="1:6" ht="16">
      <c r="A53" s="3"/>
      <c r="B53" s="3"/>
      <c r="C53" s="3"/>
      <c r="D53" s="3"/>
      <c r="E53" s="3"/>
      <c r="F5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7874-6ACA-4838-B8B9-43A72D9A81BB}">
  <dimension ref="A1:A6"/>
  <sheetViews>
    <sheetView workbookViewId="0">
      <selection sqref="A1:AA7"/>
    </sheetView>
  </sheetViews>
  <sheetFormatPr baseColWidth="10" defaultColWidth="11.5" defaultRowHeight="15"/>
  <cols>
    <col min="1" max="1" width="146.5" customWidth="1"/>
  </cols>
  <sheetData>
    <row r="1" spans="1:1" ht="17">
      <c r="A1" s="63"/>
    </row>
    <row r="2" spans="1:1" ht="17">
      <c r="A2" s="63"/>
    </row>
    <row r="3" spans="1:1" ht="17">
      <c r="A3" s="64"/>
    </row>
    <row r="4" spans="1:1" ht="17">
      <c r="A4" s="64"/>
    </row>
    <row r="5" spans="1:1" ht="17">
      <c r="A5" s="64"/>
    </row>
    <row r="6" spans="1:1" ht="17">
      <c r="A6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Ratios</vt:lpstr>
      <vt:lpstr>Balance Sheet</vt:lpstr>
      <vt:lpstr>Income Statement</vt:lpstr>
      <vt:lpstr>Statement of Cash Flows </vt:lpstr>
      <vt:lpstr>Observations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 Weng (Shaowen)</cp:lastModifiedBy>
  <cp:revision/>
  <dcterms:created xsi:type="dcterms:W3CDTF">2024-01-23T15:23:41Z</dcterms:created>
  <dcterms:modified xsi:type="dcterms:W3CDTF">2024-03-03T03:00:04Z</dcterms:modified>
  <cp:category/>
  <cp:contentStatus/>
</cp:coreProperties>
</file>