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zard24\Dropbox\ECE 642\"/>
    </mc:Choice>
  </mc:AlternateContent>
  <bookViews>
    <workbookView xWindow="465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O28" i="1"/>
  <c r="O27" i="1"/>
  <c r="F26" i="1"/>
  <c r="O11" i="1"/>
  <c r="O10" i="1"/>
  <c r="F25" i="1"/>
  <c r="F38" i="1" l="1"/>
  <c r="C83" i="1" l="1"/>
  <c r="C81" i="1"/>
  <c r="F90" i="1" s="1"/>
  <c r="F91" i="1" s="1"/>
  <c r="F92" i="1" l="1"/>
  <c r="F93" i="1"/>
  <c r="F79" i="1"/>
  <c r="F80" i="1" s="1"/>
  <c r="F82" i="1" s="1"/>
  <c r="F100" i="1"/>
  <c r="F101" i="1" s="1"/>
  <c r="C50" i="1"/>
  <c r="C48" i="1"/>
  <c r="F46" i="1" s="1"/>
  <c r="F61" i="1"/>
  <c r="F62" i="1" s="1"/>
  <c r="F70" i="1"/>
  <c r="F71" i="1" s="1"/>
  <c r="F105" i="1" l="1"/>
  <c r="F107" i="1" s="1"/>
  <c r="F103" i="1"/>
  <c r="F104" i="1"/>
  <c r="F106" i="1" s="1"/>
  <c r="F81" i="1"/>
  <c r="F94" i="1" s="1"/>
  <c r="F96" i="1" s="1"/>
  <c r="F102" i="1"/>
  <c r="F65" i="1"/>
  <c r="F47" i="1"/>
  <c r="F83" i="1" s="1"/>
  <c r="F64" i="1"/>
  <c r="F63" i="1"/>
  <c r="F66" i="1"/>
  <c r="F74" i="1"/>
  <c r="F75" i="1"/>
  <c r="F72" i="1"/>
  <c r="F73" i="1"/>
  <c r="I35" i="1"/>
  <c r="F40" i="1"/>
  <c r="O18" i="1"/>
  <c r="F84" i="1" l="1"/>
  <c r="F86" i="1" s="1"/>
  <c r="F85" i="1"/>
  <c r="F95" i="1"/>
  <c r="I82" i="1"/>
  <c r="F49" i="1"/>
  <c r="F48" i="1"/>
  <c r="F51" i="1" s="1"/>
  <c r="F39" i="1"/>
  <c r="F41" i="1"/>
  <c r="F43" i="1"/>
  <c r="F42" i="1"/>
  <c r="O9" i="1"/>
  <c r="O8" i="1"/>
  <c r="J13" i="1"/>
  <c r="J12" i="1"/>
  <c r="J11" i="1"/>
  <c r="J17" i="1" s="1"/>
  <c r="J10" i="1"/>
  <c r="J16" i="1" s="1"/>
  <c r="J9" i="1"/>
  <c r="J15" i="1" s="1"/>
  <c r="J19" i="1" s="1"/>
  <c r="J8" i="1"/>
  <c r="J14" i="1" s="1"/>
  <c r="J18" i="1" s="1"/>
  <c r="F4" i="1"/>
  <c r="J5" i="1"/>
  <c r="O5" i="1" s="1"/>
  <c r="O7" i="1" s="1"/>
  <c r="J4" i="1"/>
  <c r="I103" i="1" l="1"/>
  <c r="F97" i="1"/>
  <c r="F87" i="1"/>
  <c r="I93" i="1"/>
  <c r="F50" i="1"/>
  <c r="F52" i="1" s="1"/>
  <c r="F53" i="1" s="1"/>
  <c r="H51" i="1"/>
  <c r="J20" i="1"/>
  <c r="O16" i="1"/>
  <c r="X11" i="1" s="1"/>
  <c r="O12" i="1"/>
  <c r="J21" i="1"/>
  <c r="O4" i="1"/>
  <c r="O6" i="1" s="1"/>
  <c r="O20" i="1"/>
  <c r="O17" i="1"/>
  <c r="O19" i="1"/>
  <c r="O13" i="1"/>
  <c r="O15" i="1" s="1"/>
  <c r="O14" i="1"/>
  <c r="O26" i="1"/>
  <c r="O25" i="1"/>
  <c r="J6" i="1"/>
  <c r="J7" i="1"/>
  <c r="O21" i="1" l="1"/>
  <c r="O23" i="1"/>
  <c r="O24" i="1"/>
  <c r="O22" i="1"/>
</calcChain>
</file>

<file path=xl/sharedStrings.xml><?xml version="1.0" encoding="utf-8"?>
<sst xmlns="http://schemas.openxmlformats.org/spreadsheetml/2006/main" count="382" uniqueCount="162">
  <si>
    <t>RESISTIVTY RANGE</t>
  </si>
  <si>
    <t>Low</t>
  </si>
  <si>
    <t>High</t>
  </si>
  <si>
    <t>DOPING CONCENTRATION</t>
  </si>
  <si>
    <t>STEP 5</t>
  </si>
  <si>
    <t>IMPURITY DOPING</t>
  </si>
  <si>
    <t>Dose</t>
  </si>
  <si>
    <t>Energy</t>
  </si>
  <si>
    <t>Type</t>
  </si>
  <si>
    <t>STEP 17</t>
  </si>
  <si>
    <t>STEP 21</t>
  </si>
  <si>
    <t>STEP</t>
  </si>
  <si>
    <t>Boron</t>
  </si>
  <si>
    <t>Arsenic</t>
  </si>
  <si>
    <t>Phosphorus</t>
  </si>
  <si>
    <t>Rp</t>
  </si>
  <si>
    <t>Range</t>
  </si>
  <si>
    <t>Straggle</t>
  </si>
  <si>
    <r>
      <rPr>
        <sz val="11"/>
        <color theme="1"/>
        <rFont val="Calibri"/>
        <family val="2"/>
      </rPr>
      <t>Δ</t>
    </r>
    <r>
      <rPr>
        <sz val="11"/>
        <color theme="1"/>
        <rFont val="Times New Roman"/>
        <family val="1"/>
      </rPr>
      <t>Rp</t>
    </r>
  </si>
  <si>
    <t>RESULTS</t>
  </si>
  <si>
    <t>STEP 2</t>
  </si>
  <si>
    <t>Tox</t>
  </si>
  <si>
    <r>
      <t>cm</t>
    </r>
    <r>
      <rPr>
        <vertAlign val="superscript"/>
        <sz val="11"/>
        <color theme="1"/>
        <rFont val="Times New Roman"/>
        <family val="1"/>
      </rPr>
      <t>-3</t>
    </r>
  </si>
  <si>
    <t>STEP 7</t>
  </si>
  <si>
    <t>STEP 11</t>
  </si>
  <si>
    <t>OXIDE LAYER</t>
  </si>
  <si>
    <t>DIFFUSION/OXIDE</t>
  </si>
  <si>
    <t>GATE OXIDE</t>
  </si>
  <si>
    <t>STEP 23</t>
  </si>
  <si>
    <t>DIFFUSION/CONTACT</t>
  </si>
  <si>
    <t>pg77</t>
  </si>
  <si>
    <t>FABRICATION INPUTS</t>
  </si>
  <si>
    <t xml:space="preserve">CONSTANTS </t>
  </si>
  <si>
    <t>Nc</t>
  </si>
  <si>
    <t>Nv</t>
  </si>
  <si>
    <r>
      <rPr>
        <sz val="11"/>
        <color theme="1"/>
        <rFont val="Calibri"/>
        <family val="2"/>
      </rPr>
      <t>ϵ</t>
    </r>
    <r>
      <rPr>
        <vertAlign val="subscript"/>
        <sz val="11"/>
        <color theme="1"/>
        <rFont val="Times New Roman"/>
        <family val="1"/>
      </rPr>
      <t>s</t>
    </r>
  </si>
  <si>
    <r>
      <t>n</t>
    </r>
    <r>
      <rPr>
        <vertAlign val="subscript"/>
        <sz val="11"/>
        <color theme="1"/>
        <rFont val="Times New Roman"/>
        <family val="1"/>
      </rPr>
      <t xml:space="preserve">i </t>
    </r>
  </si>
  <si>
    <t>χ</t>
  </si>
  <si>
    <t>q</t>
  </si>
  <si>
    <r>
      <t>k</t>
    </r>
    <r>
      <rPr>
        <vertAlign val="subscript"/>
        <sz val="11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T</t>
    </r>
  </si>
  <si>
    <r>
      <rPr>
        <sz val="11"/>
        <color theme="1"/>
        <rFont val="Calibri"/>
        <family val="2"/>
      </rPr>
      <t>ϵ</t>
    </r>
    <r>
      <rPr>
        <vertAlign val="subscript"/>
        <sz val="11"/>
        <color theme="1"/>
        <rFont val="Calibri"/>
        <family val="2"/>
      </rPr>
      <t>0</t>
    </r>
  </si>
  <si>
    <t>eV</t>
  </si>
  <si>
    <r>
      <t>k</t>
    </r>
    <r>
      <rPr>
        <vertAlign val="subscript"/>
        <sz val="11"/>
        <color theme="1"/>
        <rFont val="Times New Roman"/>
        <family val="1"/>
      </rPr>
      <t>B</t>
    </r>
  </si>
  <si>
    <r>
      <t>(N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) Low</t>
    </r>
  </si>
  <si>
    <r>
      <t>(N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) High</t>
    </r>
  </si>
  <si>
    <t>CALCULATIONS</t>
  </si>
  <si>
    <r>
      <t>(n</t>
    </r>
    <r>
      <rPr>
        <vertAlign val="subscript"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) Low</t>
    </r>
  </si>
  <si>
    <r>
      <t>(n</t>
    </r>
    <r>
      <rPr>
        <vertAlign val="subscript"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) High</t>
    </r>
  </si>
  <si>
    <r>
      <t>(p</t>
    </r>
    <r>
      <rPr>
        <vertAlign val="subscript"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) Low</t>
    </r>
  </si>
  <si>
    <r>
      <t>(p</t>
    </r>
    <r>
      <rPr>
        <vertAlign val="subscript"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) High</t>
    </r>
  </si>
  <si>
    <t>INPUTS</t>
  </si>
  <si>
    <r>
      <rPr>
        <sz val="11"/>
        <color theme="1"/>
        <rFont val="Calibri"/>
        <family val="2"/>
      </rPr>
      <t>(μ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) Low</t>
    </r>
  </si>
  <si>
    <r>
      <rPr>
        <sz val="11"/>
        <color theme="1"/>
        <rFont val="Calibri"/>
        <family val="2"/>
      </rPr>
      <t>(μ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) High</t>
    </r>
  </si>
  <si>
    <r>
      <rPr>
        <sz val="11"/>
        <color theme="1"/>
        <rFont val="Calibri"/>
        <family val="2"/>
      </rPr>
      <t>(μ</t>
    </r>
    <r>
      <rPr>
        <vertAlign val="subscript"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) High</t>
    </r>
  </si>
  <si>
    <r>
      <rPr>
        <sz val="11"/>
        <color theme="1"/>
        <rFont val="Calibri"/>
        <family val="2"/>
      </rPr>
      <t>(μ</t>
    </r>
    <r>
      <rPr>
        <vertAlign val="subscript"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) Low</t>
    </r>
  </si>
  <si>
    <t>SILICON</t>
  </si>
  <si>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n-min</t>
    </r>
  </si>
  <si>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n-max</t>
    </r>
  </si>
  <si>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p-min</t>
    </r>
  </si>
  <si>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p-max</t>
    </r>
  </si>
  <si>
    <r>
      <t>μ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-Nref</t>
    </r>
  </si>
  <si>
    <r>
      <t>μ</t>
    </r>
    <r>
      <rPr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-γ</t>
    </r>
  </si>
  <si>
    <r>
      <t>μ</t>
    </r>
    <r>
      <rPr>
        <vertAlign val="subscript"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-Nref</t>
    </r>
  </si>
  <si>
    <r>
      <t>μ</t>
    </r>
    <r>
      <rPr>
        <vertAlign val="subscript"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-γ</t>
    </r>
  </si>
  <si>
    <t>(Dp) Low</t>
  </si>
  <si>
    <t>(Dp) High</t>
  </si>
  <si>
    <t>(τ) Low</t>
  </si>
  <si>
    <t>(τ) High</t>
  </si>
  <si>
    <t>(Lp) Low</t>
  </si>
  <si>
    <t>(Lp) High</t>
  </si>
  <si>
    <t>RESULTS 1</t>
  </si>
  <si>
    <t>RESULTS 2</t>
  </si>
  <si>
    <t>(Dn) Low</t>
  </si>
  <si>
    <t>(Dn) High</t>
  </si>
  <si>
    <t>(Ln) Low</t>
  </si>
  <si>
    <t>(Ln) High</t>
  </si>
  <si>
    <t>cm</t>
  </si>
  <si>
    <t>sec</t>
  </si>
  <si>
    <t>F/cm</t>
  </si>
  <si>
    <t>C</t>
  </si>
  <si>
    <t>J</t>
  </si>
  <si>
    <t>eV/K</t>
  </si>
  <si>
    <r>
      <t>cm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/V*sec</t>
    </r>
  </si>
  <si>
    <r>
      <t>cm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/sec</t>
    </r>
  </si>
  <si>
    <r>
      <t>(J</t>
    </r>
    <r>
      <rPr>
        <vertAlign val="subscript"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) High</t>
    </r>
  </si>
  <si>
    <r>
      <t>(J</t>
    </r>
    <r>
      <rPr>
        <vertAlign val="subscript"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) Low</t>
    </r>
  </si>
  <si>
    <t>(Xp) Low</t>
  </si>
  <si>
    <t>(Xp) High</t>
  </si>
  <si>
    <t>sqrt((2*$F$8*$F$9)/($F$11*J4)(Vbi</t>
  </si>
  <si>
    <t>(Vbi) Low</t>
  </si>
  <si>
    <t>(Vbi) High</t>
  </si>
  <si>
    <r>
      <t>N</t>
    </r>
    <r>
      <rPr>
        <vertAlign val="subscript"/>
        <sz val="11"/>
        <color theme="1"/>
        <rFont val="Times New Roman"/>
        <family val="1"/>
      </rPr>
      <t>D</t>
    </r>
  </si>
  <si>
    <r>
      <t>(E</t>
    </r>
    <r>
      <rPr>
        <vertAlign val="subscript"/>
        <sz val="11"/>
        <color theme="1"/>
        <rFont val="Times New Roman"/>
        <family val="1"/>
      </rPr>
      <t>Fi</t>
    </r>
    <r>
      <rPr>
        <sz val="11"/>
        <color theme="1"/>
        <rFont val="Times New Roman"/>
        <family val="1"/>
      </rPr>
      <t>) Low</t>
    </r>
  </si>
  <si>
    <r>
      <t>(E</t>
    </r>
    <r>
      <rPr>
        <vertAlign val="subscript"/>
        <sz val="11"/>
        <color theme="1"/>
        <rFont val="Times New Roman"/>
        <family val="1"/>
      </rPr>
      <t>Fi</t>
    </r>
    <r>
      <rPr>
        <sz val="11"/>
        <color theme="1"/>
        <rFont val="Times New Roman"/>
        <family val="1"/>
      </rPr>
      <t>) High</t>
    </r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</si>
  <si>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) High</t>
    </r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</si>
  <si>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) Low</t>
    </r>
  </si>
  <si>
    <r>
      <t>Bandgap (E</t>
    </r>
    <r>
      <rPr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)</t>
    </r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</si>
  <si>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) Low</t>
    </r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</si>
  <si>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) High</t>
    </r>
  </si>
  <si>
    <t>Qss</t>
  </si>
  <si>
    <t>Ci</t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</si>
  <si>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Bi</t>
    </r>
    <r>
      <rPr>
        <sz val="11"/>
        <color theme="1"/>
        <rFont val="Times New Roman"/>
        <family val="1"/>
      </rPr>
      <t>) Low</t>
    </r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</si>
  <si>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Bi</t>
    </r>
    <r>
      <rPr>
        <sz val="11"/>
        <color theme="1"/>
        <rFont val="Times New Roman"/>
        <family val="1"/>
      </rPr>
      <t>) High</t>
    </r>
  </si>
  <si>
    <t>(Wd) Low</t>
  </si>
  <si>
    <t>(Wd) High</t>
  </si>
  <si>
    <t>poly n+</t>
  </si>
  <si>
    <t>poly p+</t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</si>
  <si>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-χ) p</t>
    </r>
    <r>
      <rPr>
        <vertAlign val="superscript"/>
        <sz val="11"/>
        <color theme="1"/>
        <rFont val="Times New Roman"/>
        <family val="1"/>
      </rPr>
      <t>+</t>
    </r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</si>
  <si>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-χ) n</t>
    </r>
    <r>
      <rPr>
        <vertAlign val="superscript"/>
        <sz val="11"/>
        <color theme="1"/>
        <rFont val="Times New Roman"/>
        <family val="1"/>
      </rPr>
      <t>+</t>
    </r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</si>
  <si>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) Low</t>
    </r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</si>
  <si>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) High</t>
    </r>
  </si>
  <si>
    <t>(Ci)</t>
  </si>
  <si>
    <r>
      <t>F/cm</t>
    </r>
    <r>
      <rPr>
        <vertAlign val="superscript"/>
        <sz val="10"/>
        <color theme="1"/>
        <rFont val="Times New Roman"/>
        <family val="1"/>
      </rPr>
      <t>2</t>
    </r>
  </si>
  <si>
    <t>V</t>
  </si>
  <si>
    <r>
      <t>(V</t>
    </r>
    <r>
      <rPr>
        <vertAlign val="subscript"/>
        <sz val="11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>) High</t>
    </r>
  </si>
  <si>
    <r>
      <t>(V</t>
    </r>
    <r>
      <rPr>
        <vertAlign val="subscript"/>
        <sz val="11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>) Low</t>
    </r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</si>
  <si>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SB</t>
    </r>
    <r>
      <rPr>
        <sz val="11"/>
        <color theme="1"/>
        <rFont val="Times New Roman"/>
        <family val="1"/>
      </rPr>
      <t>) Low</t>
    </r>
  </si>
  <si>
    <r>
      <t>(</t>
    </r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Times New Roman"/>
        <family val="1"/>
      </rPr>
      <t>SB</t>
    </r>
    <r>
      <rPr>
        <sz val="11"/>
        <color theme="1"/>
        <rFont val="Times New Roman"/>
        <family val="1"/>
      </rPr>
      <t>) High</t>
    </r>
  </si>
  <si>
    <t>app volts:</t>
  </si>
  <si>
    <t>um</t>
  </si>
  <si>
    <t>(Np) Peak Conc</t>
  </si>
  <si>
    <r>
      <t>(N</t>
    </r>
    <r>
      <rPr>
        <sz val="10"/>
        <color theme="1"/>
        <rFont val="Times New Roman"/>
        <family val="1"/>
      </rPr>
      <t>(x)</t>
    </r>
    <r>
      <rPr>
        <sz val="11"/>
        <color theme="1"/>
        <rFont val="Times New Roman"/>
        <family val="1"/>
      </rPr>
      <t>) Conc</t>
    </r>
  </si>
  <si>
    <t xml:space="preserve"> </t>
  </si>
  <si>
    <t>Depth (x):</t>
  </si>
  <si>
    <t>pg 113</t>
  </si>
  <si>
    <t>kV</t>
  </si>
  <si>
    <t>D</t>
  </si>
  <si>
    <r>
      <t>D</t>
    </r>
    <r>
      <rPr>
        <vertAlign val="subscript"/>
        <sz val="11"/>
        <color theme="1"/>
        <rFont val="Times New Roman"/>
        <family val="1"/>
      </rPr>
      <t>o</t>
    </r>
  </si>
  <si>
    <r>
      <t>E</t>
    </r>
    <r>
      <rPr>
        <vertAlign val="subscript"/>
        <sz val="11"/>
        <color theme="1"/>
        <rFont val="Times New Roman"/>
        <family val="1"/>
      </rPr>
      <t>A</t>
    </r>
  </si>
  <si>
    <r>
      <t>Temp (C</t>
    </r>
    <r>
      <rPr>
        <sz val="11"/>
        <color theme="1"/>
        <rFont val="Calibri"/>
        <family val="2"/>
      </rPr>
      <t>⁰</t>
    </r>
    <r>
      <rPr>
        <sz val="11"/>
        <color theme="1"/>
        <rFont val="Times New Roman"/>
        <family val="1"/>
      </rPr>
      <t>)</t>
    </r>
  </si>
  <si>
    <t>Temp (K)</t>
  </si>
  <si>
    <t>Total Time</t>
  </si>
  <si>
    <t>Dt</t>
  </si>
  <si>
    <t>min</t>
  </si>
  <si>
    <r>
      <t>cm</t>
    </r>
    <r>
      <rPr>
        <vertAlign val="superscript"/>
        <sz val="10"/>
        <color theme="1"/>
        <rFont val="Times New Roman"/>
        <family val="1"/>
      </rPr>
      <t>2</t>
    </r>
  </si>
  <si>
    <t>(x)-xj:</t>
  </si>
  <si>
    <t>actual x</t>
  </si>
  <si>
    <r>
      <t>(</t>
    </r>
    <r>
      <rPr>
        <sz val="11"/>
        <color theme="1"/>
        <rFont val="Calibri"/>
        <family val="2"/>
      </rPr>
      <t>X</t>
    </r>
    <r>
      <rPr>
        <vertAlign val="subscript"/>
        <sz val="11"/>
        <color theme="1"/>
        <rFont val="Times New Roman"/>
        <family val="1"/>
      </rPr>
      <t>j1</t>
    </r>
    <r>
      <rPr>
        <sz val="11"/>
        <color theme="1"/>
        <rFont val="Times New Roman"/>
        <family val="1"/>
      </rPr>
      <t>) Low</t>
    </r>
  </si>
  <si>
    <r>
      <t>(</t>
    </r>
    <r>
      <rPr>
        <sz val="11"/>
        <color theme="1"/>
        <rFont val="Calibri"/>
        <family val="2"/>
      </rPr>
      <t>X</t>
    </r>
    <r>
      <rPr>
        <vertAlign val="subscript"/>
        <sz val="11"/>
        <color theme="1"/>
        <rFont val="Times New Roman"/>
        <family val="1"/>
      </rPr>
      <t>j2</t>
    </r>
    <r>
      <rPr>
        <sz val="11"/>
        <color theme="1"/>
        <rFont val="Times New Roman"/>
        <family val="1"/>
      </rPr>
      <t>) Low</t>
    </r>
  </si>
  <si>
    <r>
      <t>(</t>
    </r>
    <r>
      <rPr>
        <sz val="11"/>
        <color theme="1"/>
        <rFont val="Calibri"/>
        <family val="2"/>
      </rPr>
      <t>X</t>
    </r>
    <r>
      <rPr>
        <vertAlign val="subscript"/>
        <sz val="11"/>
        <color theme="1"/>
        <rFont val="Times New Roman"/>
        <family val="1"/>
      </rPr>
      <t>j1</t>
    </r>
    <r>
      <rPr>
        <sz val="11"/>
        <color theme="1"/>
        <rFont val="Times New Roman"/>
        <family val="1"/>
      </rPr>
      <t>) High</t>
    </r>
  </si>
  <si>
    <r>
      <t>(</t>
    </r>
    <r>
      <rPr>
        <sz val="11"/>
        <color theme="1"/>
        <rFont val="Calibri"/>
        <family val="2"/>
      </rPr>
      <t>X</t>
    </r>
    <r>
      <rPr>
        <vertAlign val="subscript"/>
        <sz val="11"/>
        <color theme="1"/>
        <rFont val="Times New Roman"/>
        <family val="1"/>
      </rPr>
      <t>j2</t>
    </r>
    <r>
      <rPr>
        <sz val="11"/>
        <color theme="1"/>
        <rFont val="Times New Roman"/>
        <family val="1"/>
      </rPr>
      <t>) High</t>
    </r>
  </si>
  <si>
    <t>PHOSPHORUS</t>
  </si>
  <si>
    <t>ARSENIC</t>
  </si>
  <si>
    <t>BORON</t>
  </si>
  <si>
    <t>vt</t>
  </si>
  <si>
    <t>NOT DONE</t>
  </si>
  <si>
    <r>
      <t>A/cm</t>
    </r>
    <r>
      <rPr>
        <vertAlign val="superscript"/>
        <sz val="10"/>
        <color theme="1"/>
        <rFont val="Times New Roman"/>
        <family val="1"/>
      </rPr>
      <t>2</t>
    </r>
  </si>
  <si>
    <r>
      <t>(X</t>
    </r>
    <r>
      <rPr>
        <vertAlign val="subscript"/>
        <sz val="11"/>
        <color theme="1"/>
        <rFont val="Times New Roman"/>
        <family val="1"/>
      </rPr>
      <t>j</t>
    </r>
    <r>
      <rPr>
        <sz val="11"/>
        <color theme="1"/>
        <rFont val="Times New Roman"/>
        <family val="1"/>
      </rPr>
      <t>) Low</t>
    </r>
    <r>
      <rPr>
        <vertAlign val="subscript"/>
        <sz val="11"/>
        <color theme="1"/>
        <rFont val="Times New Roman"/>
        <family val="1"/>
      </rPr>
      <t xml:space="preserve"> </t>
    </r>
  </si>
  <si>
    <r>
      <t>(X</t>
    </r>
    <r>
      <rPr>
        <vertAlign val="subscript"/>
        <sz val="11"/>
        <color theme="1"/>
        <rFont val="Times New Roman"/>
        <family val="1"/>
      </rPr>
      <t>j</t>
    </r>
    <r>
      <rPr>
        <sz val="11"/>
        <color theme="1"/>
        <rFont val="Times New Roman"/>
        <family val="1"/>
      </rPr>
      <t>) High</t>
    </r>
    <r>
      <rPr>
        <vertAlign val="subscript"/>
        <sz val="11"/>
        <color theme="1"/>
        <rFont val="Times New Roman"/>
        <family val="1"/>
      </rPr>
      <t xml:space="preserve"> </t>
    </r>
  </si>
  <si>
    <t>Not Calculated</t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</si>
  <si>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</si>
  <si>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t</t>
    </r>
    <r>
      <rPr>
        <vertAlign val="subscript"/>
        <sz val="11"/>
        <color theme="1"/>
        <rFont val="Times New Roman"/>
        <family val="1"/>
      </rPr>
      <t>2</t>
    </r>
  </si>
  <si>
    <r>
      <t>(Dt)</t>
    </r>
    <r>
      <rPr>
        <vertAlign val="subscript"/>
        <sz val="11"/>
        <color theme="1"/>
        <rFont val="Times New Roman"/>
        <family val="1"/>
      </rPr>
      <t>total</t>
    </r>
  </si>
  <si>
    <t>: Orange Cell is Input Cell</t>
  </si>
  <si>
    <t>(Lateral Xj) Low</t>
  </si>
  <si>
    <t>(Lateral Xj) High</t>
  </si>
  <si>
    <t>Nss</t>
  </si>
  <si>
    <r>
      <t>C/cm</t>
    </r>
    <r>
      <rPr>
        <vertAlign val="superscript"/>
        <sz val="10"/>
        <color theme="1"/>
        <rFont val="Times New Roman"/>
        <family val="1"/>
      </rPr>
      <t>2</t>
    </r>
  </si>
  <si>
    <t>Ideal</t>
  </si>
  <si>
    <t>Change</t>
  </si>
  <si>
    <t>With cancellations</t>
  </si>
  <si>
    <r>
      <t>With N</t>
    </r>
    <r>
      <rPr>
        <vertAlign val="subscript"/>
        <sz val="11"/>
        <color theme="1"/>
        <rFont val="Times New Roman"/>
        <family val="1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</si>
</sst>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bscript"/>
      <sz val="11"/>
      <color theme="1"/>
      <name val="Calibri"/>
      <family val="2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color rgb="FF3F3F76"/>
      <name val="Calibri"/>
      <family val="2"/>
      <scheme val="minor"/>
    </font>
    <font>
      <u/>
      <sz val="11"/>
      <color theme="1"/>
      <name val="Times New Roman"/>
      <family val="1"/>
    </font>
    <font>
      <b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2" borderId="14" applyNumberFormat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1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11" fontId="1" fillId="0" borderId="0" xfId="0" applyNumberFormat="1" applyFont="1" applyBorder="1"/>
    <xf numFmtId="0" fontId="1" fillId="0" borderId="0" xfId="0" applyFont="1" applyFill="1" applyBorder="1" applyAlignment="1">
      <alignment horizontal="right"/>
    </xf>
    <xf numFmtId="0" fontId="1" fillId="0" borderId="6" xfId="0" applyFont="1" applyBorder="1"/>
    <xf numFmtId="0" fontId="1" fillId="0" borderId="1" xfId="0" applyFont="1" applyFill="1" applyBorder="1" applyAlignment="1">
      <alignment horizontal="right"/>
    </xf>
    <xf numFmtId="0" fontId="7" fillId="0" borderId="1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right"/>
    </xf>
    <xf numFmtId="11" fontId="1" fillId="0" borderId="6" xfId="0" applyNumberFormat="1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1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1" fontId="1" fillId="0" borderId="2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1" fontId="1" fillId="0" borderId="10" xfId="0" applyNumberFormat="1" applyFont="1" applyBorder="1"/>
    <xf numFmtId="11" fontId="1" fillId="0" borderId="0" xfId="0" applyNumberFormat="1" applyFont="1" applyBorder="1" applyAlignment="1">
      <alignment horizontal="right"/>
    </xf>
    <xf numFmtId="0" fontId="1" fillId="0" borderId="17" xfId="0" applyFont="1" applyBorder="1"/>
    <xf numFmtId="0" fontId="1" fillId="0" borderId="18" xfId="0" applyFont="1" applyBorder="1"/>
    <xf numFmtId="0" fontId="10" fillId="0" borderId="0" xfId="0" applyFont="1" applyAlignment="1">
      <alignment horizontal="center"/>
    </xf>
    <xf numFmtId="0" fontId="1" fillId="0" borderId="19" xfId="0" applyFont="1" applyBorder="1"/>
    <xf numFmtId="11" fontId="1" fillId="0" borderId="0" xfId="0" applyNumberFormat="1" applyFont="1"/>
    <xf numFmtId="0" fontId="1" fillId="0" borderId="20" xfId="0" applyFont="1" applyBorder="1"/>
    <xf numFmtId="0" fontId="1" fillId="0" borderId="27" xfId="0" applyFont="1" applyBorder="1" applyAlignment="1">
      <alignment horizontal="right"/>
    </xf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9" fillId="2" borderId="25" xfId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" fillId="0" borderId="30" xfId="0" applyFont="1" applyBorder="1"/>
    <xf numFmtId="0" fontId="1" fillId="0" borderId="26" xfId="0" applyFont="1" applyBorder="1" applyAlignment="1">
      <alignment horizontal="right"/>
    </xf>
    <xf numFmtId="0" fontId="2" fillId="0" borderId="31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12" xfId="0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0" fontId="1" fillId="0" borderId="37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/>
    <xf numFmtId="0" fontId="1" fillId="0" borderId="22" xfId="0" applyFont="1" applyBorder="1"/>
    <xf numFmtId="0" fontId="1" fillId="0" borderId="29" xfId="0" applyFont="1" applyBorder="1"/>
    <xf numFmtId="0" fontId="9" fillId="2" borderId="15" xfId="1" applyBorder="1"/>
    <xf numFmtId="0" fontId="1" fillId="0" borderId="38" xfId="0" applyFont="1" applyBorder="1"/>
    <xf numFmtId="0" fontId="1" fillId="0" borderId="21" xfId="0" applyFont="1" applyBorder="1"/>
    <xf numFmtId="0" fontId="9" fillId="2" borderId="39" xfId="1" applyBorder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2" fontId="1" fillId="0" borderId="2" xfId="0" applyNumberFormat="1" applyFont="1" applyBorder="1"/>
    <xf numFmtId="2" fontId="1" fillId="0" borderId="1" xfId="0" applyNumberFormat="1" applyFont="1" applyBorder="1"/>
    <xf numFmtId="2" fontId="1" fillId="0" borderId="0" xfId="0" applyNumberFormat="1" applyFont="1"/>
    <xf numFmtId="0" fontId="7" fillId="0" borderId="1" xfId="0" applyFont="1" applyBorder="1" applyAlignment="1">
      <alignment horizontal="right"/>
    </xf>
    <xf numFmtId="2" fontId="1" fillId="0" borderId="0" xfId="0" applyNumberFormat="1" applyFont="1" applyBorder="1"/>
    <xf numFmtId="11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4" xfId="0" applyFont="1" applyBorder="1" applyAlignment="1">
      <alignment horizontal="right"/>
    </xf>
    <xf numFmtId="0" fontId="7" fillId="0" borderId="13" xfId="0" applyFont="1" applyBorder="1"/>
    <xf numFmtId="0" fontId="10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0" fontId="2" fillId="0" borderId="6" xfId="0" applyFont="1" applyBorder="1"/>
    <xf numFmtId="0" fontId="2" fillId="0" borderId="2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" fillId="0" borderId="47" xfId="0" applyFont="1" applyBorder="1" applyAlignment="1">
      <alignment horizontal="right"/>
    </xf>
    <xf numFmtId="0" fontId="1" fillId="0" borderId="47" xfId="0" applyFont="1" applyBorder="1"/>
    <xf numFmtId="0" fontId="7" fillId="0" borderId="6" xfId="0" applyFont="1" applyBorder="1" applyAlignment="1">
      <alignment horizontal="right"/>
    </xf>
    <xf numFmtId="2" fontId="1" fillId="0" borderId="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47" xfId="0" applyFont="1" applyBorder="1" applyAlignment="1">
      <alignment horizontal="right"/>
    </xf>
    <xf numFmtId="2" fontId="1" fillId="0" borderId="47" xfId="0" applyNumberFormat="1" applyFont="1" applyBorder="1"/>
    <xf numFmtId="11" fontId="1" fillId="0" borderId="34" xfId="0" applyNumberFormat="1" applyFont="1" applyBorder="1"/>
    <xf numFmtId="0" fontId="1" fillId="0" borderId="16" xfId="0" applyFont="1" applyBorder="1" applyAlignment="1">
      <alignment horizontal="right"/>
    </xf>
    <xf numFmtId="0" fontId="1" fillId="0" borderId="45" xfId="0" applyFont="1" applyBorder="1" applyAlignment="1">
      <alignment horizontal="right"/>
    </xf>
    <xf numFmtId="0" fontId="1" fillId="0" borderId="46" xfId="0" applyFont="1" applyBorder="1" applyAlignment="1">
      <alignment horizontal="right"/>
    </xf>
    <xf numFmtId="0" fontId="1" fillId="0" borderId="48" xfId="0" applyFont="1" applyBorder="1"/>
    <xf numFmtId="0" fontId="7" fillId="0" borderId="8" xfId="0" applyFont="1" applyBorder="1"/>
    <xf numFmtId="0" fontId="1" fillId="0" borderId="10" xfId="0" applyFont="1" applyBorder="1" applyAlignment="1">
      <alignment horizontal="right"/>
    </xf>
    <xf numFmtId="0" fontId="7" fillId="0" borderId="11" xfId="0" applyFont="1" applyBorder="1"/>
    <xf numFmtId="0" fontId="1" fillId="0" borderId="49" xfId="0" applyFont="1" applyBorder="1" applyAlignment="1">
      <alignment horizontal="right"/>
    </xf>
    <xf numFmtId="0" fontId="1" fillId="0" borderId="50" xfId="0" applyFont="1" applyBorder="1"/>
    <xf numFmtId="0" fontId="1" fillId="0" borderId="51" xfId="0" applyFont="1" applyBorder="1" applyAlignment="1">
      <alignment horizontal="right"/>
    </xf>
    <xf numFmtId="0" fontId="1" fillId="0" borderId="48" xfId="0" applyFont="1" applyBorder="1" applyAlignment="1">
      <alignment horizontal="righ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"/>
  <sheetViews>
    <sheetView showGridLines="0" tabSelected="1" workbookViewId="0">
      <selection activeCell="J27" sqref="J27"/>
    </sheetView>
  </sheetViews>
  <sheetFormatPr defaultRowHeight="15" x14ac:dyDescent="0.25"/>
  <cols>
    <col min="1" max="1" width="16.42578125" style="1" bestFit="1" customWidth="1"/>
    <col min="2" max="2" width="10" style="1" bestFit="1" customWidth="1"/>
    <col min="3" max="3" width="28.5703125" style="1" bestFit="1" customWidth="1"/>
    <col min="4" max="4" width="9.140625" style="1"/>
    <col min="5" max="5" width="19.140625" style="1" bestFit="1" customWidth="1"/>
    <col min="6" max="6" width="14.28515625" style="1" bestFit="1" customWidth="1"/>
    <col min="7" max="7" width="9.140625" style="1" customWidth="1"/>
    <col min="8" max="9" width="9.5703125" style="1" bestFit="1" customWidth="1"/>
    <col min="10" max="10" width="18.7109375" style="1" bestFit="1" customWidth="1"/>
    <col min="11" max="11" width="9.140625" style="1" customWidth="1"/>
    <col min="12" max="12" width="8.85546875" style="1" customWidth="1"/>
    <col min="13" max="13" width="16.42578125" style="1" bestFit="1" customWidth="1"/>
    <col min="14" max="14" width="17.7109375" style="1" bestFit="1" customWidth="1"/>
    <col min="15" max="15" width="18.7109375" style="1" bestFit="1" customWidth="1"/>
    <col min="16" max="16" width="12.42578125" style="1" bestFit="1" customWidth="1"/>
    <col min="17" max="17" width="7.42578125" style="1" customWidth="1"/>
    <col min="18" max="18" width="17.42578125" style="1" customWidth="1"/>
    <col min="19" max="19" width="17.7109375" style="1" customWidth="1"/>
    <col min="20" max="24" width="9.140625" style="1"/>
    <col min="25" max="25" width="12.42578125" style="1" bestFit="1" customWidth="1"/>
    <col min="26" max="16384" width="9.140625" style="1"/>
  </cols>
  <sheetData>
    <row r="1" spans="1:27" ht="15.75" thickBot="1" x14ac:dyDescent="0.3">
      <c r="D1" s="4"/>
      <c r="E1" s="12"/>
      <c r="F1" s="13" t="s">
        <v>50</v>
      </c>
      <c r="G1" s="13"/>
      <c r="I1" s="12"/>
      <c r="J1" s="13" t="s">
        <v>70</v>
      </c>
      <c r="K1" s="13"/>
      <c r="N1" s="12"/>
      <c r="O1" s="13" t="s">
        <v>71</v>
      </c>
      <c r="P1" s="37"/>
      <c r="V1" s="39"/>
      <c r="W1" s="47" t="s">
        <v>145</v>
      </c>
      <c r="X1" s="48"/>
      <c r="Y1" s="49"/>
    </row>
    <row r="2" spans="1:27" ht="15.75" thickBot="1" x14ac:dyDescent="0.3">
      <c r="B2" s="4"/>
      <c r="D2" s="4"/>
      <c r="F2" s="9"/>
      <c r="V2" s="30"/>
      <c r="W2" s="4"/>
      <c r="X2" s="4"/>
      <c r="Y2" s="50"/>
    </row>
    <row r="3" spans="1:27" ht="17.25" thickBot="1" x14ac:dyDescent="0.35">
      <c r="A3" s="4"/>
      <c r="B3" s="6"/>
      <c r="C3" s="8" t="s">
        <v>0</v>
      </c>
      <c r="D3" s="7"/>
      <c r="E3" s="36" t="s">
        <v>55</v>
      </c>
      <c r="F3" s="82" t="s">
        <v>32</v>
      </c>
      <c r="J3" s="85" t="s">
        <v>45</v>
      </c>
      <c r="O3" s="85" t="s">
        <v>45</v>
      </c>
      <c r="V3" s="30"/>
      <c r="W3" s="16" t="s">
        <v>45</v>
      </c>
      <c r="X3" s="4"/>
      <c r="Y3" s="50"/>
      <c r="Z3" s="46" t="s">
        <v>91</v>
      </c>
      <c r="AA3" s="14">
        <v>1E+18</v>
      </c>
    </row>
    <row r="4" spans="1:27" ht="18.75" x14ac:dyDescent="0.3">
      <c r="A4" s="5"/>
      <c r="B4" s="3" t="s">
        <v>1</v>
      </c>
      <c r="C4" s="2">
        <v>0.5</v>
      </c>
      <c r="D4" s="7"/>
      <c r="E4" s="54" t="s">
        <v>36</v>
      </c>
      <c r="F4" s="83">
        <f>10^10</f>
        <v>10000000000</v>
      </c>
      <c r="G4" s="25" t="s">
        <v>22</v>
      </c>
      <c r="I4" s="3" t="s">
        <v>48</v>
      </c>
      <c r="J4" s="10">
        <f>C8</f>
        <v>1.3E+16</v>
      </c>
      <c r="K4" s="2" t="s">
        <v>22</v>
      </c>
      <c r="N4" s="3" t="s">
        <v>92</v>
      </c>
      <c r="O4" s="10">
        <f>$F$14*LN(J4/F4)</f>
        <v>0.3646169579009827</v>
      </c>
      <c r="P4" s="2" t="s">
        <v>41</v>
      </c>
      <c r="V4" s="30"/>
      <c r="W4" s="4"/>
      <c r="X4" s="4"/>
    </row>
    <row r="5" spans="1:27" ht="18.75" x14ac:dyDescent="0.3">
      <c r="A5" s="5"/>
      <c r="B5" s="3" t="s">
        <v>2</v>
      </c>
      <c r="C5" s="2">
        <v>1</v>
      </c>
      <c r="D5" s="7"/>
      <c r="E5" s="79" t="s">
        <v>96</v>
      </c>
      <c r="F5" s="2">
        <v>1.1200000000000001</v>
      </c>
      <c r="G5" s="31" t="s">
        <v>41</v>
      </c>
      <c r="I5" s="3" t="s">
        <v>49</v>
      </c>
      <c r="J5" s="10">
        <f>C9</f>
        <v>3.3E+16</v>
      </c>
      <c r="K5" s="2" t="s">
        <v>22</v>
      </c>
      <c r="N5" s="3" t="s">
        <v>93</v>
      </c>
      <c r="O5" s="10">
        <f>$F$14*LN(J5/F5)</f>
        <v>0.9821786415207171</v>
      </c>
      <c r="P5" s="2" t="s">
        <v>41</v>
      </c>
      <c r="V5" s="30"/>
      <c r="W5" s="4"/>
      <c r="X5" s="4"/>
    </row>
    <row r="6" spans="1:27" ht="18.75" x14ac:dyDescent="0.3">
      <c r="A6" s="4"/>
      <c r="D6" s="4"/>
      <c r="E6" s="79" t="s">
        <v>33</v>
      </c>
      <c r="F6" s="10">
        <v>3.37E+19</v>
      </c>
      <c r="G6" s="31" t="s">
        <v>22</v>
      </c>
      <c r="I6" s="3" t="s">
        <v>46</v>
      </c>
      <c r="J6" s="10">
        <f>(F4^2)/J4</f>
        <v>7692.3076923076924</v>
      </c>
      <c r="K6" s="2" t="s">
        <v>22</v>
      </c>
      <c r="N6" s="3" t="s">
        <v>95</v>
      </c>
      <c r="O6" s="10">
        <f>F$10+F$5/2+O4</f>
        <v>4.9746169579009818</v>
      </c>
      <c r="P6" s="2" t="s">
        <v>113</v>
      </c>
      <c r="V6" s="51" t="s">
        <v>89</v>
      </c>
      <c r="W6" s="10">
        <f>AA3</f>
        <v>1E+18</v>
      </c>
      <c r="X6" s="4"/>
      <c r="Y6" s="50"/>
    </row>
    <row r="7" spans="1:27" ht="18.75" x14ac:dyDescent="0.3">
      <c r="A7" s="4"/>
      <c r="B7" s="1" t="s">
        <v>30</v>
      </c>
      <c r="C7" s="8" t="s">
        <v>3</v>
      </c>
      <c r="E7" s="79" t="s">
        <v>34</v>
      </c>
      <c r="F7" s="10">
        <v>1.83E+19</v>
      </c>
      <c r="G7" s="31" t="s">
        <v>22</v>
      </c>
      <c r="I7" s="3" t="s">
        <v>47</v>
      </c>
      <c r="J7" s="10">
        <f>(F4^2)/J5</f>
        <v>3030.3030303030305</v>
      </c>
      <c r="K7" s="2" t="s">
        <v>22</v>
      </c>
      <c r="N7" s="3" t="s">
        <v>94</v>
      </c>
      <c r="O7" s="10">
        <f>F$10+F$5/2+O5</f>
        <v>5.5921786415207162</v>
      </c>
      <c r="P7" s="2" t="s">
        <v>113</v>
      </c>
      <c r="V7" s="51" t="s">
        <v>90</v>
      </c>
      <c r="W7" s="2"/>
      <c r="X7" s="4"/>
      <c r="Y7" s="50"/>
    </row>
    <row r="8" spans="1:27" ht="17.25" x14ac:dyDescent="0.3">
      <c r="B8" s="3" t="s">
        <v>43</v>
      </c>
      <c r="C8" s="10">
        <v>1.3E+16</v>
      </c>
      <c r="E8" s="79" t="s">
        <v>35</v>
      </c>
      <c r="F8" s="2">
        <v>11.8</v>
      </c>
      <c r="G8" s="31"/>
      <c r="I8" s="3" t="s">
        <v>51</v>
      </c>
      <c r="J8" s="10">
        <f>F15+((F16-F15)/(1+(C8/F19)^F21))</f>
        <v>1188.4170936453831</v>
      </c>
      <c r="K8" s="18" t="s">
        <v>82</v>
      </c>
      <c r="N8" s="3" t="s">
        <v>97</v>
      </c>
      <c r="O8" s="2">
        <f>F10</f>
        <v>4.05</v>
      </c>
      <c r="P8" s="2" t="s">
        <v>113</v>
      </c>
      <c r="V8" s="51" t="s">
        <v>86</v>
      </c>
      <c r="W8" s="2" t="s">
        <v>88</v>
      </c>
      <c r="X8" s="4"/>
      <c r="Y8" s="50"/>
    </row>
    <row r="9" spans="1:27" ht="18" x14ac:dyDescent="0.35">
      <c r="B9" s="3" t="s">
        <v>44</v>
      </c>
      <c r="C9" s="10">
        <v>3.3E+16</v>
      </c>
      <c r="E9" s="84" t="s">
        <v>40</v>
      </c>
      <c r="F9" s="10">
        <v>8.8539999999999994E-14</v>
      </c>
      <c r="G9" s="31" t="s">
        <v>78</v>
      </c>
      <c r="I9" s="3" t="s">
        <v>52</v>
      </c>
      <c r="J9" s="10">
        <f>F15+((F16-F15)/(1+(C9/F19)^F21))</f>
        <v>1046.7986847559021</v>
      </c>
      <c r="K9" s="18" t="s">
        <v>82</v>
      </c>
      <c r="N9" s="3" t="s">
        <v>98</v>
      </c>
      <c r="O9" s="2">
        <f>F10</f>
        <v>4.05</v>
      </c>
      <c r="P9" s="2" t="s">
        <v>113</v>
      </c>
      <c r="V9" s="51" t="s">
        <v>87</v>
      </c>
      <c r="W9" s="2" t="s">
        <v>88</v>
      </c>
      <c r="X9" s="4"/>
      <c r="Y9" s="50"/>
    </row>
    <row r="10" spans="1:27" ht="17.25" x14ac:dyDescent="0.3">
      <c r="E10" s="84" t="s">
        <v>37</v>
      </c>
      <c r="F10" s="2">
        <v>4.05</v>
      </c>
      <c r="G10" s="31" t="s">
        <v>41</v>
      </c>
      <c r="I10" s="3" t="s">
        <v>54</v>
      </c>
      <c r="J10" s="10">
        <f>F17+((F18-F17)/(1+(C8/F20)^F22))</f>
        <v>431.65521792957406</v>
      </c>
      <c r="K10" s="18" t="s">
        <v>82</v>
      </c>
      <c r="N10" s="3" t="s">
        <v>99</v>
      </c>
      <c r="O10" s="10">
        <f>F25*F11</f>
        <v>1.6020000000000001E-9</v>
      </c>
      <c r="P10" s="18" t="s">
        <v>157</v>
      </c>
      <c r="V10" s="51"/>
      <c r="W10" s="2"/>
      <c r="X10" s="4"/>
      <c r="Y10" s="50"/>
    </row>
    <row r="11" spans="1:27" ht="18" thickBot="1" x14ac:dyDescent="0.35">
      <c r="E11" s="79" t="s">
        <v>38</v>
      </c>
      <c r="F11" s="10">
        <v>1.602E-19</v>
      </c>
      <c r="G11" s="31" t="s">
        <v>79</v>
      </c>
      <c r="I11" s="3" t="s">
        <v>53</v>
      </c>
      <c r="J11" s="10">
        <f>F17+((F18-F17)/(1+(C9/F20)^F22))</f>
        <v>399.79613098289337</v>
      </c>
      <c r="K11" s="18" t="s">
        <v>82</v>
      </c>
      <c r="N11" s="3" t="s">
        <v>100</v>
      </c>
      <c r="O11" s="2">
        <f>((F9*F8)/C57)*10^-4</f>
        <v>4.5424869565217387E-15</v>
      </c>
      <c r="P11" s="18" t="s">
        <v>112</v>
      </c>
      <c r="V11" s="51"/>
      <c r="W11" s="2" t="s">
        <v>144</v>
      </c>
      <c r="X11" s="14">
        <f>2*O16+SQRT(2*(1.06*10^-12)*F11*2*O16)/O18</f>
        <v>0.72923391689753236</v>
      </c>
      <c r="Y11" s="50"/>
    </row>
    <row r="12" spans="1:27" ht="17.25" thickBot="1" x14ac:dyDescent="0.35">
      <c r="B12" s="63"/>
      <c r="C12" s="61" t="s">
        <v>153</v>
      </c>
      <c r="E12" s="79" t="s">
        <v>41</v>
      </c>
      <c r="F12" s="10">
        <v>1.602E-19</v>
      </c>
      <c r="G12" s="31" t="s">
        <v>80</v>
      </c>
      <c r="I12" s="17" t="s">
        <v>66</v>
      </c>
      <c r="J12" s="10">
        <f>1/((0.00000000000345*C8)+(9.5E-32*C8^2))</f>
        <v>2.2288565375315481E-5</v>
      </c>
      <c r="K12" s="2" t="s">
        <v>77</v>
      </c>
      <c r="N12" s="3" t="s">
        <v>101</v>
      </c>
      <c r="O12" s="10">
        <f>0.56+$F$14*LN(C8/$F$4)</f>
        <v>0.92461695790098275</v>
      </c>
      <c r="P12" s="2" t="s">
        <v>113</v>
      </c>
      <c r="V12" s="30"/>
      <c r="W12" s="2"/>
      <c r="X12" s="4"/>
      <c r="Y12" s="50"/>
    </row>
    <row r="13" spans="1:27" ht="17.25" thickBot="1" x14ac:dyDescent="0.35">
      <c r="E13" s="79" t="s">
        <v>42</v>
      </c>
      <c r="F13" s="10">
        <v>8.6169999999999997E-5</v>
      </c>
      <c r="G13" s="31" t="s">
        <v>81</v>
      </c>
      <c r="I13" s="17" t="s">
        <v>67</v>
      </c>
      <c r="J13" s="10">
        <f>1/((0.00000000000345*C9)+(9.5E-32*C9^2))</f>
        <v>8.775512774053231E-6</v>
      </c>
      <c r="K13" s="2" t="s">
        <v>77</v>
      </c>
      <c r="N13" s="20" t="s">
        <v>102</v>
      </c>
      <c r="O13" s="21">
        <f>0.56+$F$14*LN(C9/$F$4)</f>
        <v>0.94874431538471082</v>
      </c>
      <c r="P13" s="16" t="s">
        <v>113</v>
      </c>
      <c r="V13" s="30"/>
      <c r="W13" s="2"/>
      <c r="X13" s="4"/>
      <c r="Y13" s="50"/>
    </row>
    <row r="14" spans="1:27" ht="17.25" x14ac:dyDescent="0.3">
      <c r="E14" s="79" t="s">
        <v>39</v>
      </c>
      <c r="F14" s="2">
        <v>2.5899999999999999E-2</v>
      </c>
      <c r="G14" s="31" t="s">
        <v>41</v>
      </c>
      <c r="I14" s="3" t="s">
        <v>72</v>
      </c>
      <c r="J14" s="10">
        <f>$F$14*J8</f>
        <v>30.780002725415422</v>
      </c>
      <c r="K14" s="18" t="s">
        <v>83</v>
      </c>
      <c r="M14" s="42" t="s">
        <v>118</v>
      </c>
      <c r="N14" s="40" t="s">
        <v>103</v>
      </c>
      <c r="O14" s="24">
        <f>SQRT((2*F$8*F$9*(M$15+O12))/(F$11*C8))*10^4</f>
        <v>2.0263531688535203</v>
      </c>
      <c r="P14" s="25" t="s">
        <v>119</v>
      </c>
      <c r="V14" s="51"/>
      <c r="W14" s="2"/>
      <c r="X14" s="4"/>
      <c r="Y14" s="50"/>
    </row>
    <row r="15" spans="1:27" ht="18" thickBot="1" x14ac:dyDescent="0.35">
      <c r="E15" s="79" t="s">
        <v>56</v>
      </c>
      <c r="F15" s="2">
        <v>88.3</v>
      </c>
      <c r="G15" s="80" t="s">
        <v>82</v>
      </c>
      <c r="I15" s="3" t="s">
        <v>73</v>
      </c>
      <c r="J15" s="10">
        <f>$F$14*J9</f>
        <v>27.112085935177863</v>
      </c>
      <c r="K15" s="18" t="s">
        <v>83</v>
      </c>
      <c r="M15" s="43">
        <v>40</v>
      </c>
      <c r="N15" s="41" t="s">
        <v>104</v>
      </c>
      <c r="O15" s="27">
        <f>SQRT((2*F$8*F$9*(M$15+O13))/(F$11*C9))</f>
        <v>1.2722071406850137E-4</v>
      </c>
      <c r="P15" s="28" t="s">
        <v>76</v>
      </c>
      <c r="V15" s="51"/>
      <c r="W15" s="2"/>
      <c r="X15" s="4"/>
      <c r="Y15" s="50"/>
    </row>
    <row r="16" spans="1:27" ht="17.25" x14ac:dyDescent="0.3">
      <c r="E16" s="79" t="s">
        <v>57</v>
      </c>
      <c r="F16" s="2">
        <v>1330.3</v>
      </c>
      <c r="G16" s="80" t="s">
        <v>82</v>
      </c>
      <c r="I16" s="3" t="s">
        <v>64</v>
      </c>
      <c r="J16" s="10">
        <f>F14*J10</f>
        <v>11.179870144375968</v>
      </c>
      <c r="K16" s="18" t="s">
        <v>83</v>
      </c>
      <c r="M16" s="19"/>
      <c r="N16" s="22" t="s">
        <v>109</v>
      </c>
      <c r="O16" s="29">
        <f>$F$14*LN(C8/$F$4)</f>
        <v>0.3646169579009827</v>
      </c>
      <c r="P16" s="23" t="s">
        <v>113</v>
      </c>
      <c r="V16" s="51"/>
      <c r="W16" s="2"/>
      <c r="X16" s="4"/>
      <c r="Y16" s="50"/>
    </row>
    <row r="17" spans="1:25" ht="17.25" x14ac:dyDescent="0.3">
      <c r="E17" s="79" t="s">
        <v>58</v>
      </c>
      <c r="F17" s="2">
        <v>54.3</v>
      </c>
      <c r="G17" s="80" t="s">
        <v>82</v>
      </c>
      <c r="I17" s="3" t="s">
        <v>65</v>
      </c>
      <c r="J17" s="10">
        <f>F14*J11</f>
        <v>10.354719792456939</v>
      </c>
      <c r="K17" s="18" t="s">
        <v>83</v>
      </c>
      <c r="M17" s="19"/>
      <c r="N17" s="3" t="s">
        <v>110</v>
      </c>
      <c r="O17" s="10">
        <f>$F$14*LN(C9/$F$4)</f>
        <v>0.38874431538471071</v>
      </c>
      <c r="P17" s="2" t="s">
        <v>113</v>
      </c>
      <c r="V17" s="51"/>
      <c r="W17" s="2"/>
      <c r="X17" s="4"/>
      <c r="Y17" s="50"/>
    </row>
    <row r="18" spans="1:25" ht="17.25" x14ac:dyDescent="0.3">
      <c r="E18" s="79" t="s">
        <v>59</v>
      </c>
      <c r="F18" s="2">
        <v>461.2</v>
      </c>
      <c r="G18" s="80" t="s">
        <v>82</v>
      </c>
      <c r="I18" s="3" t="s">
        <v>74</v>
      </c>
      <c r="J18" s="2">
        <f>SQRT(J14*J12)</f>
        <v>2.6192405445048576E-2</v>
      </c>
      <c r="K18" s="2" t="s">
        <v>76</v>
      </c>
      <c r="M18" s="19"/>
      <c r="N18" s="3" t="s">
        <v>111</v>
      </c>
      <c r="O18" s="10">
        <f>F8*F9/(C57*10^(-4))</f>
        <v>4.5424869565217388E-7</v>
      </c>
      <c r="P18" s="18" t="s">
        <v>112</v>
      </c>
      <c r="V18" s="51"/>
      <c r="W18" s="2"/>
      <c r="X18" s="4"/>
      <c r="Y18" s="50"/>
    </row>
    <row r="19" spans="1:25" ht="16.5" x14ac:dyDescent="0.3">
      <c r="E19" s="79" t="s">
        <v>60</v>
      </c>
      <c r="F19" s="10">
        <v>1.295E+17</v>
      </c>
      <c r="G19" s="31"/>
      <c r="I19" s="3" t="s">
        <v>75</v>
      </c>
      <c r="J19" s="2">
        <f>SQRT(J15*J13)</f>
        <v>1.5424735215081725E-2</v>
      </c>
      <c r="K19" s="2" t="s">
        <v>76</v>
      </c>
      <c r="M19" s="19"/>
      <c r="N19" s="3" t="s">
        <v>116</v>
      </c>
      <c r="O19" s="10">
        <f>2*F$14*LN(C8/F$4)</f>
        <v>0.72923391580196539</v>
      </c>
      <c r="P19" s="2" t="s">
        <v>113</v>
      </c>
      <c r="V19" s="51"/>
      <c r="W19" s="2"/>
      <c r="X19" s="4"/>
      <c r="Y19" s="50"/>
    </row>
    <row r="20" spans="1:25" ht="17.25" thickBot="1" x14ac:dyDescent="0.35">
      <c r="E20" s="79" t="s">
        <v>62</v>
      </c>
      <c r="F20" s="10">
        <v>2.35E+17</v>
      </c>
      <c r="G20" s="31"/>
      <c r="I20" s="3" t="s">
        <v>68</v>
      </c>
      <c r="J20" s="2">
        <f>SQRT(J16*J12)</f>
        <v>1.5785539794396057E-2</v>
      </c>
      <c r="K20" s="2" t="s">
        <v>76</v>
      </c>
      <c r="M20" s="19"/>
      <c r="N20" s="20" t="s">
        <v>117</v>
      </c>
      <c r="O20" s="21">
        <f>2*F$14*LN(C9/F$4)</f>
        <v>0.77748863076942143</v>
      </c>
      <c r="P20" s="16" t="s">
        <v>113</v>
      </c>
      <c r="V20" s="51"/>
      <c r="W20" s="2"/>
      <c r="X20" s="4"/>
      <c r="Y20" s="50"/>
    </row>
    <row r="21" spans="1:25" ht="16.5" x14ac:dyDescent="0.3">
      <c r="E21" s="79" t="s">
        <v>61</v>
      </c>
      <c r="F21" s="2">
        <v>0.89100000000000001</v>
      </c>
      <c r="G21" s="31"/>
      <c r="I21" s="3" t="s">
        <v>69</v>
      </c>
      <c r="J21" s="2">
        <f>SQRT(J17*J13)</f>
        <v>9.5324695546562168E-3</v>
      </c>
      <c r="K21" s="2" t="s">
        <v>76</v>
      </c>
      <c r="M21" s="54" t="s">
        <v>106</v>
      </c>
      <c r="N21" s="40" t="s">
        <v>115</v>
      </c>
      <c r="O21" s="24">
        <f>F$24-F$5/2+O16+((2*F$8*F$9*$F$11*C8*O19)/O$18)</f>
        <v>0.9246169648870145</v>
      </c>
      <c r="P21" s="25" t="s">
        <v>113</v>
      </c>
      <c r="V21" s="51"/>
      <c r="W21" s="2"/>
      <c r="X21" s="4"/>
      <c r="Y21" s="50"/>
    </row>
    <row r="22" spans="1:25" ht="17.25" thickBot="1" x14ac:dyDescent="0.35">
      <c r="E22" s="79" t="s">
        <v>63</v>
      </c>
      <c r="F22" s="2">
        <v>0.88</v>
      </c>
      <c r="G22" s="31"/>
      <c r="M22" s="55"/>
      <c r="N22" s="41" t="s">
        <v>114</v>
      </c>
      <c r="O22" s="32">
        <f>F$24-F$5/2+O17+(2*F$8*F$9*$F$11*C9*O20)/O$18</f>
        <v>0.94874433429195926</v>
      </c>
      <c r="P22" s="28" t="s">
        <v>113</v>
      </c>
      <c r="V22" s="51"/>
      <c r="W22" s="2"/>
      <c r="X22" s="4"/>
      <c r="Y22" s="50"/>
    </row>
    <row r="23" spans="1:25" ht="18.75" x14ac:dyDescent="0.3">
      <c r="D23" s="97" t="s">
        <v>105</v>
      </c>
      <c r="E23" s="79" t="s">
        <v>108</v>
      </c>
      <c r="F23" s="2">
        <v>0</v>
      </c>
      <c r="G23" s="31"/>
      <c r="M23" s="22" t="s">
        <v>105</v>
      </c>
      <c r="N23" s="22" t="s">
        <v>115</v>
      </c>
      <c r="O23" s="29">
        <f>F$23-F$5/2+O16+(2*F$8*F$9*$F$11*C8*O19)/O$18</f>
        <v>-0.1953830351129856</v>
      </c>
      <c r="P23" s="23" t="s">
        <v>113</v>
      </c>
      <c r="V23" s="30"/>
      <c r="W23" s="4"/>
      <c r="X23" s="4"/>
      <c r="Y23" s="50"/>
    </row>
    <row r="24" spans="1:25" ht="19.5" thickBot="1" x14ac:dyDescent="0.35">
      <c r="D24" s="105" t="s">
        <v>106</v>
      </c>
      <c r="E24" s="103" t="s">
        <v>107</v>
      </c>
      <c r="F24" s="21">
        <v>1.1200000000000001</v>
      </c>
      <c r="G24" s="104"/>
      <c r="K24" s="4"/>
      <c r="M24" s="34"/>
      <c r="N24" s="20" t="s">
        <v>114</v>
      </c>
      <c r="O24" s="21">
        <f>F$23-F$5/2+O17+(2*F$8*F$9*$F$11*C9*O20)/O$18</f>
        <v>-0.17125566570804093</v>
      </c>
      <c r="P24" s="16" t="s">
        <v>113</v>
      </c>
      <c r="Q24" s="4"/>
      <c r="V24" s="26"/>
      <c r="W24" s="37"/>
      <c r="X24" s="37"/>
      <c r="Y24" s="52"/>
    </row>
    <row r="25" spans="1:25" ht="17.25" x14ac:dyDescent="0.3">
      <c r="D25" s="97" t="s">
        <v>158</v>
      </c>
      <c r="E25" s="79" t="s">
        <v>156</v>
      </c>
      <c r="F25" s="10">
        <f>10^10</f>
        <v>10000000000</v>
      </c>
      <c r="G25" s="31"/>
      <c r="K25" s="4"/>
      <c r="M25" s="99" t="s">
        <v>160</v>
      </c>
      <c r="N25" s="83" t="s">
        <v>85</v>
      </c>
      <c r="O25" s="24">
        <f>$F$11*($F$4^2)/J4*(J14*J18)</f>
        <v>9.9348930938155141E-16</v>
      </c>
      <c r="P25" s="100" t="s">
        <v>146</v>
      </c>
    </row>
    <row r="26" spans="1:25" ht="18" thickBot="1" x14ac:dyDescent="0.35">
      <c r="D26" s="98" t="s">
        <v>159</v>
      </c>
      <c r="E26" s="55" t="s">
        <v>91</v>
      </c>
      <c r="F26" s="27">
        <f>(C$40/(SQRT(PI()*F24))*EXP(-(((H26*10^-4)/(2*SQRT(F24)))^2)))</f>
        <v>31986542793438.461</v>
      </c>
      <c r="G26" s="28"/>
      <c r="K26" s="4"/>
      <c r="L26" s="4"/>
      <c r="M26" s="26"/>
      <c r="N26" s="101" t="s">
        <v>84</v>
      </c>
      <c r="O26" s="32">
        <f>$F$11*($F$4^2)/J5*(J15*J19)</f>
        <v>2.0301551156945851E-16</v>
      </c>
      <c r="P26" s="102" t="s">
        <v>146</v>
      </c>
    </row>
    <row r="27" spans="1:25" ht="17.25" x14ac:dyDescent="0.3">
      <c r="E27" s="5"/>
      <c r="F27" s="14"/>
      <c r="K27" s="4"/>
      <c r="L27" s="4"/>
      <c r="M27" s="106" t="s">
        <v>161</v>
      </c>
      <c r="N27" s="83" t="s">
        <v>85</v>
      </c>
      <c r="O27" s="25">
        <f>$F$11*($F$4^2)*((J16/(J20*F26)+((J14/(J18*J4)))))</f>
        <v>3.5615741000557766E-10</v>
      </c>
      <c r="P27" s="100" t="s">
        <v>146</v>
      </c>
    </row>
    <row r="28" spans="1:25" ht="18" thickBot="1" x14ac:dyDescent="0.35">
      <c r="E28" s="5"/>
      <c r="F28" s="14"/>
      <c r="K28" s="4"/>
      <c r="L28" s="4"/>
      <c r="M28" s="26"/>
      <c r="N28" s="101" t="s">
        <v>84</v>
      </c>
      <c r="O28" s="28">
        <f>$F$11*$F$4^2*((J17/(J21*F26))+((J15/(J19*J5))))</f>
        <v>5.4488990364175119E-10</v>
      </c>
      <c r="P28" s="102" t="s">
        <v>146</v>
      </c>
    </row>
    <row r="29" spans="1:25" x14ac:dyDescent="0.25">
      <c r="E29" s="5"/>
      <c r="F29" s="14"/>
      <c r="K29" s="4"/>
      <c r="L29" s="4"/>
    </row>
    <row r="30" spans="1:25" x14ac:dyDescent="0.25">
      <c r="E30" s="15"/>
    </row>
    <row r="32" spans="1:25" ht="15.75" thickBot="1" x14ac:dyDescent="0.3">
      <c r="A32" s="12"/>
      <c r="B32" s="12"/>
      <c r="C32" s="13" t="s">
        <v>31</v>
      </c>
      <c r="D32" s="12"/>
      <c r="E32" s="12"/>
      <c r="F32" s="13" t="s">
        <v>19</v>
      </c>
      <c r="G32" s="12"/>
      <c r="H32" s="12"/>
      <c r="I32" s="12"/>
      <c r="J32" s="1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15" ht="26.25" thickBot="1" x14ac:dyDescent="0.4">
      <c r="A33" s="74" t="s">
        <v>20</v>
      </c>
      <c r="C33" s="8" t="s">
        <v>25</v>
      </c>
      <c r="F33" s="76" t="s">
        <v>19</v>
      </c>
      <c r="G33" s="4"/>
      <c r="N33" s="82" t="s">
        <v>32</v>
      </c>
    </row>
    <row r="34" spans="1:15" ht="22.5" customHeight="1" x14ac:dyDescent="0.25">
      <c r="B34" s="3" t="s">
        <v>11</v>
      </c>
      <c r="C34" s="8" t="s">
        <v>20</v>
      </c>
      <c r="F34" s="8" t="s">
        <v>149</v>
      </c>
      <c r="G34" s="4"/>
      <c r="I34" s="1" t="s">
        <v>122</v>
      </c>
      <c r="M34" s="77" t="s">
        <v>141</v>
      </c>
      <c r="N34" s="78"/>
      <c r="O34" s="49"/>
    </row>
    <row r="35" spans="1:15" ht="17.25" x14ac:dyDescent="0.3">
      <c r="B35" s="3" t="s">
        <v>21</v>
      </c>
      <c r="C35" s="2">
        <v>0.35499999999999998</v>
      </c>
      <c r="G35" s="4"/>
      <c r="I35" s="1">
        <f>(-(($H$39-$C$42)^2))/(2*$C$43^2)</f>
        <v>-4.8828125</v>
      </c>
      <c r="M35" s="79" t="s">
        <v>127</v>
      </c>
      <c r="N35" s="2">
        <v>10.5</v>
      </c>
      <c r="O35" s="80" t="s">
        <v>83</v>
      </c>
    </row>
    <row r="36" spans="1:15" ht="17.25" thickBot="1" x14ac:dyDescent="0.35">
      <c r="A36" s="37"/>
      <c r="B36" s="37"/>
      <c r="C36" s="37"/>
      <c r="D36" s="37"/>
      <c r="E36" s="37"/>
      <c r="F36" s="37"/>
      <c r="G36" s="37"/>
      <c r="H36" s="37"/>
      <c r="I36" s="37"/>
      <c r="J36" s="37"/>
      <c r="M36" s="79" t="s">
        <v>128</v>
      </c>
      <c r="N36" s="2">
        <v>3.69</v>
      </c>
      <c r="O36" s="31" t="s">
        <v>41</v>
      </c>
    </row>
    <row r="37" spans="1:15" ht="26.25" thickBot="1" x14ac:dyDescent="0.4">
      <c r="A37" s="75" t="s">
        <v>4</v>
      </c>
      <c r="B37" s="4"/>
      <c r="C37" s="73" t="s">
        <v>5</v>
      </c>
      <c r="D37" s="4"/>
      <c r="F37" s="86" t="s">
        <v>19</v>
      </c>
      <c r="G37" s="4"/>
      <c r="I37" s="33"/>
      <c r="M37" s="81" t="s">
        <v>142</v>
      </c>
      <c r="N37" s="45"/>
      <c r="O37" s="50"/>
    </row>
    <row r="38" spans="1:15" ht="19.5" thickBot="1" x14ac:dyDescent="0.35">
      <c r="A38" s="4"/>
      <c r="B38" s="3" t="s">
        <v>11</v>
      </c>
      <c r="C38" s="8" t="s">
        <v>4</v>
      </c>
      <c r="D38" s="4"/>
      <c r="E38" s="20" t="s">
        <v>120</v>
      </c>
      <c r="F38" s="16">
        <f>C40/(SQRT(2*PI())*C43*10^-4)</f>
        <v>2.9920671030107453E+18</v>
      </c>
      <c r="G38" s="35" t="s">
        <v>22</v>
      </c>
      <c r="H38" s="59" t="s">
        <v>123</v>
      </c>
      <c r="I38" s="53"/>
      <c r="M38" s="79" t="s">
        <v>127</v>
      </c>
      <c r="N38" s="2">
        <v>0.32</v>
      </c>
      <c r="O38" s="80" t="s">
        <v>83</v>
      </c>
    </row>
    <row r="39" spans="1:15" ht="19.5" thickBot="1" x14ac:dyDescent="0.35">
      <c r="A39" s="4"/>
      <c r="B39" s="3" t="s">
        <v>8</v>
      </c>
      <c r="C39" s="3" t="s">
        <v>14</v>
      </c>
      <c r="D39" s="4"/>
      <c r="E39" s="56" t="s">
        <v>121</v>
      </c>
      <c r="F39" s="57">
        <f>F38*EXP((-(($H$39-$C$42)^2))/(2*$C$43^2))</f>
        <v>2.2666935263990672E+16</v>
      </c>
      <c r="G39" s="58" t="s">
        <v>22</v>
      </c>
      <c r="H39" s="60">
        <v>0</v>
      </c>
      <c r="I39" s="30" t="s">
        <v>119</v>
      </c>
      <c r="M39" s="79" t="s">
        <v>128</v>
      </c>
      <c r="N39" s="2">
        <v>3.56</v>
      </c>
      <c r="O39" s="31" t="s">
        <v>41</v>
      </c>
    </row>
    <row r="40" spans="1:15" ht="24.75" customHeight="1" x14ac:dyDescent="0.3">
      <c r="A40" s="34"/>
      <c r="B40" s="3" t="s">
        <v>6</v>
      </c>
      <c r="C40" s="72">
        <v>60000000000000</v>
      </c>
      <c r="D40" s="4"/>
      <c r="E40" s="22" t="s">
        <v>137</v>
      </c>
      <c r="F40" s="29">
        <f>C42+C43*SQRT(2*LN(F38/$C$8))</f>
        <v>0.51384893638857987</v>
      </c>
      <c r="G40" s="23" t="s">
        <v>119</v>
      </c>
      <c r="M40" s="81" t="s">
        <v>143</v>
      </c>
      <c r="N40" s="45"/>
      <c r="O40" s="50"/>
    </row>
    <row r="41" spans="1:15" ht="17.25" x14ac:dyDescent="0.3">
      <c r="A41" s="96" t="s">
        <v>124</v>
      </c>
      <c r="B41" s="3" t="s">
        <v>7</v>
      </c>
      <c r="C41" s="3">
        <v>190</v>
      </c>
      <c r="D41" s="4" t="s">
        <v>125</v>
      </c>
      <c r="E41" s="3" t="s">
        <v>138</v>
      </c>
      <c r="F41" s="10">
        <f>C42-C43*SQRT(2*LN(F38/$C$8))</f>
        <v>-1.3848936388579869E-2</v>
      </c>
      <c r="G41" s="2" t="s">
        <v>119</v>
      </c>
      <c r="M41" s="79" t="s">
        <v>127</v>
      </c>
      <c r="N41" s="2">
        <v>10.5</v>
      </c>
      <c r="O41" s="80" t="s">
        <v>83</v>
      </c>
    </row>
    <row r="42" spans="1:15" ht="17.25" thickBot="1" x14ac:dyDescent="0.35">
      <c r="A42" s="5" t="s">
        <v>16</v>
      </c>
      <c r="B42" s="3" t="s">
        <v>15</v>
      </c>
      <c r="C42" s="2">
        <v>0.25</v>
      </c>
      <c r="D42" s="4" t="s">
        <v>119</v>
      </c>
      <c r="E42" s="3" t="s">
        <v>139</v>
      </c>
      <c r="F42" s="10">
        <f>C42+C43*SQRT(2*LN(F38/$C$9))</f>
        <v>0.49019224846385356</v>
      </c>
      <c r="G42" s="2" t="s">
        <v>119</v>
      </c>
      <c r="M42" s="55" t="s">
        <v>128</v>
      </c>
      <c r="N42" s="27">
        <v>3.69</v>
      </c>
      <c r="O42" s="28" t="s">
        <v>41</v>
      </c>
    </row>
    <row r="43" spans="1:15" ht="16.5" x14ac:dyDescent="0.3">
      <c r="A43" s="5" t="s">
        <v>17</v>
      </c>
      <c r="B43" s="3" t="s">
        <v>18</v>
      </c>
      <c r="C43" s="2">
        <v>0.08</v>
      </c>
      <c r="D43" s="4" t="s">
        <v>119</v>
      </c>
      <c r="E43" s="3" t="s">
        <v>140</v>
      </c>
      <c r="F43" s="10">
        <f>C42-C43*SQRT(2*LN(F38/$C$9))</f>
        <v>9.8077515361464085E-3</v>
      </c>
      <c r="G43" s="2" t="s">
        <v>119</v>
      </c>
    </row>
    <row r="44" spans="1:15" ht="15.75" thickBot="1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5" ht="25.5" x14ac:dyDescent="0.35">
      <c r="A45" s="75" t="s">
        <v>23</v>
      </c>
      <c r="C45" s="73" t="s">
        <v>26</v>
      </c>
      <c r="F45" s="87" t="s">
        <v>19</v>
      </c>
      <c r="G45" s="4"/>
      <c r="H45" s="4"/>
      <c r="I45" s="4"/>
      <c r="J45" s="38"/>
    </row>
    <row r="46" spans="1:15" ht="16.5" x14ac:dyDescent="0.25">
      <c r="B46" s="3" t="s">
        <v>11</v>
      </c>
      <c r="C46" s="8" t="s">
        <v>23</v>
      </c>
      <c r="E46" s="3" t="s">
        <v>126</v>
      </c>
      <c r="F46" s="10">
        <f>N$35*EXP(-N$36/(F$13*C48))</f>
        <v>2.9924863169591021E-13</v>
      </c>
      <c r="G46" s="18" t="s">
        <v>83</v>
      </c>
    </row>
    <row r="47" spans="1:15" ht="17.25" thickBot="1" x14ac:dyDescent="0.3">
      <c r="B47" s="2" t="s">
        <v>129</v>
      </c>
      <c r="C47" s="2">
        <v>1100</v>
      </c>
      <c r="E47" s="3" t="s">
        <v>132</v>
      </c>
      <c r="F47" s="10">
        <f>F46*C50</f>
        <v>1.615942611157915E-8</v>
      </c>
      <c r="G47" s="18" t="s">
        <v>134</v>
      </c>
    </row>
    <row r="48" spans="1:15" ht="18.75" thickBot="1" x14ac:dyDescent="0.3">
      <c r="B48" s="2" t="s">
        <v>130</v>
      </c>
      <c r="C48" s="2">
        <f>C47+273</f>
        <v>1373</v>
      </c>
      <c r="D48" s="64"/>
      <c r="E48" s="20" t="s">
        <v>120</v>
      </c>
      <c r="F48" s="16">
        <f>(C$40/(SQRT(PI()*F47))*EXP(-(((0*10^-4)/(2*SQRT(F47)))^2)))</f>
        <v>2.6629520562750954E+17</v>
      </c>
      <c r="G48" s="35" t="s">
        <v>22</v>
      </c>
      <c r="H48" s="59" t="s">
        <v>135</v>
      </c>
    </row>
    <row r="49" spans="1:10" ht="18.75" thickBot="1" x14ac:dyDescent="0.3">
      <c r="B49" s="2" t="s">
        <v>131</v>
      </c>
      <c r="C49" s="2">
        <v>900</v>
      </c>
      <c r="D49" s="65" t="s">
        <v>133</v>
      </c>
      <c r="E49" s="56" t="s">
        <v>121</v>
      </c>
      <c r="F49" s="57">
        <f>(C$40/(SQRT(PI()*F47))*EXP(-(((H49*10^-4)/(2*SQRT(F47)))^2)))</f>
        <v>1.4341917430190678E+17</v>
      </c>
      <c r="G49" s="62" t="s">
        <v>22</v>
      </c>
      <c r="H49" s="60">
        <v>2</v>
      </c>
      <c r="I49" s="30" t="s">
        <v>119</v>
      </c>
    </row>
    <row r="50" spans="1:10" ht="16.5" x14ac:dyDescent="0.3">
      <c r="B50" s="2" t="s">
        <v>131</v>
      </c>
      <c r="C50" s="2">
        <f>C49*60</f>
        <v>54000</v>
      </c>
      <c r="D50" s="64" t="s">
        <v>77</v>
      </c>
      <c r="E50" s="22" t="s">
        <v>147</v>
      </c>
      <c r="F50" s="67">
        <f>2*SQRT(F47*LN(F$48/C$8))*10^4</f>
        <v>4.4179592637356446</v>
      </c>
      <c r="G50" s="23" t="s">
        <v>119</v>
      </c>
      <c r="H50" s="23" t="s">
        <v>136</v>
      </c>
      <c r="I50" s="7"/>
    </row>
    <row r="51" spans="1:10" ht="16.5" x14ac:dyDescent="0.3">
      <c r="B51" s="3" t="s">
        <v>21</v>
      </c>
      <c r="C51" s="2"/>
      <c r="E51" s="22" t="s">
        <v>148</v>
      </c>
      <c r="F51" s="69">
        <f>2*SQRT(F47*LN(F$48/C$9))*10^4</f>
        <v>3.6738243928536241</v>
      </c>
      <c r="G51" s="1" t="s">
        <v>119</v>
      </c>
      <c r="H51" s="10">
        <f>H49+F40</f>
        <v>2.5138489363885799</v>
      </c>
      <c r="I51" s="7" t="s">
        <v>119</v>
      </c>
    </row>
    <row r="52" spans="1:10" x14ac:dyDescent="0.25">
      <c r="E52" s="70" t="s">
        <v>154</v>
      </c>
      <c r="F52" s="68">
        <f>0.7*F50</f>
        <v>3.0925714846149512</v>
      </c>
      <c r="G52" s="2" t="s">
        <v>119</v>
      </c>
    </row>
    <row r="53" spans="1:10" x14ac:dyDescent="0.25">
      <c r="E53" s="70" t="s">
        <v>155</v>
      </c>
      <c r="F53" s="68">
        <f>0.7*F52</f>
        <v>2.1648000392304656</v>
      </c>
      <c r="G53" s="2" t="s">
        <v>119</v>
      </c>
    </row>
    <row r="54" spans="1:10" ht="15.75" thickBot="1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ht="25.5" x14ac:dyDescent="0.35">
      <c r="A55" s="75" t="s">
        <v>24</v>
      </c>
      <c r="C55" s="73" t="s">
        <v>27</v>
      </c>
      <c r="F55" s="87" t="s">
        <v>19</v>
      </c>
      <c r="G55" s="4"/>
    </row>
    <row r="56" spans="1:10" x14ac:dyDescent="0.25">
      <c r="B56" s="3" t="s">
        <v>11</v>
      </c>
      <c r="C56" s="8" t="s">
        <v>24</v>
      </c>
      <c r="E56" s="5"/>
      <c r="F56" s="8" t="s">
        <v>149</v>
      </c>
      <c r="G56" s="4"/>
    </row>
    <row r="57" spans="1:10" x14ac:dyDescent="0.25">
      <c r="B57" s="3" t="s">
        <v>21</v>
      </c>
      <c r="C57" s="2">
        <v>2.3E-2</v>
      </c>
      <c r="E57" s="5"/>
      <c r="F57" s="4"/>
      <c r="G57" s="4"/>
    </row>
    <row r="58" spans="1:10" x14ac:dyDescent="0.25">
      <c r="E58" s="5"/>
      <c r="F58" s="4"/>
      <c r="G58" s="4"/>
    </row>
    <row r="59" spans="1:10" ht="15.75" thickBot="1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ht="26.25" thickBot="1" x14ac:dyDescent="0.4">
      <c r="A60" s="75" t="s">
        <v>9</v>
      </c>
      <c r="C60" s="73" t="s">
        <v>5</v>
      </c>
      <c r="E60" s="44" t="s">
        <v>142</v>
      </c>
      <c r="F60" s="11" t="s">
        <v>19</v>
      </c>
    </row>
    <row r="61" spans="1:10" ht="18.75" thickBot="1" x14ac:dyDescent="0.3">
      <c r="B61" s="3" t="s">
        <v>11</v>
      </c>
      <c r="C61" s="8" t="s">
        <v>9</v>
      </c>
      <c r="E61" s="20" t="s">
        <v>120</v>
      </c>
      <c r="F61" s="16">
        <f>C63/(SQRT(2*PI())*C66*10^-4)</f>
        <v>1.9947114020071637E+20</v>
      </c>
      <c r="G61" s="35" t="s">
        <v>22</v>
      </c>
      <c r="H61" s="59" t="s">
        <v>123</v>
      </c>
    </row>
    <row r="62" spans="1:10" ht="18.75" thickBot="1" x14ac:dyDescent="0.3">
      <c r="B62" s="3" t="s">
        <v>8</v>
      </c>
      <c r="C62" s="3" t="s">
        <v>13</v>
      </c>
      <c r="E62" s="56" t="s">
        <v>121</v>
      </c>
      <c r="F62" s="57">
        <f>F61*EXP((-(($H$62-$C$65)^2))/(2*$C$66^2))</f>
        <v>1.9947114020071637E+20</v>
      </c>
      <c r="G62" s="62" t="s">
        <v>22</v>
      </c>
      <c r="H62" s="60">
        <v>0.11</v>
      </c>
      <c r="I62" s="4" t="s">
        <v>119</v>
      </c>
    </row>
    <row r="63" spans="1:10" ht="16.5" x14ac:dyDescent="0.3">
      <c r="A63" s="34"/>
      <c r="B63" s="3" t="s">
        <v>6</v>
      </c>
      <c r="C63" s="72">
        <v>1000000000000000</v>
      </c>
      <c r="E63" s="22" t="s">
        <v>137</v>
      </c>
      <c r="F63" s="29">
        <f>C65+C66*SQRT(2*LN(F61/$C$8))</f>
        <v>0.19781104935821286</v>
      </c>
      <c r="G63" s="23" t="s">
        <v>119</v>
      </c>
      <c r="H63" s="66"/>
    </row>
    <row r="64" spans="1:10" ht="16.5" x14ac:dyDescent="0.3">
      <c r="A64" s="96" t="s">
        <v>124</v>
      </c>
      <c r="B64" s="3" t="s">
        <v>7</v>
      </c>
      <c r="C64" s="3">
        <v>90</v>
      </c>
      <c r="E64" s="3" t="s">
        <v>138</v>
      </c>
      <c r="F64" s="10">
        <f>C65-C66*SQRT(2*LN(F61/$C$8))</f>
        <v>2.2188950641787136E-2</v>
      </c>
      <c r="G64" s="2" t="s">
        <v>119</v>
      </c>
    </row>
    <row r="65" spans="1:10" ht="16.5" x14ac:dyDescent="0.3">
      <c r="A65" s="5" t="s">
        <v>16</v>
      </c>
      <c r="B65" s="3" t="s">
        <v>15</v>
      </c>
      <c r="C65" s="2">
        <v>0.11</v>
      </c>
      <c r="E65" s="3" t="s">
        <v>139</v>
      </c>
      <c r="F65" s="29">
        <f>C65+C66*SQRT(2*LN(F61/$C$9))</f>
        <v>0.19345977370078679</v>
      </c>
      <c r="G65" s="2" t="s">
        <v>119</v>
      </c>
    </row>
    <row r="66" spans="1:10" ht="16.5" x14ac:dyDescent="0.3">
      <c r="A66" s="5" t="s">
        <v>17</v>
      </c>
      <c r="B66" s="3" t="s">
        <v>18</v>
      </c>
      <c r="C66" s="2">
        <v>0.02</v>
      </c>
      <c r="E66" s="3" t="s">
        <v>140</v>
      </c>
      <c r="F66" s="10">
        <f>C65-C66*SQRT(2*LN(F61/$C$9))</f>
        <v>2.654022629921321E-2</v>
      </c>
      <c r="G66" s="2" t="s">
        <v>119</v>
      </c>
    </row>
    <row r="68" spans="1:10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</row>
    <row r="69" spans="1:10" ht="26.25" thickBot="1" x14ac:dyDescent="0.4">
      <c r="A69" s="75" t="s">
        <v>10</v>
      </c>
      <c r="C69" s="73" t="s">
        <v>5</v>
      </c>
      <c r="E69" s="44" t="s">
        <v>143</v>
      </c>
      <c r="F69" s="11" t="s">
        <v>19</v>
      </c>
    </row>
    <row r="70" spans="1:10" ht="18.75" thickBot="1" x14ac:dyDescent="0.3">
      <c r="B70" s="3" t="s">
        <v>11</v>
      </c>
      <c r="C70" s="8" t="s">
        <v>10</v>
      </c>
      <c r="E70" s="20" t="s">
        <v>120</v>
      </c>
      <c r="F70" s="16">
        <f>C72/(SQRT(2*PI())*C75*10^-4)</f>
        <v>3.5349315984937071E+19</v>
      </c>
      <c r="G70" s="35" t="s">
        <v>22</v>
      </c>
      <c r="H70" s="59" t="s">
        <v>123</v>
      </c>
    </row>
    <row r="71" spans="1:10" ht="18.75" thickBot="1" x14ac:dyDescent="0.3">
      <c r="B71" s="3" t="s">
        <v>8</v>
      </c>
      <c r="C71" s="3" t="s">
        <v>12</v>
      </c>
      <c r="E71" s="56" t="s">
        <v>121</v>
      </c>
      <c r="F71" s="57">
        <f>F70*EXP((-(($H$71-$C$74)^2))/(2*$C$75^2))</f>
        <v>3.5349315984937071E+19</v>
      </c>
      <c r="G71" s="62" t="s">
        <v>22</v>
      </c>
      <c r="H71" s="60">
        <v>0.31</v>
      </c>
      <c r="I71" s="4" t="s">
        <v>119</v>
      </c>
    </row>
    <row r="72" spans="1:10" ht="16.5" x14ac:dyDescent="0.3">
      <c r="A72" s="34"/>
      <c r="B72" s="3" t="s">
        <v>6</v>
      </c>
      <c r="C72" s="72">
        <v>700000000000000</v>
      </c>
      <c r="E72" s="22" t="s">
        <v>137</v>
      </c>
      <c r="F72" s="29">
        <f>C74+C75*SQRT(2*LN(F70/$C$8))</f>
        <v>0.62417943363503203</v>
      </c>
      <c r="G72" s="23" t="s">
        <v>119</v>
      </c>
      <c r="H72" s="66"/>
    </row>
    <row r="73" spans="1:10" ht="16.5" x14ac:dyDescent="0.3">
      <c r="A73" s="96" t="s">
        <v>124</v>
      </c>
      <c r="B73" s="3" t="s">
        <v>7</v>
      </c>
      <c r="C73" s="3">
        <v>110</v>
      </c>
      <c r="E73" s="3" t="s">
        <v>138</v>
      </c>
      <c r="F73" s="10">
        <f>C74-C75*SQRT(2*LN(F70/$C$8))</f>
        <v>-4.1794336350320371E-3</v>
      </c>
      <c r="G73" s="2" t="s">
        <v>119</v>
      </c>
    </row>
    <row r="74" spans="1:10" ht="16.5" x14ac:dyDescent="0.3">
      <c r="A74" s="5" t="s">
        <v>16</v>
      </c>
      <c r="B74" s="3" t="s">
        <v>15</v>
      </c>
      <c r="C74" s="2">
        <v>0.31</v>
      </c>
      <c r="E74" s="3" t="s">
        <v>139</v>
      </c>
      <c r="F74" s="29">
        <f>C74+C75*SQRT(2*LN(F70/$C$9))</f>
        <v>0.60509491187894071</v>
      </c>
      <c r="G74" s="2" t="s">
        <v>119</v>
      </c>
    </row>
    <row r="75" spans="1:10" ht="16.5" x14ac:dyDescent="0.3">
      <c r="A75" s="5" t="s">
        <v>17</v>
      </c>
      <c r="B75" s="3" t="s">
        <v>18</v>
      </c>
      <c r="C75" s="2">
        <v>7.9000000000000001E-2</v>
      </c>
      <c r="E75" s="3" t="s">
        <v>140</v>
      </c>
      <c r="F75" s="10">
        <f>C74-C75*SQRT(2*LN(F70/$C$9))</f>
        <v>1.4905088121059284E-2</v>
      </c>
      <c r="G75" s="2" t="s">
        <v>119</v>
      </c>
    </row>
    <row r="77" spans="1:10" ht="15.75" thickBot="1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7"/>
    </row>
    <row r="78" spans="1:10" ht="25.5" x14ac:dyDescent="0.35">
      <c r="A78" s="75" t="s">
        <v>28</v>
      </c>
      <c r="C78" s="73" t="s">
        <v>29</v>
      </c>
      <c r="E78" s="44" t="s">
        <v>141</v>
      </c>
      <c r="F78" s="86" t="s">
        <v>19</v>
      </c>
      <c r="G78" s="4"/>
    </row>
    <row r="79" spans="1:10" ht="17.25" x14ac:dyDescent="0.3">
      <c r="B79" s="3" t="s">
        <v>11</v>
      </c>
      <c r="C79" s="8" t="s">
        <v>28</v>
      </c>
      <c r="E79" s="3" t="s">
        <v>150</v>
      </c>
      <c r="F79" s="10">
        <f>N$35*EXP(-N$36/(F$13*C81))</f>
        <v>2.9924863169591021E-13</v>
      </c>
      <c r="G79" s="18" t="s">
        <v>83</v>
      </c>
    </row>
    <row r="80" spans="1:10" ht="18" thickBot="1" x14ac:dyDescent="0.35">
      <c r="B80" s="2" t="s">
        <v>129</v>
      </c>
      <c r="C80" s="2">
        <v>1100</v>
      </c>
      <c r="E80" s="3" t="s">
        <v>151</v>
      </c>
      <c r="F80" s="10">
        <f>F79*C83</f>
        <v>2.1545901482105533E-9</v>
      </c>
      <c r="G80" s="18" t="s">
        <v>134</v>
      </c>
    </row>
    <row r="81" spans="2:9" ht="18.75" thickBot="1" x14ac:dyDescent="0.3">
      <c r="B81" s="2" t="s">
        <v>130</v>
      </c>
      <c r="C81" s="2">
        <f>C80+273</f>
        <v>1373</v>
      </c>
      <c r="E81" s="20" t="s">
        <v>120</v>
      </c>
      <c r="F81" s="16">
        <f>(C$40/(SQRT(PI()*F80))*EXP(-(((0*10^-4)/(2*SQRT(F80)))^2)))</f>
        <v>7.2927945538831821E+17</v>
      </c>
      <c r="G81" s="35" t="s">
        <v>22</v>
      </c>
      <c r="H81" s="59" t="s">
        <v>135</v>
      </c>
      <c r="I81" s="51" t="s">
        <v>136</v>
      </c>
    </row>
    <row r="82" spans="2:9" ht="18.75" thickBot="1" x14ac:dyDescent="0.3">
      <c r="B82" s="2" t="s">
        <v>131</v>
      </c>
      <c r="C82" s="2">
        <v>120</v>
      </c>
      <c r="E82" s="56" t="s">
        <v>121</v>
      </c>
      <c r="F82" s="57">
        <f>(C$40/(SQRT(PI()*F80))*EXP(-(((H82*10^-4)/(2*SQRT(F80)))^2)))</f>
        <v>2.2854737424481779E+17</v>
      </c>
      <c r="G82" s="62" t="s">
        <v>22</v>
      </c>
      <c r="H82" s="60">
        <v>1</v>
      </c>
      <c r="I82" s="95">
        <f>H82+F72</f>
        <v>1.6241794336350321</v>
      </c>
    </row>
    <row r="83" spans="2:9" ht="17.25" x14ac:dyDescent="0.3">
      <c r="B83" s="2" t="s">
        <v>131</v>
      </c>
      <c r="C83" s="2">
        <f>C82*60</f>
        <v>7200</v>
      </c>
      <c r="E83" s="3" t="s">
        <v>152</v>
      </c>
      <c r="F83" s="10">
        <f>F80+F47</f>
        <v>1.8314016259789703E-8</v>
      </c>
      <c r="G83" s="18" t="s">
        <v>134</v>
      </c>
    </row>
    <row r="84" spans="2:9" ht="16.5" x14ac:dyDescent="0.3">
      <c r="B84" s="3" t="s">
        <v>21</v>
      </c>
      <c r="C84" s="2"/>
      <c r="E84" s="22" t="s">
        <v>147</v>
      </c>
      <c r="F84" s="67">
        <f>2*SQRT(F83*LN(F$81/C$8))*10^4</f>
        <v>5.4314828484359019</v>
      </c>
      <c r="G84" s="23" t="s">
        <v>119</v>
      </c>
    </row>
    <row r="85" spans="2:9" ht="16.5" x14ac:dyDescent="0.3">
      <c r="E85" s="22" t="s">
        <v>148</v>
      </c>
      <c r="F85" s="68">
        <f>2*SQRT(F83*LN(F$81/C$9))*10^4</f>
        <v>4.7620139746559502</v>
      </c>
      <c r="G85" s="2" t="s">
        <v>119</v>
      </c>
    </row>
    <row r="86" spans="2:9" x14ac:dyDescent="0.25">
      <c r="E86" s="70" t="s">
        <v>154</v>
      </c>
      <c r="F86" s="68">
        <f>0.7*F84</f>
        <v>3.802037993905131</v>
      </c>
      <c r="G86" s="2" t="s">
        <v>119</v>
      </c>
    </row>
    <row r="87" spans="2:9" x14ac:dyDescent="0.25">
      <c r="E87" s="90" t="s">
        <v>155</v>
      </c>
      <c r="F87" s="91">
        <f>0.7*F85</f>
        <v>3.3334097822591651</v>
      </c>
      <c r="G87" s="16" t="s">
        <v>119</v>
      </c>
    </row>
    <row r="88" spans="2:9" x14ac:dyDescent="0.25">
      <c r="E88" s="93"/>
      <c r="F88" s="94"/>
      <c r="G88" s="89"/>
    </row>
    <row r="89" spans="2:9" x14ac:dyDescent="0.25">
      <c r="E89" s="44" t="s">
        <v>142</v>
      </c>
      <c r="F89" s="11" t="s">
        <v>19</v>
      </c>
      <c r="G89" s="4"/>
    </row>
    <row r="90" spans="2:9" ht="16.5" x14ac:dyDescent="0.25">
      <c r="E90" s="3" t="s">
        <v>126</v>
      </c>
      <c r="F90" s="10">
        <f>N$38*EXP(-N$39/(F$13*C81))</f>
        <v>2.7364877609544408E-14</v>
      </c>
      <c r="G90" s="18" t="s">
        <v>83</v>
      </c>
    </row>
    <row r="91" spans="2:9" ht="17.25" thickBot="1" x14ac:dyDescent="0.3">
      <c r="E91" s="3" t="s">
        <v>132</v>
      </c>
      <c r="F91" s="10">
        <f>F90*C83</f>
        <v>1.9702711878871973E-10</v>
      </c>
      <c r="G91" s="18" t="s">
        <v>134</v>
      </c>
    </row>
    <row r="92" spans="2:9" ht="18.75" thickBot="1" x14ac:dyDescent="0.3">
      <c r="E92" s="20" t="s">
        <v>120</v>
      </c>
      <c r="F92" s="16">
        <f>(C$63/(SQRT(PI()*F91))*EXP(-(((0*10^-4)/(2*SQRT(F91)))^2)))</f>
        <v>4.019407702216056E+19</v>
      </c>
      <c r="G92" s="35" t="s">
        <v>22</v>
      </c>
      <c r="H92" s="59" t="s">
        <v>135</v>
      </c>
      <c r="I92" s="51" t="s">
        <v>136</v>
      </c>
    </row>
    <row r="93" spans="2:9" ht="18.75" thickBot="1" x14ac:dyDescent="0.3">
      <c r="E93" s="56" t="s">
        <v>121</v>
      </c>
      <c r="F93" s="57">
        <f>(C$63/(SQRT(PI()*F91))*EXP(-(((H93*10^-4)/(2*SQRT(F91)))^2)))</f>
        <v>4.019407702216056E+19</v>
      </c>
      <c r="G93" s="62" t="s">
        <v>22</v>
      </c>
      <c r="H93" s="60">
        <v>0</v>
      </c>
      <c r="I93" s="95">
        <f>H93+F85</f>
        <v>4.7620139746559502</v>
      </c>
    </row>
    <row r="94" spans="2:9" ht="16.5" x14ac:dyDescent="0.3">
      <c r="E94" s="22" t="s">
        <v>147</v>
      </c>
      <c r="F94" s="67">
        <f>2*SQRT(F91*LN(F$81/C$8))*10^4</f>
        <v>0.56336468320935917</v>
      </c>
      <c r="G94" s="23" t="s">
        <v>119</v>
      </c>
    </row>
    <row r="95" spans="2:9" ht="16.5" x14ac:dyDescent="0.3">
      <c r="E95" s="3" t="s">
        <v>148</v>
      </c>
      <c r="F95" s="68">
        <f>2*SQRT(F91*LN(F$81/C$9))*10^4</f>
        <v>0.49392598101329549</v>
      </c>
      <c r="G95" s="2" t="s">
        <v>119</v>
      </c>
    </row>
    <row r="96" spans="2:9" x14ac:dyDescent="0.25">
      <c r="E96" s="70" t="s">
        <v>154</v>
      </c>
      <c r="F96" s="68">
        <f>0.7*F94</f>
        <v>0.39435527824655142</v>
      </c>
      <c r="G96" s="2" t="s">
        <v>119</v>
      </c>
    </row>
    <row r="97" spans="5:9" x14ac:dyDescent="0.25">
      <c r="E97" s="90" t="s">
        <v>155</v>
      </c>
      <c r="F97" s="91">
        <f>0.7*F95</f>
        <v>0.34574818670930685</v>
      </c>
      <c r="G97" s="16" t="s">
        <v>119</v>
      </c>
    </row>
    <row r="98" spans="5:9" x14ac:dyDescent="0.25">
      <c r="E98" s="88"/>
      <c r="F98" s="94"/>
      <c r="G98" s="89"/>
    </row>
    <row r="99" spans="5:9" x14ac:dyDescent="0.25">
      <c r="E99" s="44" t="s">
        <v>143</v>
      </c>
      <c r="F99" s="11" t="s">
        <v>19</v>
      </c>
      <c r="G99" s="4"/>
    </row>
    <row r="100" spans="5:9" ht="16.5" x14ac:dyDescent="0.25">
      <c r="E100" s="3" t="s">
        <v>126</v>
      </c>
      <c r="F100" s="10">
        <f>N$41*EXP(-N$42/(F$13*C81))</f>
        <v>2.9924863169591021E-13</v>
      </c>
      <c r="G100" s="18" t="s">
        <v>83</v>
      </c>
    </row>
    <row r="101" spans="5:9" ht="17.25" thickBot="1" x14ac:dyDescent="0.3">
      <c r="E101" s="3" t="s">
        <v>132</v>
      </c>
      <c r="F101" s="10">
        <f>F100*C83</f>
        <v>2.1545901482105533E-9</v>
      </c>
      <c r="G101" s="18" t="s">
        <v>134</v>
      </c>
    </row>
    <row r="102" spans="5:9" ht="18.75" thickBot="1" x14ac:dyDescent="0.3">
      <c r="E102" s="20" t="s">
        <v>120</v>
      </c>
      <c r="F102" s="16">
        <f>(C$72/(SQRT(PI()*F101))*EXP(-(((0*10^-4)/(2*SQRT(F101)))^2)))</f>
        <v>8.5082603128637123E+18</v>
      </c>
      <c r="G102" s="35" t="s">
        <v>22</v>
      </c>
      <c r="H102" s="59" t="s">
        <v>135</v>
      </c>
      <c r="I102" s="51" t="s">
        <v>136</v>
      </c>
    </row>
    <row r="103" spans="5:9" ht="18.75" thickBot="1" x14ac:dyDescent="0.3">
      <c r="E103" s="56" t="s">
        <v>121</v>
      </c>
      <c r="F103" s="57">
        <f>(C$72/(SQRT(PI()*F101))*EXP(-(((H103*10^-4)/(2*SQRT(F101)))^2)))</f>
        <v>8.5082603128637123E+18</v>
      </c>
      <c r="G103" s="62" t="s">
        <v>22</v>
      </c>
      <c r="H103" s="60">
        <v>0</v>
      </c>
      <c r="I103" s="95">
        <f>H103+F95</f>
        <v>0.49392598101329549</v>
      </c>
    </row>
    <row r="104" spans="5:9" ht="16.5" x14ac:dyDescent="0.3">
      <c r="E104" s="22" t="s">
        <v>147</v>
      </c>
      <c r="F104" s="67">
        <f>2*SQRT(F101*LN(F$70/C$8))*10^4</f>
        <v>2.6106460468168833</v>
      </c>
      <c r="G104" s="23" t="s">
        <v>119</v>
      </c>
    </row>
    <row r="105" spans="5:9" ht="16.5" x14ac:dyDescent="0.3">
      <c r="E105" s="3" t="s">
        <v>148</v>
      </c>
      <c r="F105" s="68">
        <f>2*SQRT(F101*LN(F$70/C$9))*10^4</f>
        <v>2.4520649115035908</v>
      </c>
      <c r="G105" s="2" t="s">
        <v>119</v>
      </c>
    </row>
    <row r="106" spans="5:9" x14ac:dyDescent="0.25">
      <c r="E106" s="70" t="s">
        <v>154</v>
      </c>
      <c r="F106" s="68">
        <f>0.7*F104</f>
        <v>1.8274522327718181</v>
      </c>
      <c r="G106" s="2" t="s">
        <v>119</v>
      </c>
    </row>
    <row r="107" spans="5:9" x14ac:dyDescent="0.25">
      <c r="E107" s="70" t="s">
        <v>155</v>
      </c>
      <c r="F107" s="68">
        <f>0.7*F105</f>
        <v>1.7164454380525136</v>
      </c>
      <c r="G107" s="2" t="s">
        <v>119</v>
      </c>
    </row>
    <row r="108" spans="5:9" x14ac:dyDescent="0.25">
      <c r="E108" s="4"/>
      <c r="F108" s="4"/>
      <c r="G108" s="4"/>
    </row>
    <row r="109" spans="5:9" x14ac:dyDescent="0.25">
      <c r="E109" s="5"/>
      <c r="F109" s="71"/>
      <c r="G109" s="4"/>
    </row>
    <row r="121" spans="5:7" x14ac:dyDescent="0.25">
      <c r="E121" s="5"/>
      <c r="F121" s="71"/>
      <c r="G121" s="4"/>
    </row>
    <row r="122" spans="5:7" x14ac:dyDescent="0.25">
      <c r="E122" s="4"/>
      <c r="F122" s="4"/>
      <c r="G122" s="4"/>
    </row>
    <row r="123" spans="5:7" x14ac:dyDescent="0.25">
      <c r="E123" s="4"/>
      <c r="F123" s="4"/>
      <c r="G123" s="4"/>
    </row>
    <row r="124" spans="5:7" x14ac:dyDescent="0.25">
      <c r="E124" s="92"/>
      <c r="F124" s="71"/>
      <c r="G124" s="4"/>
    </row>
    <row r="125" spans="5:7" x14ac:dyDescent="0.25">
      <c r="E125" s="92"/>
      <c r="F125" s="71"/>
      <c r="G125" s="4"/>
    </row>
  </sheetData>
  <scenarios current="0">
    <scenario name="Wd vs V" locked="1" count="1" user="Hazard24" comment="Created by Hazard24 on 3/14/2016">
      <inputCells r="M15" val="5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Hazard24</dc:creator>
  <cp:lastModifiedBy>Hazard24</cp:lastModifiedBy>
  <dcterms:created xsi:type="dcterms:W3CDTF">2016-03-14T00:01:21Z</dcterms:created>
  <dcterms:modified xsi:type="dcterms:W3CDTF">2016-03-18T03:54:56Z</dcterms:modified>
</cp:coreProperties>
</file>