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filterPrivacy="1"/>
  <xr:revisionPtr revIDLastSave="0" documentId="13_ncr:1_{99691C03-46D6-4F00-BD8E-DFC5AAFDFE1B}" xr6:coauthVersionLast="47" xr6:coauthVersionMax="47" xr10:uidLastSave="{00000000-0000-0000-0000-000000000000}"/>
  <bookViews>
    <workbookView xWindow="-28920" yWindow="-3420" windowWidth="29040" windowHeight="16440" activeTab="2" xr2:uid="{3B886446-96DB-468F-B1BD-2BAEAB5B5BA8}"/>
  </bookViews>
  <sheets>
    <sheet name="Cover" sheetId="2" r:id="rId1"/>
    <sheet name="LCA results" sheetId="21" r:id="rId2"/>
    <sheet name="background" sheetId="3" r:id="rId3"/>
    <sheet name="template" sheetId="25" r:id="rId4"/>
    <sheet name="Summary" sheetId="33" r:id="rId5"/>
    <sheet name="Copper" sheetId="1" r:id="rId6"/>
    <sheet name="Cement" sheetId="23" r:id="rId7"/>
    <sheet name="Aggregates" sheetId="8" r:id="rId8"/>
    <sheet name="Steel" sheetId="6" r:id="rId9"/>
    <sheet name="Cast iron" sheetId="32" r:id="rId10"/>
    <sheet name="Stainless steel" sheetId="31" r:id="rId11"/>
    <sheet name="Aluminium" sheetId="4" r:id="rId12"/>
    <sheet name="Wood" sheetId="24" r:id="rId13"/>
    <sheet name="Zinc" sheetId="20" r:id="rId14"/>
    <sheet name="Plastics" sheetId="29" r:id="rId15"/>
    <sheet name="Glass" sheetId="27" r:id="rId16"/>
    <sheet name="Insulation" sheetId="28" r:id="rId17"/>
    <sheet name="Paper and cardboard" sheetId="30"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2" i="33" l="1"/>
  <c r="F12" i="33"/>
  <c r="D12" i="33"/>
  <c r="N31" i="33"/>
  <c r="O31" i="33"/>
  <c r="P31" i="33"/>
  <c r="N32" i="33"/>
  <c r="O32" i="33"/>
  <c r="P32" i="33"/>
  <c r="N33" i="33"/>
  <c r="O33" i="33"/>
  <c r="P33" i="33"/>
  <c r="N34" i="33"/>
  <c r="O34" i="33"/>
  <c r="P34" i="33"/>
  <c r="N35" i="33"/>
  <c r="O35" i="33"/>
  <c r="P35" i="33"/>
  <c r="N36" i="33"/>
  <c r="O36" i="33"/>
  <c r="P36" i="33"/>
  <c r="O30" i="33"/>
  <c r="P30" i="33"/>
  <c r="N30" i="33"/>
  <c r="BK31" i="33" l="1"/>
  <c r="BL31" i="33"/>
  <c r="BK32" i="33"/>
  <c r="BL32" i="33"/>
  <c r="BK33" i="33"/>
  <c r="BL33" i="33"/>
  <c r="BK34" i="33"/>
  <c r="BL34" i="33"/>
  <c r="BK35" i="33"/>
  <c r="BL35" i="33"/>
  <c r="BK36" i="33"/>
  <c r="BL36" i="33"/>
  <c r="BL30" i="33"/>
  <c r="BK30" i="33"/>
  <c r="H92" i="30"/>
  <c r="H93" i="30" s="1"/>
  <c r="H94" i="30" s="1"/>
  <c r="I92" i="30"/>
  <c r="I93" i="30"/>
  <c r="I94" i="30"/>
  <c r="I91" i="30"/>
  <c r="H91" i="30"/>
  <c r="BG31" i="33"/>
  <c r="BH31" i="33"/>
  <c r="BI31" i="33"/>
  <c r="BG32" i="33"/>
  <c r="BH32" i="33"/>
  <c r="BI32" i="33"/>
  <c r="BG33" i="33"/>
  <c r="BH33" i="33"/>
  <c r="BI33" i="33"/>
  <c r="BG34" i="33"/>
  <c r="BH34" i="33"/>
  <c r="BI34" i="33"/>
  <c r="BG35" i="33"/>
  <c r="BH35" i="33"/>
  <c r="BI35" i="33"/>
  <c r="BG36" i="33"/>
  <c r="BH36" i="33"/>
  <c r="BI36" i="33"/>
  <c r="BH30" i="33"/>
  <c r="BI30" i="33"/>
  <c r="BG30" i="33"/>
  <c r="H92" i="28"/>
  <c r="H93" i="28" s="1"/>
  <c r="H94" i="28" s="1"/>
  <c r="I92" i="28"/>
  <c r="I93" i="28" s="1"/>
  <c r="I94" i="28" s="1"/>
  <c r="J92" i="28"/>
  <c r="J93" i="28" s="1"/>
  <c r="J94" i="28" s="1"/>
  <c r="I91" i="28"/>
  <c r="J91" i="28"/>
  <c r="H91" i="28"/>
  <c r="H92" i="27"/>
  <c r="H93" i="27" s="1"/>
  <c r="I92" i="27"/>
  <c r="BD34" i="33" s="1"/>
  <c r="J92" i="27"/>
  <c r="BE34" i="33" s="1"/>
  <c r="BC31" i="33"/>
  <c r="BD31" i="33"/>
  <c r="BE31" i="33"/>
  <c r="BC32" i="33"/>
  <c r="BD32" i="33"/>
  <c r="BE32" i="33"/>
  <c r="BC33" i="33"/>
  <c r="BD33" i="33"/>
  <c r="BE33" i="33"/>
  <c r="BC34" i="33"/>
  <c r="BD30" i="33"/>
  <c r="BE30" i="33"/>
  <c r="BC30" i="33"/>
  <c r="AY31" i="33"/>
  <c r="AZ31" i="33"/>
  <c r="BA31" i="33"/>
  <c r="AY32" i="33"/>
  <c r="AZ32" i="33"/>
  <c r="BA32" i="33"/>
  <c r="AY33" i="33"/>
  <c r="AZ33" i="33"/>
  <c r="BA33" i="33"/>
  <c r="AY34" i="33"/>
  <c r="AZ34" i="33"/>
  <c r="BA34" i="33"/>
  <c r="AY35" i="33"/>
  <c r="AZ35" i="33"/>
  <c r="BA35" i="33"/>
  <c r="AY36" i="33"/>
  <c r="AZ36" i="33"/>
  <c r="BA36" i="33"/>
  <c r="AZ30" i="33"/>
  <c r="BA30" i="33"/>
  <c r="AY30" i="33"/>
  <c r="H92" i="29"/>
  <c r="H93" i="29" s="1"/>
  <c r="H94" i="29" s="1"/>
  <c r="I92" i="29"/>
  <c r="I93" i="29" s="1"/>
  <c r="I94" i="29" s="1"/>
  <c r="J92" i="29"/>
  <c r="J93" i="29" s="1"/>
  <c r="J94" i="29" s="1"/>
  <c r="I91" i="29"/>
  <c r="J91" i="29"/>
  <c r="H91" i="29"/>
  <c r="AS31" i="33"/>
  <c r="AT31" i="33"/>
  <c r="AU31" i="33"/>
  <c r="AV31" i="33"/>
  <c r="AW31" i="33"/>
  <c r="AS32" i="33"/>
  <c r="AT32" i="33"/>
  <c r="AU32" i="33"/>
  <c r="AV32" i="33"/>
  <c r="AW32" i="33"/>
  <c r="AS33" i="33"/>
  <c r="AT33" i="33"/>
  <c r="AU33" i="33"/>
  <c r="AV33" i="33"/>
  <c r="AW33" i="33"/>
  <c r="AS34" i="33"/>
  <c r="AT34" i="33"/>
  <c r="AU34" i="33"/>
  <c r="AV34" i="33"/>
  <c r="AW34" i="33"/>
  <c r="AS35" i="33"/>
  <c r="AT35" i="33"/>
  <c r="AU35" i="33"/>
  <c r="AV35" i="33"/>
  <c r="AW35" i="33"/>
  <c r="AS36" i="33"/>
  <c r="AT36" i="33"/>
  <c r="AU36" i="33"/>
  <c r="AV36" i="33"/>
  <c r="AW36" i="33"/>
  <c r="AT30" i="33"/>
  <c r="AU30" i="33"/>
  <c r="AV30" i="33"/>
  <c r="AW30" i="33"/>
  <c r="AS30" i="33"/>
  <c r="H91" i="20"/>
  <c r="I91" i="20"/>
  <c r="J91" i="20"/>
  <c r="K91" i="20"/>
  <c r="L91" i="20"/>
  <c r="H92" i="20"/>
  <c r="I92" i="20"/>
  <c r="J92" i="20"/>
  <c r="K92" i="20"/>
  <c r="L92" i="20"/>
  <c r="H93" i="20"/>
  <c r="I93" i="20"/>
  <c r="J93" i="20"/>
  <c r="K93" i="20"/>
  <c r="L93" i="20"/>
  <c r="H94" i="20"/>
  <c r="I94" i="20"/>
  <c r="J94" i="20"/>
  <c r="K94" i="20"/>
  <c r="L94" i="20"/>
  <c r="T92" i="20"/>
  <c r="T93" i="20" s="1"/>
  <c r="T94" i="20" s="1"/>
  <c r="U92" i="20"/>
  <c r="U93" i="20" s="1"/>
  <c r="U94" i="20" s="1"/>
  <c r="V92" i="20"/>
  <c r="V93" i="20" s="1"/>
  <c r="V94" i="20" s="1"/>
  <c r="H21" i="20"/>
  <c r="V90" i="20"/>
  <c r="T90" i="20"/>
  <c r="AP31" i="33"/>
  <c r="AQ31" i="33"/>
  <c r="AP32" i="33"/>
  <c r="AQ32" i="33"/>
  <c r="AP33" i="33"/>
  <c r="AQ33" i="33"/>
  <c r="AP34" i="33"/>
  <c r="AQ34" i="33"/>
  <c r="AP35" i="33"/>
  <c r="AQ35" i="33"/>
  <c r="AP36" i="33"/>
  <c r="AQ36" i="33"/>
  <c r="AQ30" i="33"/>
  <c r="AP30" i="33"/>
  <c r="AH30" i="33"/>
  <c r="AN30" i="33" s="1"/>
  <c r="AH31" i="33"/>
  <c r="AN31" i="33" s="1"/>
  <c r="AH32" i="33"/>
  <c r="AN32" i="33" s="1"/>
  <c r="AH33" i="33"/>
  <c r="AN33" i="33" s="1"/>
  <c r="AH34" i="33"/>
  <c r="AN34" i="33" s="1"/>
  <c r="AH35" i="33"/>
  <c r="AN35" i="33" s="1"/>
  <c r="AH36" i="33"/>
  <c r="AN36" i="33" s="1"/>
  <c r="AE30" i="33"/>
  <c r="AK30" i="33" s="1"/>
  <c r="AF30" i="33"/>
  <c r="AL30" i="33" s="1"/>
  <c r="AG30" i="33"/>
  <c r="AM30" i="33" s="1"/>
  <c r="AE31" i="33"/>
  <c r="AK31" i="33" s="1"/>
  <c r="AF31" i="33"/>
  <c r="AL31" i="33" s="1"/>
  <c r="AG31" i="33"/>
  <c r="AM31" i="33" s="1"/>
  <c r="AE32" i="33"/>
  <c r="AK32" i="33" s="1"/>
  <c r="AF32" i="33"/>
  <c r="AL32" i="33" s="1"/>
  <c r="AG32" i="33"/>
  <c r="AM32" i="33" s="1"/>
  <c r="AE33" i="33"/>
  <c r="AK33" i="33" s="1"/>
  <c r="AF33" i="33"/>
  <c r="AL33" i="33" s="1"/>
  <c r="AG33" i="33"/>
  <c r="AM33" i="33" s="1"/>
  <c r="AE34" i="33"/>
  <c r="AK34" i="33" s="1"/>
  <c r="AF34" i="33"/>
  <c r="AL34" i="33" s="1"/>
  <c r="AG34" i="33"/>
  <c r="AM34" i="33" s="1"/>
  <c r="AE35" i="33"/>
  <c r="AK35" i="33" s="1"/>
  <c r="AF35" i="33"/>
  <c r="AL35" i="33" s="1"/>
  <c r="AG35" i="33"/>
  <c r="AM35" i="33" s="1"/>
  <c r="AE36" i="33"/>
  <c r="AK36" i="33" s="1"/>
  <c r="AF36" i="33"/>
  <c r="AL36" i="33" s="1"/>
  <c r="AG36" i="33"/>
  <c r="AM36" i="33" s="1"/>
  <c r="AD31" i="33"/>
  <c r="AJ31" i="33" s="1"/>
  <c r="AD32" i="33"/>
  <c r="AJ32" i="33" s="1"/>
  <c r="AD33" i="33"/>
  <c r="AJ33" i="33" s="1"/>
  <c r="AD34" i="33"/>
  <c r="AJ34" i="33" s="1"/>
  <c r="AD35" i="33"/>
  <c r="AJ35" i="33" s="1"/>
  <c r="AD36" i="33"/>
  <c r="AJ36" i="33" s="1"/>
  <c r="AD30" i="33"/>
  <c r="AJ30" i="33" s="1"/>
  <c r="Z31" i="33"/>
  <c r="AA31" i="33"/>
  <c r="AB31" i="33"/>
  <c r="Z32" i="33"/>
  <c r="AA32" i="33"/>
  <c r="AB32" i="33"/>
  <c r="Z33" i="33"/>
  <c r="AA33" i="33"/>
  <c r="AB33" i="33"/>
  <c r="Z34" i="33"/>
  <c r="AA34" i="33"/>
  <c r="AB34" i="33"/>
  <c r="Z35" i="33"/>
  <c r="AA35" i="33"/>
  <c r="AB35" i="33"/>
  <c r="Z36" i="33"/>
  <c r="AA36" i="33"/>
  <c r="AB36" i="33"/>
  <c r="AA30" i="33"/>
  <c r="AB30" i="33"/>
  <c r="Z30" i="33"/>
  <c r="R31" i="33"/>
  <c r="V31" i="33" s="1"/>
  <c r="S31" i="33"/>
  <c r="W31" i="33" s="1"/>
  <c r="T31" i="33"/>
  <c r="X31" i="33" s="1"/>
  <c r="R32" i="33"/>
  <c r="V32" i="33" s="1"/>
  <c r="S32" i="33"/>
  <c r="W32" i="33" s="1"/>
  <c r="T32" i="33"/>
  <c r="X32" i="33" s="1"/>
  <c r="R33" i="33"/>
  <c r="V33" i="33" s="1"/>
  <c r="S33" i="33"/>
  <c r="W33" i="33" s="1"/>
  <c r="T33" i="33"/>
  <c r="X33" i="33" s="1"/>
  <c r="R34" i="33"/>
  <c r="V34" i="33" s="1"/>
  <c r="S34" i="33"/>
  <c r="W34" i="33" s="1"/>
  <c r="T34" i="33"/>
  <c r="X34" i="33" s="1"/>
  <c r="R35" i="33"/>
  <c r="V35" i="33" s="1"/>
  <c r="S35" i="33"/>
  <c r="W35" i="33" s="1"/>
  <c r="T35" i="33"/>
  <c r="X35" i="33" s="1"/>
  <c r="R36" i="33"/>
  <c r="V36" i="33" s="1"/>
  <c r="S36" i="33"/>
  <c r="W36" i="33" s="1"/>
  <c r="T36" i="33"/>
  <c r="X36" i="33" s="1"/>
  <c r="S30" i="33"/>
  <c r="W30" i="33" s="1"/>
  <c r="T30" i="33"/>
  <c r="X30" i="33" s="1"/>
  <c r="R30" i="33"/>
  <c r="V30" i="33" s="1"/>
  <c r="K31" i="33"/>
  <c r="L31" i="33"/>
  <c r="K32" i="33"/>
  <c r="L32" i="33"/>
  <c r="K33" i="33"/>
  <c r="L33" i="33"/>
  <c r="K34" i="33"/>
  <c r="L34" i="33"/>
  <c r="K35" i="33"/>
  <c r="L35" i="33"/>
  <c r="K36" i="33"/>
  <c r="L36" i="33"/>
  <c r="L30" i="33"/>
  <c r="K30" i="33"/>
  <c r="I30" i="33"/>
  <c r="I31" i="33"/>
  <c r="I32" i="33"/>
  <c r="I33" i="33"/>
  <c r="I34" i="33"/>
  <c r="I35" i="33"/>
  <c r="I36" i="33"/>
  <c r="H31" i="33"/>
  <c r="H32" i="33"/>
  <c r="H33" i="33"/>
  <c r="H34" i="33"/>
  <c r="H35" i="33"/>
  <c r="H36" i="33"/>
  <c r="H30" i="33"/>
  <c r="E31" i="33"/>
  <c r="F31" i="33"/>
  <c r="E32" i="33"/>
  <c r="F32" i="33"/>
  <c r="E33" i="33"/>
  <c r="F33" i="33"/>
  <c r="E34" i="33"/>
  <c r="F34" i="33"/>
  <c r="E35" i="33"/>
  <c r="F35" i="33"/>
  <c r="E36" i="33"/>
  <c r="F36" i="33"/>
  <c r="F30" i="33"/>
  <c r="E30" i="33"/>
  <c r="D26" i="33" a="1"/>
  <c r="D26" i="33" s="1"/>
  <c r="D25" i="33" a="1"/>
  <c r="D25" i="33" s="1"/>
  <c r="E24" i="33"/>
  <c r="F24" i="33"/>
  <c r="D24" i="33"/>
  <c r="D23" i="33" a="1"/>
  <c r="D23" i="33" s="1"/>
  <c r="D22" i="33" a="1"/>
  <c r="D22" i="33" s="1"/>
  <c r="D18" i="33" a="1"/>
  <c r="D18" i="33" s="1"/>
  <c r="D17" i="33" a="1"/>
  <c r="D17" i="33" s="1"/>
  <c r="D16" i="33" a="1"/>
  <c r="D16" i="33" s="1"/>
  <c r="D15" i="33" a="1"/>
  <c r="D15" i="33" s="1"/>
  <c r="D14" i="33" a="1"/>
  <c r="D14" i="33" s="1"/>
  <c r="E11" i="33"/>
  <c r="F11" i="33"/>
  <c r="D11" i="33"/>
  <c r="E10" i="33"/>
  <c r="F10" i="33"/>
  <c r="D10" i="33"/>
  <c r="D7" i="33" a="1"/>
  <c r="D6" i="33" a="1"/>
  <c r="D6" i="33" s="1"/>
  <c r="D5" i="33" a="1"/>
  <c r="D5" i="33" s="1"/>
  <c r="E4" i="33"/>
  <c r="F4" i="33"/>
  <c r="D4" i="33"/>
  <c r="D7" i="33" l="1"/>
  <c r="D8" i="33" s="1"/>
  <c r="D9" i="33" s="1"/>
  <c r="E8" i="33"/>
  <c r="E9" i="33" s="1"/>
  <c r="F8" i="33"/>
  <c r="F9" i="33" s="1"/>
  <c r="BC35" i="33"/>
  <c r="H94" i="27"/>
  <c r="BC36" i="33" s="1"/>
  <c r="J93" i="27"/>
  <c r="I93" i="27"/>
  <c r="P18" i="30"/>
  <c r="H21" i="30"/>
  <c r="H21" i="27"/>
  <c r="I120" i="4"/>
  <c r="J120" i="4" s="1"/>
  <c r="I121" i="4"/>
  <c r="J121" i="4" s="1"/>
  <c r="I122" i="4"/>
  <c r="J122" i="4" s="1"/>
  <c r="I123" i="4"/>
  <c r="J123" i="4" s="1"/>
  <c r="I124" i="4"/>
  <c r="J124" i="4" s="1"/>
  <c r="I125" i="4"/>
  <c r="J125" i="4" s="1"/>
  <c r="BE35" i="33" l="1"/>
  <c r="J94" i="27"/>
  <c r="BE36" i="33" s="1"/>
  <c r="BD35" i="33"/>
  <c r="I94" i="27"/>
  <c r="BD36" i="33" s="1"/>
  <c r="H21" i="29"/>
  <c r="E132" i="20"/>
  <c r="N109" i="4"/>
  <c r="N114" i="4" s="1"/>
  <c r="O114" i="4" s="1"/>
  <c r="H53" i="24"/>
  <c r="Q11" i="24"/>
  <c r="H50" i="24" s="1"/>
  <c r="K53" i="8"/>
  <c r="K52" i="8"/>
  <c r="K51" i="8"/>
  <c r="K50" i="8"/>
  <c r="K49" i="8"/>
  <c r="K50" i="23"/>
  <c r="K51" i="23"/>
  <c r="K52" i="23"/>
  <c r="K53" i="23"/>
  <c r="K49" i="23"/>
  <c r="J53" i="6"/>
  <c r="J52" i="6"/>
  <c r="J51" i="6"/>
  <c r="J50" i="6"/>
  <c r="J49" i="6"/>
  <c r="J53" i="31"/>
  <c r="J52" i="31"/>
  <c r="J51" i="31"/>
  <c r="J50" i="31"/>
  <c r="J49" i="31"/>
  <c r="J50" i="4"/>
  <c r="J51" i="4"/>
  <c r="J52" i="4"/>
  <c r="J53" i="4"/>
  <c r="J49" i="4"/>
  <c r="J50" i="1"/>
  <c r="J51" i="1"/>
  <c r="J52" i="1"/>
  <c r="J53" i="1"/>
  <c r="J49" i="1"/>
  <c r="H49" i="24" l="1"/>
  <c r="H52" i="24"/>
  <c r="H51" i="24"/>
  <c r="I91" i="24"/>
  <c r="I92" i="24"/>
  <c r="I93" i="24"/>
  <c r="I94" i="24"/>
  <c r="I90" i="24"/>
  <c r="H91" i="24"/>
  <c r="H92" i="24"/>
  <c r="H93" i="24"/>
  <c r="H94" i="24"/>
  <c r="H90" i="24"/>
  <c r="L11" i="24"/>
  <c r="M11" i="24"/>
  <c r="H70" i="24" s="1"/>
  <c r="N11" i="24"/>
  <c r="O11" i="24"/>
  <c r="P11" i="24"/>
  <c r="K11" i="24"/>
  <c r="D13" i="33" l="1" a="1"/>
  <c r="D13" i="33" s="1"/>
  <c r="H73" i="24"/>
  <c r="H72" i="24"/>
  <c r="H71" i="24"/>
  <c r="M82" i="31"/>
  <c r="G6" i="31"/>
  <c r="L100" i="31"/>
  <c r="M92" i="31"/>
  <c r="U90" i="31"/>
  <c r="M93" i="31" s="1"/>
  <c r="T90" i="31"/>
  <c r="N92" i="31" s="1"/>
  <c r="I90" i="31" s="1"/>
  <c r="S90" i="31"/>
  <c r="P91" i="31" s="1"/>
  <c r="J90" i="31" s="1"/>
  <c r="P90" i="31"/>
  <c r="AK89" i="31"/>
  <c r="AI89" i="31"/>
  <c r="M89" i="31"/>
  <c r="H73" i="31"/>
  <c r="H72" i="31"/>
  <c r="H71" i="31"/>
  <c r="H70" i="31"/>
  <c r="H69" i="31"/>
  <c r="H63" i="31"/>
  <c r="H62" i="31"/>
  <c r="H61" i="31"/>
  <c r="H60" i="31"/>
  <c r="H59" i="31"/>
  <c r="P43" i="31"/>
  <c r="O43" i="31"/>
  <c r="N43" i="31"/>
  <c r="M43" i="31"/>
  <c r="L43" i="31"/>
  <c r="K43" i="31"/>
  <c r="J43" i="31"/>
  <c r="I43" i="31"/>
  <c r="H43" i="31"/>
  <c r="G43" i="31"/>
  <c r="F43" i="31"/>
  <c r="E43" i="31"/>
  <c r="P42" i="31"/>
  <c r="O42" i="31"/>
  <c r="N42" i="31"/>
  <c r="M42" i="31"/>
  <c r="L42" i="31"/>
  <c r="K42" i="31"/>
  <c r="J42" i="31"/>
  <c r="I42" i="31"/>
  <c r="G42" i="31"/>
  <c r="F42" i="31"/>
  <c r="E42" i="31"/>
  <c r="P41" i="31"/>
  <c r="O41" i="31"/>
  <c r="N41" i="31"/>
  <c r="M41" i="31"/>
  <c r="L41" i="31"/>
  <c r="K41" i="31"/>
  <c r="J41" i="31"/>
  <c r="I41" i="31"/>
  <c r="G41" i="31"/>
  <c r="F41" i="31"/>
  <c r="E41" i="31"/>
  <c r="P40" i="31"/>
  <c r="O40" i="31"/>
  <c r="N40" i="31"/>
  <c r="M40" i="31"/>
  <c r="L40" i="31"/>
  <c r="K40" i="31"/>
  <c r="J40" i="31"/>
  <c r="I40" i="31"/>
  <c r="H40" i="31"/>
  <c r="G40" i="31"/>
  <c r="F40" i="31"/>
  <c r="E40" i="31"/>
  <c r="P39" i="31"/>
  <c r="O39" i="31"/>
  <c r="N39" i="31"/>
  <c r="M39" i="31"/>
  <c r="L39" i="31"/>
  <c r="K39" i="31"/>
  <c r="J39" i="31"/>
  <c r="I39" i="31"/>
  <c r="H39" i="31"/>
  <c r="G39" i="31"/>
  <c r="F39" i="31"/>
  <c r="E39" i="31"/>
  <c r="P38" i="31"/>
  <c r="O38" i="31"/>
  <c r="N38" i="31"/>
  <c r="M38" i="31"/>
  <c r="L38" i="31"/>
  <c r="K38" i="31"/>
  <c r="J38" i="31"/>
  <c r="I38" i="31"/>
  <c r="H38" i="31"/>
  <c r="G38" i="31"/>
  <c r="F38" i="31"/>
  <c r="E38" i="31"/>
  <c r="P37" i="31"/>
  <c r="O37" i="31"/>
  <c r="N37" i="31"/>
  <c r="M37" i="31"/>
  <c r="L37" i="31"/>
  <c r="K37" i="31"/>
  <c r="J37" i="31"/>
  <c r="I37" i="31"/>
  <c r="H37" i="31"/>
  <c r="G37" i="31"/>
  <c r="F37" i="31"/>
  <c r="E37" i="31"/>
  <c r="P36" i="31"/>
  <c r="O36" i="31"/>
  <c r="N36" i="31"/>
  <c r="M36" i="31"/>
  <c r="L36" i="31"/>
  <c r="K36" i="31"/>
  <c r="J36" i="31"/>
  <c r="I36" i="31"/>
  <c r="G36" i="31"/>
  <c r="F36" i="31"/>
  <c r="E36" i="31"/>
  <c r="P35" i="31"/>
  <c r="O35" i="31"/>
  <c r="N35" i="31"/>
  <c r="M35" i="31"/>
  <c r="L35" i="31"/>
  <c r="K35" i="31"/>
  <c r="J35" i="31"/>
  <c r="I35" i="31"/>
  <c r="G35" i="31"/>
  <c r="F35" i="31"/>
  <c r="E35" i="31"/>
  <c r="P34" i="31"/>
  <c r="O34" i="31"/>
  <c r="N34" i="31"/>
  <c r="M34" i="31"/>
  <c r="L34" i="31"/>
  <c r="K34" i="31"/>
  <c r="J34" i="31"/>
  <c r="I34" i="31"/>
  <c r="H34" i="31"/>
  <c r="G34" i="31"/>
  <c r="F34" i="31"/>
  <c r="E34" i="31"/>
  <c r="P33" i="31"/>
  <c r="O33" i="31"/>
  <c r="N33" i="31"/>
  <c r="M33" i="31"/>
  <c r="L33" i="31"/>
  <c r="K33" i="31"/>
  <c r="J33" i="31"/>
  <c r="I33" i="31"/>
  <c r="H33" i="31"/>
  <c r="G33" i="31"/>
  <c r="F33" i="31"/>
  <c r="E33" i="31"/>
  <c r="P32" i="31"/>
  <c r="O32" i="31"/>
  <c r="N32" i="31"/>
  <c r="M32" i="31"/>
  <c r="L32" i="31"/>
  <c r="K32" i="31"/>
  <c r="J32" i="31"/>
  <c r="I32" i="31"/>
  <c r="H32" i="31"/>
  <c r="G32" i="31"/>
  <c r="F32" i="31"/>
  <c r="E32" i="31"/>
  <c r="P31" i="31"/>
  <c r="O31" i="31"/>
  <c r="N31" i="31"/>
  <c r="M31" i="31"/>
  <c r="L31" i="31"/>
  <c r="K31" i="31"/>
  <c r="J31" i="31"/>
  <c r="I31" i="31"/>
  <c r="H31" i="31"/>
  <c r="G31" i="31"/>
  <c r="F31" i="31"/>
  <c r="E31" i="31"/>
  <c r="P30" i="31"/>
  <c r="O30" i="31"/>
  <c r="N30" i="31"/>
  <c r="M30" i="31"/>
  <c r="L30" i="31"/>
  <c r="K30" i="31"/>
  <c r="J30" i="31"/>
  <c r="I30" i="31"/>
  <c r="G30" i="31"/>
  <c r="F30" i="31"/>
  <c r="E30" i="31"/>
  <c r="P29" i="31"/>
  <c r="O29" i="31"/>
  <c r="N29" i="31"/>
  <c r="M29" i="31"/>
  <c r="L29" i="31"/>
  <c r="K29" i="31"/>
  <c r="J29" i="31"/>
  <c r="I29" i="31"/>
  <c r="G29" i="31"/>
  <c r="F29" i="31"/>
  <c r="E29" i="31"/>
  <c r="P28" i="31"/>
  <c r="O28" i="31"/>
  <c r="N28" i="31"/>
  <c r="M28" i="31"/>
  <c r="L28" i="31"/>
  <c r="K28" i="31"/>
  <c r="J28" i="31"/>
  <c r="I28" i="31"/>
  <c r="H28" i="31"/>
  <c r="G28" i="31"/>
  <c r="F28" i="31"/>
  <c r="E28" i="31"/>
  <c r="P27" i="31"/>
  <c r="O27" i="31"/>
  <c r="N27" i="31"/>
  <c r="M27" i="31"/>
  <c r="L27" i="31"/>
  <c r="K27" i="31"/>
  <c r="J27" i="31"/>
  <c r="I27" i="31"/>
  <c r="H27" i="31"/>
  <c r="G27" i="31"/>
  <c r="F27" i="31"/>
  <c r="E27" i="31"/>
  <c r="P26" i="31"/>
  <c r="O26" i="31"/>
  <c r="N26" i="31"/>
  <c r="M26" i="31"/>
  <c r="L26" i="31"/>
  <c r="K26" i="31"/>
  <c r="J26" i="31"/>
  <c r="I26" i="31"/>
  <c r="G26" i="31"/>
  <c r="F26" i="31"/>
  <c r="E26" i="31"/>
  <c r="P25" i="31"/>
  <c r="O25" i="31"/>
  <c r="N25" i="31"/>
  <c r="M25" i="31"/>
  <c r="L25" i="31"/>
  <c r="K25" i="31"/>
  <c r="J25" i="31"/>
  <c r="I25" i="31"/>
  <c r="G25" i="31"/>
  <c r="F25" i="31"/>
  <c r="E25" i="31"/>
  <c r="P24" i="31"/>
  <c r="O24" i="31"/>
  <c r="N24" i="31"/>
  <c r="M24" i="31"/>
  <c r="L24" i="31"/>
  <c r="K24" i="31"/>
  <c r="J24" i="31"/>
  <c r="I24" i="31"/>
  <c r="G24" i="31"/>
  <c r="F24" i="31"/>
  <c r="E24" i="31"/>
  <c r="P23" i="31"/>
  <c r="O23" i="31"/>
  <c r="N23" i="31"/>
  <c r="M23" i="31"/>
  <c r="L23" i="31"/>
  <c r="K23" i="31"/>
  <c r="J23" i="31"/>
  <c r="I23" i="31"/>
  <c r="H23" i="31"/>
  <c r="G23" i="31"/>
  <c r="F23" i="31"/>
  <c r="E23" i="31"/>
  <c r="P22" i="31"/>
  <c r="O22" i="31"/>
  <c r="N22" i="31"/>
  <c r="M22" i="31"/>
  <c r="L22" i="31"/>
  <c r="K22" i="31"/>
  <c r="J22" i="31"/>
  <c r="I22" i="31"/>
  <c r="H22" i="31"/>
  <c r="G22" i="31"/>
  <c r="F22" i="31"/>
  <c r="E22" i="31"/>
  <c r="P21" i="31"/>
  <c r="O21" i="31"/>
  <c r="N21" i="31"/>
  <c r="M21" i="31"/>
  <c r="L21" i="31"/>
  <c r="K21" i="31"/>
  <c r="J21" i="31"/>
  <c r="I21" i="31"/>
  <c r="G21" i="31"/>
  <c r="F21" i="31"/>
  <c r="E21" i="31"/>
  <c r="P20" i="31"/>
  <c r="O20" i="31"/>
  <c r="N20" i="31"/>
  <c r="M20" i="31"/>
  <c r="L20" i="31"/>
  <c r="K20" i="31"/>
  <c r="J20" i="31"/>
  <c r="I20" i="31"/>
  <c r="G20" i="31"/>
  <c r="F20" i="31"/>
  <c r="E20" i="31"/>
  <c r="P19" i="31"/>
  <c r="O19" i="31"/>
  <c r="N19" i="31"/>
  <c r="M19" i="31"/>
  <c r="L19" i="31"/>
  <c r="K19" i="31"/>
  <c r="J19" i="31"/>
  <c r="I19" i="31"/>
  <c r="H19" i="31"/>
  <c r="G19" i="31"/>
  <c r="F19" i="31"/>
  <c r="E19" i="31"/>
  <c r="P18" i="31"/>
  <c r="O18" i="31"/>
  <c r="N18" i="31"/>
  <c r="M18" i="31"/>
  <c r="L18" i="31"/>
  <c r="K18" i="31"/>
  <c r="J18" i="31"/>
  <c r="I18" i="31"/>
  <c r="H18" i="31"/>
  <c r="G18" i="31"/>
  <c r="F18" i="31"/>
  <c r="E18" i="31"/>
  <c r="P17" i="31"/>
  <c r="O17" i="31"/>
  <c r="N17" i="31"/>
  <c r="M17" i="31"/>
  <c r="L17" i="31"/>
  <c r="K17" i="31"/>
  <c r="J17" i="31"/>
  <c r="I17" i="31"/>
  <c r="H17" i="31"/>
  <c r="G17" i="31"/>
  <c r="F17" i="31"/>
  <c r="E17" i="31"/>
  <c r="P16" i="31"/>
  <c r="O16" i="31"/>
  <c r="N16" i="31"/>
  <c r="M16" i="31"/>
  <c r="L16" i="31"/>
  <c r="K16" i="31"/>
  <c r="J16" i="31"/>
  <c r="I16" i="31"/>
  <c r="H16" i="31"/>
  <c r="G16" i="31"/>
  <c r="F16" i="31"/>
  <c r="E16" i="31"/>
  <c r="P15" i="31"/>
  <c r="O15" i="31"/>
  <c r="N15" i="31"/>
  <c r="M15" i="31"/>
  <c r="L15" i="31"/>
  <c r="K15" i="31"/>
  <c r="J15" i="31"/>
  <c r="I15" i="31"/>
  <c r="G15" i="31"/>
  <c r="F15" i="31"/>
  <c r="E15" i="31"/>
  <c r="P14" i="31"/>
  <c r="O14" i="31"/>
  <c r="N14" i="31"/>
  <c r="M14" i="31"/>
  <c r="L14" i="31"/>
  <c r="K14" i="31"/>
  <c r="J14" i="31"/>
  <c r="I14" i="31"/>
  <c r="G14" i="31"/>
  <c r="F14" i="31"/>
  <c r="E14" i="31"/>
  <c r="P13" i="31"/>
  <c r="O13" i="31"/>
  <c r="N13" i="31"/>
  <c r="M13" i="31"/>
  <c r="L13" i="31"/>
  <c r="K13" i="31"/>
  <c r="J13" i="31"/>
  <c r="I13" i="31"/>
  <c r="H13" i="31"/>
  <c r="G13" i="31"/>
  <c r="F13" i="31"/>
  <c r="E13" i="31"/>
  <c r="P12" i="31"/>
  <c r="O12" i="31"/>
  <c r="N12" i="31"/>
  <c r="M12" i="31"/>
  <c r="L12" i="31"/>
  <c r="K12" i="31"/>
  <c r="J12" i="31"/>
  <c r="I12" i="31"/>
  <c r="H12" i="31"/>
  <c r="G12" i="31"/>
  <c r="F12" i="31"/>
  <c r="E12" i="31"/>
  <c r="P10" i="31"/>
  <c r="O10" i="31"/>
  <c r="N10" i="31"/>
  <c r="M10" i="31"/>
  <c r="L10" i="31"/>
  <c r="K10" i="31"/>
  <c r="J10" i="31"/>
  <c r="I10" i="31"/>
  <c r="H10" i="31"/>
  <c r="G10" i="31"/>
  <c r="F10" i="31"/>
  <c r="E10" i="31"/>
  <c r="L100" i="6"/>
  <c r="H90" i="31" l="1"/>
  <c r="I91" i="31"/>
  <c r="I100" i="31"/>
  <c r="J91" i="31"/>
  <c r="J100" i="31"/>
  <c r="U90" i="6"/>
  <c r="M93" i="6" s="1"/>
  <c r="T90" i="6"/>
  <c r="N92" i="6" s="1"/>
  <c r="I90" i="6" s="1"/>
  <c r="P90" i="6"/>
  <c r="S90" i="6"/>
  <c r="P91" i="6" s="1"/>
  <c r="M89" i="6"/>
  <c r="AK89" i="6"/>
  <c r="AI89" i="6"/>
  <c r="H70" i="6"/>
  <c r="H71" i="6"/>
  <c r="H72" i="6"/>
  <c r="H73" i="6"/>
  <c r="H69" i="6"/>
  <c r="H60" i="6"/>
  <c r="H61" i="6"/>
  <c r="H62" i="6"/>
  <c r="H63" i="6"/>
  <c r="H59" i="6"/>
  <c r="M102" i="4"/>
  <c r="H100" i="31" l="1"/>
  <c r="H91" i="31"/>
  <c r="J90" i="6"/>
  <c r="J91" i="6" s="1"/>
  <c r="I100" i="6"/>
  <c r="I91" i="6"/>
  <c r="M92" i="6"/>
  <c r="H90" i="6" s="1"/>
  <c r="I101" i="31"/>
  <c r="I92" i="31"/>
  <c r="J101" i="31"/>
  <c r="J92" i="31"/>
  <c r="H101" i="31"/>
  <c r="H92" i="31"/>
  <c r="J80" i="4"/>
  <c r="H81" i="4"/>
  <c r="H82" i="4"/>
  <c r="H83" i="4"/>
  <c r="H84" i="4"/>
  <c r="H80" i="4"/>
  <c r="H71" i="8"/>
  <c r="H72" i="8"/>
  <c r="H73" i="8"/>
  <c r="H61" i="8"/>
  <c r="H62" i="8"/>
  <c r="H63" i="8"/>
  <c r="J100" i="6" l="1"/>
  <c r="J101" i="6"/>
  <c r="J92" i="6"/>
  <c r="H100" i="6"/>
  <c r="H91" i="6"/>
  <c r="I101" i="6"/>
  <c r="I92" i="6"/>
  <c r="I102" i="31"/>
  <c r="I93" i="31"/>
  <c r="H102" i="31"/>
  <c r="H93" i="31"/>
  <c r="J93" i="31"/>
  <c r="J102" i="31"/>
  <c r="I91" i="23"/>
  <c r="I92" i="23"/>
  <c r="I93" i="23"/>
  <c r="I94" i="23"/>
  <c r="I90" i="23"/>
  <c r="K91" i="23"/>
  <c r="K92" i="23"/>
  <c r="K93" i="23"/>
  <c r="K94" i="23"/>
  <c r="K90" i="23"/>
  <c r="I93" i="6" l="1"/>
  <c r="I102" i="6"/>
  <c r="H101" i="6"/>
  <c r="H92" i="6"/>
  <c r="J93" i="6"/>
  <c r="J102" i="6"/>
  <c r="I103" i="31"/>
  <c r="I94" i="31"/>
  <c r="I104" i="31" s="1"/>
  <c r="J94" i="31"/>
  <c r="J104" i="31" s="1"/>
  <c r="J103" i="31"/>
  <c r="H103" i="31"/>
  <c r="H94" i="31"/>
  <c r="H104" i="31" s="1"/>
  <c r="M91" i="23"/>
  <c r="M92" i="23"/>
  <c r="M93" i="23"/>
  <c r="M94" i="23"/>
  <c r="J94" i="6" l="1"/>
  <c r="J104" i="6" s="1"/>
  <c r="J103" i="6"/>
  <c r="H93" i="6"/>
  <c r="H102" i="6"/>
  <c r="I94" i="6"/>
  <c r="I104" i="6" s="1"/>
  <c r="I103" i="6"/>
  <c r="I91" i="1"/>
  <c r="I92" i="1"/>
  <c r="I93" i="1"/>
  <c r="I94" i="1"/>
  <c r="H94" i="6" l="1"/>
  <c r="H104" i="6" s="1"/>
  <c r="H103" i="6"/>
  <c r="I96" i="4"/>
  <c r="I90" i="30"/>
  <c r="H90" i="30"/>
  <c r="H70" i="30"/>
  <c r="H69" i="30"/>
  <c r="H60" i="30"/>
  <c r="H59" i="30"/>
  <c r="H50" i="30"/>
  <c r="H49" i="30"/>
  <c r="H70" i="8"/>
  <c r="H60" i="8"/>
  <c r="O173" i="20"/>
  <c r="O149" i="20"/>
  <c r="P43" i="6" l="1"/>
  <c r="O43" i="6"/>
  <c r="N43" i="6"/>
  <c r="M43" i="6"/>
  <c r="L43" i="6"/>
  <c r="K43" i="6"/>
  <c r="J43" i="6"/>
  <c r="I43" i="6"/>
  <c r="H43" i="6"/>
  <c r="G43" i="6"/>
  <c r="F43" i="6"/>
  <c r="E43" i="6"/>
  <c r="P42" i="6"/>
  <c r="O42" i="6"/>
  <c r="N42" i="6"/>
  <c r="M42" i="6"/>
  <c r="L42" i="6"/>
  <c r="K42" i="6"/>
  <c r="J42" i="6"/>
  <c r="I42" i="6"/>
  <c r="G42" i="6"/>
  <c r="F42" i="6"/>
  <c r="E42" i="6"/>
  <c r="P41" i="6"/>
  <c r="O41" i="6"/>
  <c r="N41" i="6"/>
  <c r="M41" i="6"/>
  <c r="L41" i="6"/>
  <c r="K41" i="6"/>
  <c r="J41" i="6"/>
  <c r="I41" i="6"/>
  <c r="G41" i="6"/>
  <c r="F41" i="6"/>
  <c r="E41" i="6"/>
  <c r="P40" i="6"/>
  <c r="O40" i="6"/>
  <c r="N40" i="6"/>
  <c r="M40" i="6"/>
  <c r="L40" i="6"/>
  <c r="K40" i="6"/>
  <c r="J40" i="6"/>
  <c r="I40" i="6"/>
  <c r="H40" i="6"/>
  <c r="G40" i="6"/>
  <c r="F40" i="6"/>
  <c r="E40" i="6"/>
  <c r="P39" i="6"/>
  <c r="O39" i="6"/>
  <c r="N39" i="6"/>
  <c r="M39" i="6"/>
  <c r="L39" i="6"/>
  <c r="K39" i="6"/>
  <c r="J39" i="6"/>
  <c r="I39" i="6"/>
  <c r="H39" i="6"/>
  <c r="G39" i="6"/>
  <c r="F39" i="6"/>
  <c r="E39" i="6"/>
  <c r="P38" i="6"/>
  <c r="O38" i="6"/>
  <c r="N38" i="6"/>
  <c r="M38" i="6"/>
  <c r="L38" i="6"/>
  <c r="K38" i="6"/>
  <c r="J38" i="6"/>
  <c r="I38" i="6"/>
  <c r="H38" i="6"/>
  <c r="G38" i="6"/>
  <c r="F38" i="6"/>
  <c r="E38" i="6"/>
  <c r="P37" i="6"/>
  <c r="O37" i="6"/>
  <c r="N37" i="6"/>
  <c r="M37" i="6"/>
  <c r="L37" i="6"/>
  <c r="K37" i="6"/>
  <c r="J37" i="6"/>
  <c r="I37" i="6"/>
  <c r="H37" i="6"/>
  <c r="G37" i="6"/>
  <c r="F37" i="6"/>
  <c r="E37" i="6"/>
  <c r="P36" i="6"/>
  <c r="O36" i="6"/>
  <c r="N36" i="6"/>
  <c r="M36" i="6"/>
  <c r="L36" i="6"/>
  <c r="K36" i="6"/>
  <c r="J36" i="6"/>
  <c r="I36" i="6"/>
  <c r="G36" i="6"/>
  <c r="F36" i="6"/>
  <c r="E36" i="6"/>
  <c r="P35" i="6"/>
  <c r="O35" i="6"/>
  <c r="N35" i="6"/>
  <c r="M35" i="6"/>
  <c r="L35" i="6"/>
  <c r="K35" i="6"/>
  <c r="J35" i="6"/>
  <c r="I35" i="6"/>
  <c r="G35" i="6"/>
  <c r="F35" i="6"/>
  <c r="E35" i="6"/>
  <c r="P34" i="6"/>
  <c r="O34" i="6"/>
  <c r="N34" i="6"/>
  <c r="M34" i="6"/>
  <c r="L34" i="6"/>
  <c r="K34" i="6"/>
  <c r="J34" i="6"/>
  <c r="I34" i="6"/>
  <c r="H34" i="6"/>
  <c r="G34" i="6"/>
  <c r="F34" i="6"/>
  <c r="E34" i="6"/>
  <c r="P33" i="6"/>
  <c r="O33" i="6"/>
  <c r="N33" i="6"/>
  <c r="M33" i="6"/>
  <c r="L33" i="6"/>
  <c r="K33" i="6"/>
  <c r="J33" i="6"/>
  <c r="I33" i="6"/>
  <c r="H33" i="6"/>
  <c r="G33" i="6"/>
  <c r="F33" i="6"/>
  <c r="E33" i="6"/>
  <c r="P32" i="6"/>
  <c r="O32" i="6"/>
  <c r="N32" i="6"/>
  <c r="M32" i="6"/>
  <c r="L32" i="6"/>
  <c r="K32" i="6"/>
  <c r="J32" i="6"/>
  <c r="I32" i="6"/>
  <c r="H32" i="6"/>
  <c r="G32" i="6"/>
  <c r="F32" i="6"/>
  <c r="E32" i="6"/>
  <c r="P31" i="6"/>
  <c r="O31" i="6"/>
  <c r="N31" i="6"/>
  <c r="M31" i="6"/>
  <c r="L31" i="6"/>
  <c r="K31" i="6"/>
  <c r="J31" i="6"/>
  <c r="I31" i="6"/>
  <c r="H31" i="6"/>
  <c r="G31" i="6"/>
  <c r="F31" i="6"/>
  <c r="E31" i="6"/>
  <c r="P30" i="6"/>
  <c r="O30" i="6"/>
  <c r="N30" i="6"/>
  <c r="M30" i="6"/>
  <c r="L30" i="6"/>
  <c r="K30" i="6"/>
  <c r="J30" i="6"/>
  <c r="I30" i="6"/>
  <c r="G30" i="6"/>
  <c r="F30" i="6"/>
  <c r="E30" i="6"/>
  <c r="P29" i="6"/>
  <c r="O29" i="6"/>
  <c r="N29" i="6"/>
  <c r="M29" i="6"/>
  <c r="L29" i="6"/>
  <c r="K29" i="6"/>
  <c r="J29" i="6"/>
  <c r="I29" i="6"/>
  <c r="G29" i="6"/>
  <c r="F29" i="6"/>
  <c r="E29" i="6"/>
  <c r="P28" i="6"/>
  <c r="O28" i="6"/>
  <c r="N28" i="6"/>
  <c r="M28" i="6"/>
  <c r="L28" i="6"/>
  <c r="K28" i="6"/>
  <c r="J28" i="6"/>
  <c r="I28" i="6"/>
  <c r="H28" i="6"/>
  <c r="G28" i="6"/>
  <c r="F28" i="6"/>
  <c r="E28" i="6"/>
  <c r="P27" i="6"/>
  <c r="O27" i="6"/>
  <c r="N27" i="6"/>
  <c r="M27" i="6"/>
  <c r="L27" i="6"/>
  <c r="K27" i="6"/>
  <c r="J27" i="6"/>
  <c r="I27" i="6"/>
  <c r="H27" i="6"/>
  <c r="G27" i="6"/>
  <c r="F27" i="6"/>
  <c r="E27" i="6"/>
  <c r="P26" i="6"/>
  <c r="O26" i="6"/>
  <c r="N26" i="6"/>
  <c r="M26" i="6"/>
  <c r="L26" i="6"/>
  <c r="K26" i="6"/>
  <c r="J26" i="6"/>
  <c r="I26" i="6"/>
  <c r="G26" i="6"/>
  <c r="F26" i="6"/>
  <c r="E26" i="6"/>
  <c r="P25" i="6"/>
  <c r="O25" i="6"/>
  <c r="N25" i="6"/>
  <c r="M25" i="6"/>
  <c r="L25" i="6"/>
  <c r="K25" i="6"/>
  <c r="J25" i="6"/>
  <c r="I25" i="6"/>
  <c r="G25" i="6"/>
  <c r="F25" i="6"/>
  <c r="E25" i="6"/>
  <c r="P24" i="6"/>
  <c r="O24" i="6"/>
  <c r="N24" i="6"/>
  <c r="M24" i="6"/>
  <c r="L24" i="6"/>
  <c r="K24" i="6"/>
  <c r="J24" i="6"/>
  <c r="I24" i="6"/>
  <c r="G24" i="6"/>
  <c r="F24" i="6"/>
  <c r="E24" i="6"/>
  <c r="P23" i="6"/>
  <c r="O23" i="6"/>
  <c r="N23" i="6"/>
  <c r="M23" i="6"/>
  <c r="L23" i="6"/>
  <c r="K23" i="6"/>
  <c r="J23" i="6"/>
  <c r="I23" i="6"/>
  <c r="H23" i="6"/>
  <c r="G23" i="6"/>
  <c r="F23" i="6"/>
  <c r="E23" i="6"/>
  <c r="P22" i="6"/>
  <c r="O22" i="6"/>
  <c r="N22" i="6"/>
  <c r="M22" i="6"/>
  <c r="L22" i="6"/>
  <c r="K22" i="6"/>
  <c r="J22" i="6"/>
  <c r="I22" i="6"/>
  <c r="H22" i="6"/>
  <c r="G22" i="6"/>
  <c r="F22" i="6"/>
  <c r="E22" i="6"/>
  <c r="P21" i="6"/>
  <c r="O21" i="6"/>
  <c r="N21" i="6"/>
  <c r="M21" i="6"/>
  <c r="L21" i="6"/>
  <c r="K21" i="6"/>
  <c r="J21" i="6"/>
  <c r="I21" i="6"/>
  <c r="G21" i="6"/>
  <c r="F21" i="6"/>
  <c r="E21" i="6"/>
  <c r="P20" i="6"/>
  <c r="O20" i="6"/>
  <c r="N20" i="6"/>
  <c r="M20" i="6"/>
  <c r="L20" i="6"/>
  <c r="K20" i="6"/>
  <c r="J20" i="6"/>
  <c r="I20" i="6"/>
  <c r="G20" i="6"/>
  <c r="F20" i="6"/>
  <c r="E20" i="6"/>
  <c r="P19" i="6"/>
  <c r="O19" i="6"/>
  <c r="N19" i="6"/>
  <c r="M19" i="6"/>
  <c r="L19" i="6"/>
  <c r="K19" i="6"/>
  <c r="J19" i="6"/>
  <c r="I19" i="6"/>
  <c r="H19" i="6"/>
  <c r="G19" i="6"/>
  <c r="F19" i="6"/>
  <c r="E19" i="6"/>
  <c r="P18" i="6"/>
  <c r="O18" i="6"/>
  <c r="N18" i="6"/>
  <c r="M18" i="6"/>
  <c r="L18" i="6"/>
  <c r="K18" i="6"/>
  <c r="J18" i="6"/>
  <c r="I18" i="6"/>
  <c r="H18" i="6"/>
  <c r="G18" i="6"/>
  <c r="F18" i="6"/>
  <c r="E18" i="6"/>
  <c r="P17" i="6"/>
  <c r="O17" i="6"/>
  <c r="N17" i="6"/>
  <c r="M17" i="6"/>
  <c r="L17" i="6"/>
  <c r="K17" i="6"/>
  <c r="J17" i="6"/>
  <c r="I17" i="6"/>
  <c r="H17" i="6"/>
  <c r="G17" i="6"/>
  <c r="F17" i="6"/>
  <c r="E17" i="6"/>
  <c r="P16" i="6"/>
  <c r="O16" i="6"/>
  <c r="N16" i="6"/>
  <c r="M16" i="6"/>
  <c r="L16" i="6"/>
  <c r="K16" i="6"/>
  <c r="J16" i="6"/>
  <c r="I16" i="6"/>
  <c r="H16" i="6"/>
  <c r="G16" i="6"/>
  <c r="F16" i="6"/>
  <c r="E16" i="6"/>
  <c r="P15" i="6"/>
  <c r="O15" i="6"/>
  <c r="N15" i="6"/>
  <c r="M15" i="6"/>
  <c r="L15" i="6"/>
  <c r="K15" i="6"/>
  <c r="J15" i="6"/>
  <c r="I15" i="6"/>
  <c r="G15" i="6"/>
  <c r="F15" i="6"/>
  <c r="E15" i="6"/>
  <c r="P14" i="6"/>
  <c r="O14" i="6"/>
  <c r="N14" i="6"/>
  <c r="M14" i="6"/>
  <c r="L14" i="6"/>
  <c r="K14" i="6"/>
  <c r="J14" i="6"/>
  <c r="I14" i="6"/>
  <c r="G14" i="6"/>
  <c r="F14" i="6"/>
  <c r="E14" i="6"/>
  <c r="P13" i="6"/>
  <c r="O13" i="6"/>
  <c r="N13" i="6"/>
  <c r="M13" i="6"/>
  <c r="L13" i="6"/>
  <c r="K13" i="6"/>
  <c r="J13" i="6"/>
  <c r="I13" i="6"/>
  <c r="H13" i="6"/>
  <c r="G13" i="6"/>
  <c r="F13" i="6"/>
  <c r="E13" i="6"/>
  <c r="P12" i="6"/>
  <c r="O12" i="6"/>
  <c r="N12" i="6"/>
  <c r="M12" i="6"/>
  <c r="L12" i="6"/>
  <c r="K12" i="6"/>
  <c r="J12" i="6"/>
  <c r="I12" i="6"/>
  <c r="H12" i="6"/>
  <c r="G12" i="6"/>
  <c r="F12" i="6"/>
  <c r="E12" i="6"/>
  <c r="P10" i="6"/>
  <c r="O10" i="6"/>
  <c r="N10" i="6"/>
  <c r="M10" i="6"/>
  <c r="L10" i="6"/>
  <c r="K10" i="6"/>
  <c r="J10" i="6"/>
  <c r="I10" i="6"/>
  <c r="H10" i="6"/>
  <c r="G10" i="6"/>
  <c r="F10" i="6"/>
  <c r="E10" i="6"/>
  <c r="AQ90" i="4"/>
  <c r="AP90" i="4"/>
  <c r="AO90" i="4"/>
  <c r="AN90" i="4"/>
  <c r="AL90" i="4"/>
  <c r="AJ90" i="4"/>
  <c r="AI90" i="4"/>
  <c r="AH90" i="4"/>
  <c r="AG90" i="4"/>
  <c r="AE90" i="4"/>
  <c r="AD90" i="4"/>
  <c r="R90" i="4" s="1"/>
  <c r="AC90" i="4"/>
  <c r="AB90" i="4"/>
  <c r="AA90" i="4"/>
  <c r="Y90" i="4"/>
  <c r="X90" i="4"/>
  <c r="Q90" i="4" s="1"/>
  <c r="W90" i="4"/>
  <c r="V90" i="4"/>
  <c r="S90" i="4" l="1"/>
  <c r="O90" i="4"/>
  <c r="P90" i="4"/>
  <c r="P43" i="30"/>
  <c r="O43" i="30"/>
  <c r="N43" i="30"/>
  <c r="M43" i="30"/>
  <c r="L43" i="30"/>
  <c r="K43" i="30"/>
  <c r="J43" i="30"/>
  <c r="I43" i="30"/>
  <c r="H43" i="30"/>
  <c r="G43" i="30"/>
  <c r="F43" i="30"/>
  <c r="E43" i="30"/>
  <c r="P42" i="30"/>
  <c r="O42" i="30"/>
  <c r="N42" i="30"/>
  <c r="M42" i="30"/>
  <c r="L42" i="30"/>
  <c r="K42" i="30"/>
  <c r="J42" i="30"/>
  <c r="I42" i="30"/>
  <c r="G42" i="30"/>
  <c r="F42" i="30"/>
  <c r="E42" i="30"/>
  <c r="P41" i="30"/>
  <c r="O41" i="30"/>
  <c r="N41" i="30"/>
  <c r="M41" i="30"/>
  <c r="L41" i="30"/>
  <c r="K41" i="30"/>
  <c r="J41" i="30"/>
  <c r="I41" i="30"/>
  <c r="G41" i="30"/>
  <c r="F41" i="30"/>
  <c r="E41" i="30"/>
  <c r="P40" i="30"/>
  <c r="O40" i="30"/>
  <c r="N40" i="30"/>
  <c r="M40" i="30"/>
  <c r="L40" i="30"/>
  <c r="K40" i="30"/>
  <c r="J40" i="30"/>
  <c r="I40" i="30"/>
  <c r="H40" i="30"/>
  <c r="G40" i="30"/>
  <c r="F40" i="30"/>
  <c r="E40" i="30"/>
  <c r="P39" i="30"/>
  <c r="O39" i="30"/>
  <c r="N39" i="30"/>
  <c r="M39" i="30"/>
  <c r="L39" i="30"/>
  <c r="K39" i="30"/>
  <c r="J39" i="30"/>
  <c r="I39" i="30"/>
  <c r="H39" i="30"/>
  <c r="G39" i="30"/>
  <c r="F39" i="30"/>
  <c r="E39" i="30"/>
  <c r="P38" i="30"/>
  <c r="O38" i="30"/>
  <c r="N38" i="30"/>
  <c r="M38" i="30"/>
  <c r="L38" i="30"/>
  <c r="K38" i="30"/>
  <c r="J38" i="30"/>
  <c r="I38" i="30"/>
  <c r="H38" i="30"/>
  <c r="G38" i="30"/>
  <c r="F38" i="30"/>
  <c r="E38" i="30"/>
  <c r="P37" i="30"/>
  <c r="O37" i="30"/>
  <c r="N37" i="30"/>
  <c r="M37" i="30"/>
  <c r="L37" i="30"/>
  <c r="K37" i="30"/>
  <c r="J37" i="30"/>
  <c r="I37" i="30"/>
  <c r="H37" i="30"/>
  <c r="G37" i="30"/>
  <c r="F37" i="30"/>
  <c r="E37" i="30"/>
  <c r="P36" i="30"/>
  <c r="O36" i="30"/>
  <c r="N36" i="30"/>
  <c r="M36" i="30"/>
  <c r="L36" i="30"/>
  <c r="K36" i="30"/>
  <c r="J36" i="30"/>
  <c r="I36" i="30"/>
  <c r="G36" i="30"/>
  <c r="F36" i="30"/>
  <c r="E36" i="30"/>
  <c r="P35" i="30"/>
  <c r="O35" i="30"/>
  <c r="N35" i="30"/>
  <c r="M35" i="30"/>
  <c r="L35" i="30"/>
  <c r="K35" i="30"/>
  <c r="J35" i="30"/>
  <c r="I35" i="30"/>
  <c r="G35" i="30"/>
  <c r="F35" i="30"/>
  <c r="E35" i="30"/>
  <c r="P34" i="30"/>
  <c r="O34" i="30"/>
  <c r="N34" i="30"/>
  <c r="M34" i="30"/>
  <c r="L34" i="30"/>
  <c r="K34" i="30"/>
  <c r="J34" i="30"/>
  <c r="I34" i="30"/>
  <c r="H34" i="30"/>
  <c r="G34" i="30"/>
  <c r="F34" i="30"/>
  <c r="E34" i="30"/>
  <c r="P33" i="30"/>
  <c r="O33" i="30"/>
  <c r="N33" i="30"/>
  <c r="M33" i="30"/>
  <c r="L33" i="30"/>
  <c r="K33" i="30"/>
  <c r="J33" i="30"/>
  <c r="I33" i="30"/>
  <c r="H33" i="30"/>
  <c r="G33" i="30"/>
  <c r="F33" i="30"/>
  <c r="E33" i="30"/>
  <c r="P32" i="30"/>
  <c r="O32" i="30"/>
  <c r="N32" i="30"/>
  <c r="M32" i="30"/>
  <c r="L32" i="30"/>
  <c r="K32" i="30"/>
  <c r="J32" i="30"/>
  <c r="I32" i="30"/>
  <c r="H32" i="30"/>
  <c r="G32" i="30"/>
  <c r="F32" i="30"/>
  <c r="E32" i="30"/>
  <c r="P31" i="30"/>
  <c r="O31" i="30"/>
  <c r="N31" i="30"/>
  <c r="M31" i="30"/>
  <c r="L31" i="30"/>
  <c r="K31" i="30"/>
  <c r="J31" i="30"/>
  <c r="I31" i="30"/>
  <c r="H31" i="30"/>
  <c r="G31" i="30"/>
  <c r="F31" i="30"/>
  <c r="E31" i="30"/>
  <c r="P30" i="30"/>
  <c r="O30" i="30"/>
  <c r="N30" i="30"/>
  <c r="M30" i="30"/>
  <c r="L30" i="30"/>
  <c r="K30" i="30"/>
  <c r="J30" i="30"/>
  <c r="I30" i="30"/>
  <c r="G30" i="30"/>
  <c r="F30" i="30"/>
  <c r="E30" i="30"/>
  <c r="P29" i="30"/>
  <c r="O29" i="30"/>
  <c r="N29" i="30"/>
  <c r="M29" i="30"/>
  <c r="L29" i="30"/>
  <c r="K29" i="30"/>
  <c r="J29" i="30"/>
  <c r="I29" i="30"/>
  <c r="G29" i="30"/>
  <c r="F29" i="30"/>
  <c r="E29" i="30"/>
  <c r="P28" i="30"/>
  <c r="O28" i="30"/>
  <c r="N28" i="30"/>
  <c r="M28" i="30"/>
  <c r="L28" i="30"/>
  <c r="K28" i="30"/>
  <c r="J28" i="30"/>
  <c r="I28" i="30"/>
  <c r="H28" i="30"/>
  <c r="G28" i="30"/>
  <c r="F28" i="30"/>
  <c r="E28" i="30"/>
  <c r="P27" i="30"/>
  <c r="O27" i="30"/>
  <c r="N27" i="30"/>
  <c r="M27" i="30"/>
  <c r="L27" i="30"/>
  <c r="K27" i="30"/>
  <c r="J27" i="30"/>
  <c r="I27" i="30"/>
  <c r="H27" i="30"/>
  <c r="G27" i="30"/>
  <c r="F27" i="30"/>
  <c r="E27" i="30"/>
  <c r="P26" i="30"/>
  <c r="O26" i="30"/>
  <c r="N26" i="30"/>
  <c r="M26" i="30"/>
  <c r="L26" i="30"/>
  <c r="K26" i="30"/>
  <c r="J26" i="30"/>
  <c r="I26" i="30"/>
  <c r="G26" i="30"/>
  <c r="F26" i="30"/>
  <c r="E26" i="30"/>
  <c r="P25" i="30"/>
  <c r="O25" i="30"/>
  <c r="N25" i="30"/>
  <c r="M25" i="30"/>
  <c r="L25" i="30"/>
  <c r="K25" i="30"/>
  <c r="J25" i="30"/>
  <c r="I25" i="30"/>
  <c r="G25" i="30"/>
  <c r="F25" i="30"/>
  <c r="E25" i="30"/>
  <c r="P24" i="30"/>
  <c r="O24" i="30"/>
  <c r="N24" i="30"/>
  <c r="M24" i="30"/>
  <c r="L24" i="30"/>
  <c r="K24" i="30"/>
  <c r="J24" i="30"/>
  <c r="I24" i="30"/>
  <c r="G24" i="30"/>
  <c r="F24" i="30"/>
  <c r="E24" i="30"/>
  <c r="P23" i="30"/>
  <c r="O23" i="30"/>
  <c r="N23" i="30"/>
  <c r="M23" i="30"/>
  <c r="L23" i="30"/>
  <c r="K23" i="30"/>
  <c r="J23" i="30"/>
  <c r="I23" i="30"/>
  <c r="H23" i="30"/>
  <c r="G23" i="30"/>
  <c r="F23" i="30"/>
  <c r="E23" i="30"/>
  <c r="P22" i="30"/>
  <c r="O22" i="30"/>
  <c r="N22" i="30"/>
  <c r="M22" i="30"/>
  <c r="L22" i="30"/>
  <c r="K22" i="30"/>
  <c r="J22" i="30"/>
  <c r="I22" i="30"/>
  <c r="H22" i="30"/>
  <c r="G22" i="30"/>
  <c r="F22" i="30"/>
  <c r="E22" i="30"/>
  <c r="P21" i="30"/>
  <c r="O21" i="30"/>
  <c r="N21" i="30"/>
  <c r="M21" i="30"/>
  <c r="L21" i="30"/>
  <c r="K21" i="30"/>
  <c r="J21" i="30"/>
  <c r="I21" i="30"/>
  <c r="G21" i="30"/>
  <c r="F21" i="30"/>
  <c r="E21" i="30"/>
  <c r="P20" i="30"/>
  <c r="O20" i="30"/>
  <c r="N20" i="30"/>
  <c r="M20" i="30"/>
  <c r="L20" i="30"/>
  <c r="K20" i="30"/>
  <c r="J20" i="30"/>
  <c r="I20" i="30"/>
  <c r="G20" i="30"/>
  <c r="F20" i="30"/>
  <c r="E20" i="30"/>
  <c r="P19" i="30"/>
  <c r="O19" i="30"/>
  <c r="N19" i="30"/>
  <c r="M19" i="30"/>
  <c r="L19" i="30"/>
  <c r="K19" i="30"/>
  <c r="J19" i="30"/>
  <c r="I19" i="30"/>
  <c r="H19" i="30"/>
  <c r="G19" i="30"/>
  <c r="F19" i="30"/>
  <c r="E19" i="30"/>
  <c r="O18" i="30"/>
  <c r="N18" i="30"/>
  <c r="M18" i="30"/>
  <c r="L18" i="30"/>
  <c r="K18" i="30"/>
  <c r="J18" i="30"/>
  <c r="I18" i="30"/>
  <c r="H18" i="30"/>
  <c r="G18" i="30"/>
  <c r="F18" i="30"/>
  <c r="E18" i="30"/>
  <c r="P17" i="30"/>
  <c r="O17" i="30"/>
  <c r="N17" i="30"/>
  <c r="M17" i="30"/>
  <c r="L17" i="30"/>
  <c r="K17" i="30"/>
  <c r="J17" i="30"/>
  <c r="I17" i="30"/>
  <c r="H17" i="30"/>
  <c r="G17" i="30"/>
  <c r="F17" i="30"/>
  <c r="E17" i="30"/>
  <c r="P16" i="30"/>
  <c r="O16" i="30"/>
  <c r="N16" i="30"/>
  <c r="M16" i="30"/>
  <c r="L16" i="30"/>
  <c r="K16" i="30"/>
  <c r="J16" i="30"/>
  <c r="I16" i="30"/>
  <c r="H16" i="30"/>
  <c r="G16" i="30"/>
  <c r="F16" i="30"/>
  <c r="E16" i="30"/>
  <c r="P15" i="30"/>
  <c r="O15" i="30"/>
  <c r="N15" i="30"/>
  <c r="M15" i="30"/>
  <c r="L15" i="30"/>
  <c r="K15" i="30"/>
  <c r="J15" i="30"/>
  <c r="I15" i="30"/>
  <c r="G15" i="30"/>
  <c r="F15" i="30"/>
  <c r="E15" i="30"/>
  <c r="P14" i="30"/>
  <c r="O14" i="30"/>
  <c r="N14" i="30"/>
  <c r="M14" i="30"/>
  <c r="L14" i="30"/>
  <c r="K14" i="30"/>
  <c r="J14" i="30"/>
  <c r="I14" i="30"/>
  <c r="G14" i="30"/>
  <c r="F14" i="30"/>
  <c r="E14" i="30"/>
  <c r="P13" i="30"/>
  <c r="O13" i="30"/>
  <c r="N13" i="30"/>
  <c r="M13" i="30"/>
  <c r="L13" i="30"/>
  <c r="K13" i="30"/>
  <c r="J13" i="30"/>
  <c r="I13" i="30"/>
  <c r="H13" i="30"/>
  <c r="G13" i="30"/>
  <c r="F13" i="30"/>
  <c r="E13" i="30"/>
  <c r="P12" i="30"/>
  <c r="O12" i="30"/>
  <c r="N12" i="30"/>
  <c r="M12" i="30"/>
  <c r="L12" i="30"/>
  <c r="K12" i="30"/>
  <c r="J12" i="30"/>
  <c r="I12" i="30"/>
  <c r="H12" i="30"/>
  <c r="G12" i="30"/>
  <c r="F12" i="30"/>
  <c r="E12" i="30"/>
  <c r="P10" i="30"/>
  <c r="O10" i="30"/>
  <c r="N10" i="30"/>
  <c r="M10" i="30"/>
  <c r="L10" i="30"/>
  <c r="K10" i="30"/>
  <c r="J10" i="30"/>
  <c r="I10" i="30"/>
  <c r="H10" i="30"/>
  <c r="G10" i="30"/>
  <c r="F10" i="30"/>
  <c r="E10" i="30"/>
  <c r="H90" i="4" l="1"/>
  <c r="H110" i="4" s="1"/>
  <c r="H69" i="29"/>
  <c r="H59" i="29"/>
  <c r="H49" i="29"/>
  <c r="P43" i="29"/>
  <c r="O43" i="29"/>
  <c r="N43" i="29"/>
  <c r="M43" i="29"/>
  <c r="L43" i="29"/>
  <c r="K43" i="29"/>
  <c r="J43" i="29"/>
  <c r="I43" i="29"/>
  <c r="H43" i="29"/>
  <c r="G43" i="29"/>
  <c r="F43" i="29"/>
  <c r="E43" i="29"/>
  <c r="P42" i="29"/>
  <c r="O42" i="29"/>
  <c r="N42" i="29"/>
  <c r="M42" i="29"/>
  <c r="L42" i="29"/>
  <c r="K42" i="29"/>
  <c r="J42" i="29"/>
  <c r="I42" i="29"/>
  <c r="G42" i="29"/>
  <c r="F42" i="29"/>
  <c r="E42" i="29"/>
  <c r="P41" i="29"/>
  <c r="O41" i="29"/>
  <c r="N41" i="29"/>
  <c r="M41" i="29"/>
  <c r="L41" i="29"/>
  <c r="K41" i="29"/>
  <c r="J41" i="29"/>
  <c r="I41" i="29"/>
  <c r="G41" i="29"/>
  <c r="F41" i="29"/>
  <c r="E41" i="29"/>
  <c r="P40" i="29"/>
  <c r="O40" i="29"/>
  <c r="N40" i="29"/>
  <c r="M40" i="29"/>
  <c r="L40" i="29"/>
  <c r="K40" i="29"/>
  <c r="J40" i="29"/>
  <c r="I40" i="29"/>
  <c r="H40" i="29"/>
  <c r="G40" i="29"/>
  <c r="F40" i="29"/>
  <c r="E40" i="29"/>
  <c r="P39" i="29"/>
  <c r="O39" i="29"/>
  <c r="N39" i="29"/>
  <c r="M39" i="29"/>
  <c r="L39" i="29"/>
  <c r="K39" i="29"/>
  <c r="J39" i="29"/>
  <c r="I39" i="29"/>
  <c r="H39" i="29"/>
  <c r="G39" i="29"/>
  <c r="F39" i="29"/>
  <c r="E39" i="29"/>
  <c r="P38" i="29"/>
  <c r="O38" i="29"/>
  <c r="N38" i="29"/>
  <c r="M38" i="29"/>
  <c r="L38" i="29"/>
  <c r="K38" i="29"/>
  <c r="J38" i="29"/>
  <c r="I38" i="29"/>
  <c r="H38" i="29"/>
  <c r="G38" i="29"/>
  <c r="F38" i="29"/>
  <c r="E38" i="29"/>
  <c r="P37" i="29"/>
  <c r="O37" i="29"/>
  <c r="N37" i="29"/>
  <c r="M37" i="29"/>
  <c r="L37" i="29"/>
  <c r="K37" i="29"/>
  <c r="J37" i="29"/>
  <c r="I37" i="29"/>
  <c r="H37" i="29"/>
  <c r="G37" i="29"/>
  <c r="F37" i="29"/>
  <c r="E37" i="29"/>
  <c r="P36" i="29"/>
  <c r="O36" i="29"/>
  <c r="N36" i="29"/>
  <c r="M36" i="29"/>
  <c r="L36" i="29"/>
  <c r="K36" i="29"/>
  <c r="J36" i="29"/>
  <c r="I36" i="29"/>
  <c r="G36" i="29"/>
  <c r="F36" i="29"/>
  <c r="E36" i="29"/>
  <c r="P35" i="29"/>
  <c r="O35" i="29"/>
  <c r="N35" i="29"/>
  <c r="M35" i="29"/>
  <c r="L35" i="29"/>
  <c r="K35" i="29"/>
  <c r="J35" i="29"/>
  <c r="I35" i="29"/>
  <c r="G35" i="29"/>
  <c r="F35" i="29"/>
  <c r="E35" i="29"/>
  <c r="P34" i="29"/>
  <c r="O34" i="29"/>
  <c r="N34" i="29"/>
  <c r="M34" i="29"/>
  <c r="L34" i="29"/>
  <c r="K34" i="29"/>
  <c r="J34" i="29"/>
  <c r="I34" i="29"/>
  <c r="H34" i="29"/>
  <c r="G34" i="29"/>
  <c r="F34" i="29"/>
  <c r="E34" i="29"/>
  <c r="P33" i="29"/>
  <c r="O33" i="29"/>
  <c r="N33" i="29"/>
  <c r="M33" i="29"/>
  <c r="L33" i="29"/>
  <c r="K33" i="29"/>
  <c r="J33" i="29"/>
  <c r="I33" i="29"/>
  <c r="H33" i="29"/>
  <c r="G33" i="29"/>
  <c r="F33" i="29"/>
  <c r="E33" i="29"/>
  <c r="P32" i="29"/>
  <c r="O32" i="29"/>
  <c r="N32" i="29"/>
  <c r="M32" i="29"/>
  <c r="L32" i="29"/>
  <c r="K32" i="29"/>
  <c r="J32" i="29"/>
  <c r="I32" i="29"/>
  <c r="H32" i="29"/>
  <c r="G32" i="29"/>
  <c r="F32" i="29"/>
  <c r="E32" i="29"/>
  <c r="P31" i="29"/>
  <c r="O31" i="29"/>
  <c r="N31" i="29"/>
  <c r="M31" i="29"/>
  <c r="L31" i="29"/>
  <c r="K31" i="29"/>
  <c r="J31" i="29"/>
  <c r="I31" i="29"/>
  <c r="H31" i="29"/>
  <c r="G31" i="29"/>
  <c r="F31" i="29"/>
  <c r="E31" i="29"/>
  <c r="P30" i="29"/>
  <c r="O30" i="29"/>
  <c r="N30" i="29"/>
  <c r="M30" i="29"/>
  <c r="L30" i="29"/>
  <c r="K30" i="29"/>
  <c r="J30" i="29"/>
  <c r="I30" i="29"/>
  <c r="G30" i="29"/>
  <c r="F30" i="29"/>
  <c r="E30" i="29"/>
  <c r="P29" i="29"/>
  <c r="O29" i="29"/>
  <c r="N29" i="29"/>
  <c r="M29" i="29"/>
  <c r="L29" i="29"/>
  <c r="K29" i="29"/>
  <c r="J29" i="29"/>
  <c r="I29" i="29"/>
  <c r="G29" i="29"/>
  <c r="F29" i="29"/>
  <c r="E29" i="29"/>
  <c r="P28" i="29"/>
  <c r="O28" i="29"/>
  <c r="N28" i="29"/>
  <c r="M28" i="29"/>
  <c r="L28" i="29"/>
  <c r="K28" i="29"/>
  <c r="J28" i="29"/>
  <c r="I28" i="29"/>
  <c r="H28" i="29"/>
  <c r="G28" i="29"/>
  <c r="F28" i="29"/>
  <c r="E28" i="29"/>
  <c r="P27" i="29"/>
  <c r="O27" i="29"/>
  <c r="N27" i="29"/>
  <c r="M27" i="29"/>
  <c r="L27" i="29"/>
  <c r="K27" i="29"/>
  <c r="J27" i="29"/>
  <c r="I27" i="29"/>
  <c r="H27" i="29"/>
  <c r="G27" i="29"/>
  <c r="F27" i="29"/>
  <c r="E27" i="29"/>
  <c r="P26" i="29"/>
  <c r="O26" i="29"/>
  <c r="N26" i="29"/>
  <c r="M26" i="29"/>
  <c r="L26" i="29"/>
  <c r="K26" i="29"/>
  <c r="J26" i="29"/>
  <c r="I26" i="29"/>
  <c r="G26" i="29"/>
  <c r="F26" i="29"/>
  <c r="E26" i="29"/>
  <c r="P25" i="29"/>
  <c r="O25" i="29"/>
  <c r="N25" i="29"/>
  <c r="M25" i="29"/>
  <c r="L25" i="29"/>
  <c r="K25" i="29"/>
  <c r="J25" i="29"/>
  <c r="I25" i="29"/>
  <c r="G25" i="29"/>
  <c r="F25" i="29"/>
  <c r="E25" i="29"/>
  <c r="P24" i="29"/>
  <c r="O24" i="29"/>
  <c r="N24" i="29"/>
  <c r="M24" i="29"/>
  <c r="L24" i="29"/>
  <c r="K24" i="29"/>
  <c r="J24" i="29"/>
  <c r="I24" i="29"/>
  <c r="G24" i="29"/>
  <c r="F24" i="29"/>
  <c r="E24" i="29"/>
  <c r="P23" i="29"/>
  <c r="O23" i="29"/>
  <c r="N23" i="29"/>
  <c r="M23" i="29"/>
  <c r="L23" i="29"/>
  <c r="K23" i="29"/>
  <c r="J23" i="29"/>
  <c r="I23" i="29"/>
  <c r="H23" i="29"/>
  <c r="G23" i="29"/>
  <c r="F23" i="29"/>
  <c r="E23" i="29"/>
  <c r="P22" i="29"/>
  <c r="O22" i="29"/>
  <c r="N22" i="29"/>
  <c r="M22" i="29"/>
  <c r="L22" i="29"/>
  <c r="K22" i="29"/>
  <c r="J22" i="29"/>
  <c r="I22" i="29"/>
  <c r="H22" i="29"/>
  <c r="G22" i="29"/>
  <c r="F22" i="29"/>
  <c r="E22" i="29"/>
  <c r="P21" i="29"/>
  <c r="O21" i="29"/>
  <c r="N21" i="29"/>
  <c r="M21" i="29"/>
  <c r="L21" i="29"/>
  <c r="K21" i="29"/>
  <c r="J21" i="29"/>
  <c r="I21" i="29"/>
  <c r="G21" i="29"/>
  <c r="F21" i="29"/>
  <c r="E21" i="29"/>
  <c r="P20" i="29"/>
  <c r="O20" i="29"/>
  <c r="N20" i="29"/>
  <c r="M20" i="29"/>
  <c r="L20" i="29"/>
  <c r="K20" i="29"/>
  <c r="J20" i="29"/>
  <c r="I20" i="29"/>
  <c r="G20" i="29"/>
  <c r="F20" i="29"/>
  <c r="E20" i="29"/>
  <c r="P19" i="29"/>
  <c r="O19" i="29"/>
  <c r="N19" i="29"/>
  <c r="M19" i="29"/>
  <c r="L19" i="29"/>
  <c r="K19" i="29"/>
  <c r="J19" i="29"/>
  <c r="I19" i="29"/>
  <c r="H19" i="29"/>
  <c r="G19" i="29"/>
  <c r="F19" i="29"/>
  <c r="E19" i="29"/>
  <c r="P18" i="29"/>
  <c r="O18" i="29"/>
  <c r="N18" i="29"/>
  <c r="M18" i="29"/>
  <c r="L18" i="29"/>
  <c r="K18" i="29"/>
  <c r="J18" i="29"/>
  <c r="I18" i="29"/>
  <c r="H18" i="29"/>
  <c r="G18" i="29"/>
  <c r="F18" i="29"/>
  <c r="E18" i="29"/>
  <c r="P17" i="29"/>
  <c r="O17" i="29"/>
  <c r="N17" i="29"/>
  <c r="M17" i="29"/>
  <c r="L17" i="29"/>
  <c r="K17" i="29"/>
  <c r="J17" i="29"/>
  <c r="I17" i="29"/>
  <c r="H17" i="29"/>
  <c r="G17" i="29"/>
  <c r="F17" i="29"/>
  <c r="E17" i="29"/>
  <c r="P16" i="29"/>
  <c r="O16" i="29"/>
  <c r="N16" i="29"/>
  <c r="M16" i="29"/>
  <c r="L16" i="29"/>
  <c r="K16" i="29"/>
  <c r="J16" i="29"/>
  <c r="I16" i="29"/>
  <c r="H16" i="29"/>
  <c r="G16" i="29"/>
  <c r="F16" i="29"/>
  <c r="E16" i="29"/>
  <c r="P15" i="29"/>
  <c r="O15" i="29"/>
  <c r="N15" i="29"/>
  <c r="M15" i="29"/>
  <c r="L15" i="29"/>
  <c r="K15" i="29"/>
  <c r="J15" i="29"/>
  <c r="I15" i="29"/>
  <c r="G15" i="29"/>
  <c r="F15" i="29"/>
  <c r="E15" i="29"/>
  <c r="P14" i="29"/>
  <c r="O14" i="29"/>
  <c r="N14" i="29"/>
  <c r="M14" i="29"/>
  <c r="L14" i="29"/>
  <c r="K14" i="29"/>
  <c r="J14" i="29"/>
  <c r="I14" i="29"/>
  <c r="G14" i="29"/>
  <c r="F14" i="29"/>
  <c r="E14" i="29"/>
  <c r="P13" i="29"/>
  <c r="O13" i="29"/>
  <c r="N13" i="29"/>
  <c r="M13" i="29"/>
  <c r="L13" i="29"/>
  <c r="K13" i="29"/>
  <c r="J13" i="29"/>
  <c r="I13" i="29"/>
  <c r="H13" i="29"/>
  <c r="G13" i="29"/>
  <c r="F13" i="29"/>
  <c r="E13" i="29"/>
  <c r="P12" i="29"/>
  <c r="O12" i="29"/>
  <c r="N12" i="29"/>
  <c r="M12" i="29"/>
  <c r="L12" i="29"/>
  <c r="K12" i="29"/>
  <c r="J12" i="29"/>
  <c r="I12" i="29"/>
  <c r="H12" i="29"/>
  <c r="G12" i="29"/>
  <c r="F12" i="29"/>
  <c r="E12" i="29"/>
  <c r="P10" i="29"/>
  <c r="O10" i="29"/>
  <c r="N10" i="29"/>
  <c r="M10" i="29"/>
  <c r="L10" i="29"/>
  <c r="K10" i="29"/>
  <c r="J10" i="29"/>
  <c r="I10" i="29"/>
  <c r="H10" i="29"/>
  <c r="G10" i="29"/>
  <c r="F10" i="29"/>
  <c r="E10" i="29"/>
  <c r="H69" i="28"/>
  <c r="H70" i="28" s="1"/>
  <c r="H59" i="28"/>
  <c r="H60" i="28" s="1"/>
  <c r="H49" i="28"/>
  <c r="H50" i="28" s="1"/>
  <c r="H51" i="29" l="1"/>
  <c r="H52" i="29"/>
  <c r="H53" i="29"/>
  <c r="H50" i="29"/>
  <c r="H63" i="29"/>
  <c r="H61" i="29"/>
  <c r="H62" i="29"/>
  <c r="H60" i="29"/>
  <c r="H73" i="29"/>
  <c r="H71" i="29"/>
  <c r="H72" i="29"/>
  <c r="H70" i="29"/>
  <c r="F26" i="28"/>
  <c r="P43" i="28"/>
  <c r="O43" i="28"/>
  <c r="N43" i="28"/>
  <c r="M43" i="28"/>
  <c r="L43" i="28"/>
  <c r="K43" i="28"/>
  <c r="J43" i="28"/>
  <c r="I43" i="28"/>
  <c r="H43" i="28"/>
  <c r="G43" i="28"/>
  <c r="F43" i="28"/>
  <c r="E43" i="28"/>
  <c r="P42" i="28"/>
  <c r="O42" i="28"/>
  <c r="N42" i="28"/>
  <c r="M42" i="28"/>
  <c r="L42" i="28"/>
  <c r="K42" i="28"/>
  <c r="J42" i="28"/>
  <c r="I42" i="28"/>
  <c r="G42" i="28"/>
  <c r="F42" i="28"/>
  <c r="E42" i="28"/>
  <c r="P41" i="28"/>
  <c r="O41" i="28"/>
  <c r="N41" i="28"/>
  <c r="M41" i="28"/>
  <c r="L41" i="28"/>
  <c r="K41" i="28"/>
  <c r="J41" i="28"/>
  <c r="I41" i="28"/>
  <c r="G41" i="28"/>
  <c r="F41" i="28"/>
  <c r="E41" i="28"/>
  <c r="P40" i="28"/>
  <c r="O40" i="28"/>
  <c r="N40" i="28"/>
  <c r="M40" i="28"/>
  <c r="L40" i="28"/>
  <c r="K40" i="28"/>
  <c r="J40" i="28"/>
  <c r="I40" i="28"/>
  <c r="H40" i="28"/>
  <c r="G40" i="28"/>
  <c r="F40" i="28"/>
  <c r="E40" i="28"/>
  <c r="P39" i="28"/>
  <c r="O39" i="28"/>
  <c r="N39" i="28"/>
  <c r="M39" i="28"/>
  <c r="L39" i="28"/>
  <c r="K39" i="28"/>
  <c r="J39" i="28"/>
  <c r="I39" i="28"/>
  <c r="H39" i="28"/>
  <c r="G39" i="28"/>
  <c r="F39" i="28"/>
  <c r="E39" i="28"/>
  <c r="P38" i="28"/>
  <c r="O38" i="28"/>
  <c r="N38" i="28"/>
  <c r="M38" i="28"/>
  <c r="L38" i="28"/>
  <c r="K38" i="28"/>
  <c r="J38" i="28"/>
  <c r="I38" i="28"/>
  <c r="H38" i="28"/>
  <c r="G38" i="28"/>
  <c r="F38" i="28"/>
  <c r="E38" i="28"/>
  <c r="P37" i="28"/>
  <c r="O37" i="28"/>
  <c r="N37" i="28"/>
  <c r="M37" i="28"/>
  <c r="L37" i="28"/>
  <c r="K37" i="28"/>
  <c r="J37" i="28"/>
  <c r="I37" i="28"/>
  <c r="H37" i="28"/>
  <c r="G37" i="28"/>
  <c r="F37" i="28"/>
  <c r="E37" i="28"/>
  <c r="P36" i="28"/>
  <c r="O36" i="28"/>
  <c r="N36" i="28"/>
  <c r="M36" i="28"/>
  <c r="L36" i="28"/>
  <c r="K36" i="28"/>
  <c r="J36" i="28"/>
  <c r="I36" i="28"/>
  <c r="G36" i="28"/>
  <c r="F36" i="28"/>
  <c r="E36" i="28"/>
  <c r="P35" i="28"/>
  <c r="O35" i="28"/>
  <c r="N35" i="28"/>
  <c r="M35" i="28"/>
  <c r="L35" i="28"/>
  <c r="K35" i="28"/>
  <c r="J35" i="28"/>
  <c r="I35" i="28"/>
  <c r="G35" i="28"/>
  <c r="F35" i="28"/>
  <c r="E35" i="28"/>
  <c r="P34" i="28"/>
  <c r="O34" i="28"/>
  <c r="N34" i="28"/>
  <c r="M34" i="28"/>
  <c r="L34" i="28"/>
  <c r="K34" i="28"/>
  <c r="J34" i="28"/>
  <c r="I34" i="28"/>
  <c r="H34" i="28"/>
  <c r="G34" i="28"/>
  <c r="F34" i="28"/>
  <c r="E34" i="28"/>
  <c r="P33" i="28"/>
  <c r="O33" i="28"/>
  <c r="N33" i="28"/>
  <c r="M33" i="28"/>
  <c r="L33" i="28"/>
  <c r="K33" i="28"/>
  <c r="J33" i="28"/>
  <c r="I33" i="28"/>
  <c r="H33" i="28"/>
  <c r="G33" i="28"/>
  <c r="F33" i="28"/>
  <c r="E33" i="28"/>
  <c r="P32" i="28"/>
  <c r="O32" i="28"/>
  <c r="N32" i="28"/>
  <c r="M32" i="28"/>
  <c r="L32" i="28"/>
  <c r="K32" i="28"/>
  <c r="J32" i="28"/>
  <c r="I32" i="28"/>
  <c r="H32" i="28"/>
  <c r="G32" i="28"/>
  <c r="F32" i="28"/>
  <c r="E32" i="28"/>
  <c r="P31" i="28"/>
  <c r="O31" i="28"/>
  <c r="N31" i="28"/>
  <c r="M31" i="28"/>
  <c r="L31" i="28"/>
  <c r="K31" i="28"/>
  <c r="J31" i="28"/>
  <c r="I31" i="28"/>
  <c r="H31" i="28"/>
  <c r="G31" i="28"/>
  <c r="F31" i="28"/>
  <c r="E31" i="28"/>
  <c r="P30" i="28"/>
  <c r="O30" i="28"/>
  <c r="N30" i="28"/>
  <c r="M30" i="28"/>
  <c r="L30" i="28"/>
  <c r="K30" i="28"/>
  <c r="J30" i="28"/>
  <c r="I30" i="28"/>
  <c r="G30" i="28"/>
  <c r="F30" i="28"/>
  <c r="E30" i="28"/>
  <c r="P29" i="28"/>
  <c r="O29" i="28"/>
  <c r="N29" i="28"/>
  <c r="M29" i="28"/>
  <c r="L29" i="28"/>
  <c r="K29" i="28"/>
  <c r="J29" i="28"/>
  <c r="I29" i="28"/>
  <c r="G29" i="28"/>
  <c r="F29" i="28"/>
  <c r="E29" i="28"/>
  <c r="P28" i="28"/>
  <c r="O28" i="28"/>
  <c r="N28" i="28"/>
  <c r="M28" i="28"/>
  <c r="L28" i="28"/>
  <c r="K28" i="28"/>
  <c r="J28" i="28"/>
  <c r="I28" i="28"/>
  <c r="H28" i="28"/>
  <c r="G28" i="28"/>
  <c r="F28" i="28"/>
  <c r="E28" i="28"/>
  <c r="P27" i="28"/>
  <c r="O27" i="28"/>
  <c r="N27" i="28"/>
  <c r="M27" i="28"/>
  <c r="L27" i="28"/>
  <c r="K27" i="28"/>
  <c r="J27" i="28"/>
  <c r="I27" i="28"/>
  <c r="H27" i="28"/>
  <c r="G27" i="28"/>
  <c r="F27" i="28"/>
  <c r="E27" i="28"/>
  <c r="P26" i="28"/>
  <c r="O26" i="28"/>
  <c r="N26" i="28"/>
  <c r="M26" i="28"/>
  <c r="L26" i="28"/>
  <c r="K26" i="28"/>
  <c r="J26" i="28"/>
  <c r="I26" i="28"/>
  <c r="G26" i="28"/>
  <c r="E26" i="28"/>
  <c r="P25" i="28"/>
  <c r="O25" i="28"/>
  <c r="N25" i="28"/>
  <c r="M25" i="28"/>
  <c r="L25" i="28"/>
  <c r="K25" i="28"/>
  <c r="J25" i="28"/>
  <c r="I25" i="28"/>
  <c r="G25" i="28"/>
  <c r="F25" i="28"/>
  <c r="E25" i="28"/>
  <c r="P24" i="28"/>
  <c r="O24" i="28"/>
  <c r="N24" i="28"/>
  <c r="M24" i="28"/>
  <c r="L24" i="28"/>
  <c r="K24" i="28"/>
  <c r="J24" i="28"/>
  <c r="I24" i="28"/>
  <c r="G24" i="28"/>
  <c r="F24" i="28"/>
  <c r="E24" i="28"/>
  <c r="P23" i="28"/>
  <c r="O23" i="28"/>
  <c r="N23" i="28"/>
  <c r="M23" i="28"/>
  <c r="L23" i="28"/>
  <c r="K23" i="28"/>
  <c r="J23" i="28"/>
  <c r="I23" i="28"/>
  <c r="H23" i="28"/>
  <c r="G23" i="28"/>
  <c r="F23" i="28"/>
  <c r="E23" i="28"/>
  <c r="P22" i="28"/>
  <c r="O22" i="28"/>
  <c r="N22" i="28"/>
  <c r="M22" i="28"/>
  <c r="L22" i="28"/>
  <c r="K22" i="28"/>
  <c r="J22" i="28"/>
  <c r="I22" i="28"/>
  <c r="H22" i="28"/>
  <c r="G22" i="28"/>
  <c r="F22" i="28"/>
  <c r="E22" i="28"/>
  <c r="P21" i="28"/>
  <c r="O21" i="28"/>
  <c r="N21" i="28"/>
  <c r="M21" i="28"/>
  <c r="L21" i="28"/>
  <c r="K21" i="28"/>
  <c r="J21" i="28"/>
  <c r="I21" i="28"/>
  <c r="G21" i="28"/>
  <c r="F21" i="28"/>
  <c r="E21" i="28"/>
  <c r="P20" i="28"/>
  <c r="O20" i="28"/>
  <c r="N20" i="28"/>
  <c r="M20" i="28"/>
  <c r="L20" i="28"/>
  <c r="K20" i="28"/>
  <c r="J20" i="28"/>
  <c r="I20" i="28"/>
  <c r="G20" i="28"/>
  <c r="F20" i="28"/>
  <c r="E20" i="28"/>
  <c r="P19" i="28"/>
  <c r="O19" i="28"/>
  <c r="N19" i="28"/>
  <c r="M19" i="28"/>
  <c r="L19" i="28"/>
  <c r="K19" i="28"/>
  <c r="J19" i="28"/>
  <c r="I19" i="28"/>
  <c r="H19" i="28"/>
  <c r="G19" i="28"/>
  <c r="F19" i="28"/>
  <c r="E19" i="28"/>
  <c r="P18" i="28"/>
  <c r="O18" i="28"/>
  <c r="N18" i="28"/>
  <c r="M18" i="28"/>
  <c r="L18" i="28"/>
  <c r="K18" i="28"/>
  <c r="J18" i="28"/>
  <c r="I18" i="28"/>
  <c r="H18" i="28"/>
  <c r="G18" i="28"/>
  <c r="F18" i="28"/>
  <c r="E18" i="28"/>
  <c r="P17" i="28"/>
  <c r="O17" i="28"/>
  <c r="N17" i="28"/>
  <c r="M17" i="28"/>
  <c r="L17" i="28"/>
  <c r="K17" i="28"/>
  <c r="J17" i="28"/>
  <c r="I17" i="28"/>
  <c r="H17" i="28"/>
  <c r="G17" i="28"/>
  <c r="F17" i="28"/>
  <c r="E17" i="28"/>
  <c r="P16" i="28"/>
  <c r="O16" i="28"/>
  <c r="N16" i="28"/>
  <c r="M16" i="28"/>
  <c r="L16" i="28"/>
  <c r="K16" i="28"/>
  <c r="J16" i="28"/>
  <c r="I16" i="28"/>
  <c r="H16" i="28"/>
  <c r="G16" i="28"/>
  <c r="F16" i="28"/>
  <c r="E16" i="28"/>
  <c r="P15" i="28"/>
  <c r="O15" i="28"/>
  <c r="N15" i="28"/>
  <c r="M15" i="28"/>
  <c r="L15" i="28"/>
  <c r="K15" i="28"/>
  <c r="J15" i="28"/>
  <c r="I15" i="28"/>
  <c r="G15" i="28"/>
  <c r="F15" i="28"/>
  <c r="E15" i="28"/>
  <c r="P14" i="28"/>
  <c r="O14" i="28"/>
  <c r="N14" i="28"/>
  <c r="M14" i="28"/>
  <c r="L14" i="28"/>
  <c r="K14" i="28"/>
  <c r="J14" i="28"/>
  <c r="I14" i="28"/>
  <c r="G14" i="28"/>
  <c r="F14" i="28"/>
  <c r="E14" i="28"/>
  <c r="P13" i="28"/>
  <c r="O13" i="28"/>
  <c r="N13" i="28"/>
  <c r="M13" i="28"/>
  <c r="L13" i="28"/>
  <c r="K13" i="28"/>
  <c r="J13" i="28"/>
  <c r="I13" i="28"/>
  <c r="H13" i="28"/>
  <c r="G13" i="28"/>
  <c r="F13" i="28"/>
  <c r="E13" i="28"/>
  <c r="P12" i="28"/>
  <c r="O12" i="28"/>
  <c r="N12" i="28"/>
  <c r="M12" i="28"/>
  <c r="L12" i="28"/>
  <c r="K12" i="28"/>
  <c r="J12" i="28"/>
  <c r="I12" i="28"/>
  <c r="H12" i="28"/>
  <c r="G12" i="28"/>
  <c r="F12" i="28"/>
  <c r="E12" i="28"/>
  <c r="P10" i="28"/>
  <c r="O10" i="28"/>
  <c r="N10" i="28"/>
  <c r="M10" i="28"/>
  <c r="L10" i="28"/>
  <c r="K10" i="28"/>
  <c r="J10" i="28"/>
  <c r="I10" i="28"/>
  <c r="H10" i="28"/>
  <c r="G10" i="28"/>
  <c r="F10" i="28"/>
  <c r="E10" i="28"/>
  <c r="D106" i="27" l="1"/>
  <c r="J90" i="27" s="1"/>
  <c r="D105" i="27"/>
  <c r="I90" i="27" s="1"/>
  <c r="D101" i="27"/>
  <c r="H90" i="27" s="1"/>
  <c r="D100" i="27"/>
  <c r="D99" i="27"/>
  <c r="H69" i="27"/>
  <c r="H70" i="27" s="1"/>
  <c r="H59" i="27"/>
  <c r="H60" i="27" s="1"/>
  <c r="H49" i="27"/>
  <c r="H50" i="27" s="1"/>
  <c r="P43" i="27"/>
  <c r="O43" i="27"/>
  <c r="N43" i="27"/>
  <c r="M43" i="27"/>
  <c r="L43" i="27"/>
  <c r="K43" i="27"/>
  <c r="J43" i="27"/>
  <c r="I43" i="27"/>
  <c r="H43" i="27"/>
  <c r="G43" i="27"/>
  <c r="F43" i="27"/>
  <c r="E43" i="27"/>
  <c r="P42" i="27"/>
  <c r="O42" i="27"/>
  <c r="N42" i="27"/>
  <c r="M42" i="27"/>
  <c r="L42" i="27"/>
  <c r="K42" i="27"/>
  <c r="J42" i="27"/>
  <c r="I42" i="27"/>
  <c r="G42" i="27"/>
  <c r="F42" i="27"/>
  <c r="E42" i="27"/>
  <c r="P41" i="27"/>
  <c r="O41" i="27"/>
  <c r="N41" i="27"/>
  <c r="M41" i="27"/>
  <c r="L41" i="27"/>
  <c r="K41" i="27"/>
  <c r="J41" i="27"/>
  <c r="I41" i="27"/>
  <c r="G41" i="27"/>
  <c r="F41" i="27"/>
  <c r="E41" i="27"/>
  <c r="P40" i="27"/>
  <c r="O40" i="27"/>
  <c r="N40" i="27"/>
  <c r="M40" i="27"/>
  <c r="L40" i="27"/>
  <c r="K40" i="27"/>
  <c r="J40" i="27"/>
  <c r="I40" i="27"/>
  <c r="H40" i="27"/>
  <c r="G40" i="27"/>
  <c r="F40" i="27"/>
  <c r="E40" i="27"/>
  <c r="P39" i="27"/>
  <c r="O39" i="27"/>
  <c r="N39" i="27"/>
  <c r="M39" i="27"/>
  <c r="L39" i="27"/>
  <c r="K39" i="27"/>
  <c r="J39" i="27"/>
  <c r="I39" i="27"/>
  <c r="H39" i="27"/>
  <c r="G39" i="27"/>
  <c r="F39" i="27"/>
  <c r="E39" i="27"/>
  <c r="P38" i="27"/>
  <c r="O38" i="27"/>
  <c r="N38" i="27"/>
  <c r="M38" i="27"/>
  <c r="L38" i="27"/>
  <c r="K38" i="27"/>
  <c r="J38" i="27"/>
  <c r="I38" i="27"/>
  <c r="H38" i="27"/>
  <c r="G38" i="27"/>
  <c r="F38" i="27"/>
  <c r="E38" i="27"/>
  <c r="P37" i="27"/>
  <c r="O37" i="27"/>
  <c r="N37" i="27"/>
  <c r="M37" i="27"/>
  <c r="L37" i="27"/>
  <c r="K37" i="27"/>
  <c r="J37" i="27"/>
  <c r="I37" i="27"/>
  <c r="H37" i="27"/>
  <c r="G37" i="27"/>
  <c r="F37" i="27"/>
  <c r="E37" i="27"/>
  <c r="P36" i="27"/>
  <c r="O36" i="27"/>
  <c r="N36" i="27"/>
  <c r="M36" i="27"/>
  <c r="L36" i="27"/>
  <c r="K36" i="27"/>
  <c r="J36" i="27"/>
  <c r="I36" i="27"/>
  <c r="G36" i="27"/>
  <c r="F36" i="27"/>
  <c r="E36" i="27"/>
  <c r="P35" i="27"/>
  <c r="O35" i="27"/>
  <c r="N35" i="27"/>
  <c r="M35" i="27"/>
  <c r="L35" i="27"/>
  <c r="K35" i="27"/>
  <c r="J35" i="27"/>
  <c r="I35" i="27"/>
  <c r="G35" i="27"/>
  <c r="F35" i="27"/>
  <c r="E35" i="27"/>
  <c r="P34" i="27"/>
  <c r="O34" i="27"/>
  <c r="N34" i="27"/>
  <c r="M34" i="27"/>
  <c r="L34" i="27"/>
  <c r="K34" i="27"/>
  <c r="J34" i="27"/>
  <c r="I34" i="27"/>
  <c r="H34" i="27"/>
  <c r="G34" i="27"/>
  <c r="F34" i="27"/>
  <c r="E34" i="27"/>
  <c r="P33" i="27"/>
  <c r="O33" i="27"/>
  <c r="N33" i="27"/>
  <c r="M33" i="27"/>
  <c r="L33" i="27"/>
  <c r="K33" i="27"/>
  <c r="J33" i="27"/>
  <c r="I33" i="27"/>
  <c r="H33" i="27"/>
  <c r="G33" i="27"/>
  <c r="F33" i="27"/>
  <c r="E33" i="27"/>
  <c r="P32" i="27"/>
  <c r="O32" i="27"/>
  <c r="N32" i="27"/>
  <c r="M32" i="27"/>
  <c r="L32" i="27"/>
  <c r="K32" i="27"/>
  <c r="J32" i="27"/>
  <c r="I32" i="27"/>
  <c r="H32" i="27"/>
  <c r="G32" i="27"/>
  <c r="F32" i="27"/>
  <c r="E32" i="27"/>
  <c r="P31" i="27"/>
  <c r="O31" i="27"/>
  <c r="N31" i="27"/>
  <c r="M31" i="27"/>
  <c r="L31" i="27"/>
  <c r="K31" i="27"/>
  <c r="J31" i="27"/>
  <c r="I31" i="27"/>
  <c r="H31" i="27"/>
  <c r="G31" i="27"/>
  <c r="F31" i="27"/>
  <c r="E31" i="27"/>
  <c r="P30" i="27"/>
  <c r="O30" i="27"/>
  <c r="N30" i="27"/>
  <c r="M30" i="27"/>
  <c r="L30" i="27"/>
  <c r="K30" i="27"/>
  <c r="J30" i="27"/>
  <c r="I30" i="27"/>
  <c r="G30" i="27"/>
  <c r="F30" i="27"/>
  <c r="E30" i="27"/>
  <c r="P29" i="27"/>
  <c r="O29" i="27"/>
  <c r="N29" i="27"/>
  <c r="M29" i="27"/>
  <c r="L29" i="27"/>
  <c r="K29" i="27"/>
  <c r="J29" i="27"/>
  <c r="I29" i="27"/>
  <c r="G29" i="27"/>
  <c r="F29" i="27"/>
  <c r="E29" i="27"/>
  <c r="P28" i="27"/>
  <c r="O28" i="27"/>
  <c r="N28" i="27"/>
  <c r="M28" i="27"/>
  <c r="L28" i="27"/>
  <c r="K28" i="27"/>
  <c r="J28" i="27"/>
  <c r="I28" i="27"/>
  <c r="H28" i="27"/>
  <c r="G28" i="27"/>
  <c r="F28" i="27"/>
  <c r="E28" i="27"/>
  <c r="P27" i="27"/>
  <c r="O27" i="27"/>
  <c r="N27" i="27"/>
  <c r="M27" i="27"/>
  <c r="L27" i="27"/>
  <c r="K27" i="27"/>
  <c r="J27" i="27"/>
  <c r="I27" i="27"/>
  <c r="H27" i="27"/>
  <c r="G27" i="27"/>
  <c r="F27" i="27"/>
  <c r="E27" i="27"/>
  <c r="P26" i="27"/>
  <c r="O26" i="27"/>
  <c r="N26" i="27"/>
  <c r="M26" i="27"/>
  <c r="L26" i="27"/>
  <c r="K26" i="27"/>
  <c r="J26" i="27"/>
  <c r="I26" i="27"/>
  <c r="G26" i="27"/>
  <c r="F26" i="27"/>
  <c r="E26" i="27"/>
  <c r="P25" i="27"/>
  <c r="O25" i="27"/>
  <c r="N25" i="27"/>
  <c r="M25" i="27"/>
  <c r="L25" i="27"/>
  <c r="K25" i="27"/>
  <c r="J25" i="27"/>
  <c r="I25" i="27"/>
  <c r="G25" i="27"/>
  <c r="F25" i="27"/>
  <c r="E25" i="27"/>
  <c r="P24" i="27"/>
  <c r="O24" i="27"/>
  <c r="N24" i="27"/>
  <c r="M24" i="27"/>
  <c r="L24" i="27"/>
  <c r="K24" i="27"/>
  <c r="J24" i="27"/>
  <c r="I24" i="27"/>
  <c r="G24" i="27"/>
  <c r="F24" i="27"/>
  <c r="E24" i="27"/>
  <c r="P23" i="27"/>
  <c r="O23" i="27"/>
  <c r="N23" i="27"/>
  <c r="M23" i="27"/>
  <c r="L23" i="27"/>
  <c r="K23" i="27"/>
  <c r="J23" i="27"/>
  <c r="I23" i="27"/>
  <c r="H23" i="27"/>
  <c r="G23" i="27"/>
  <c r="F23" i="27"/>
  <c r="E23" i="27"/>
  <c r="P22" i="27"/>
  <c r="O22" i="27"/>
  <c r="N22" i="27"/>
  <c r="M22" i="27"/>
  <c r="L22" i="27"/>
  <c r="K22" i="27"/>
  <c r="J22" i="27"/>
  <c r="I22" i="27"/>
  <c r="H22" i="27"/>
  <c r="G22" i="27"/>
  <c r="F22" i="27"/>
  <c r="E22" i="27"/>
  <c r="P21" i="27"/>
  <c r="O21" i="27"/>
  <c r="N21" i="27"/>
  <c r="M21" i="27"/>
  <c r="L21" i="27"/>
  <c r="K21" i="27"/>
  <c r="J21" i="27"/>
  <c r="I21" i="27"/>
  <c r="G21" i="27"/>
  <c r="F21" i="27"/>
  <c r="E21" i="27"/>
  <c r="P20" i="27"/>
  <c r="O20" i="27"/>
  <c r="N20" i="27"/>
  <c r="M20" i="27"/>
  <c r="L20" i="27"/>
  <c r="K20" i="27"/>
  <c r="J20" i="27"/>
  <c r="I20" i="27"/>
  <c r="G20" i="27"/>
  <c r="F20" i="27"/>
  <c r="E20" i="27"/>
  <c r="P19" i="27"/>
  <c r="O19" i="27"/>
  <c r="N19" i="27"/>
  <c r="M19" i="27"/>
  <c r="L19" i="27"/>
  <c r="K19" i="27"/>
  <c r="J19" i="27"/>
  <c r="I19" i="27"/>
  <c r="H19" i="27"/>
  <c r="G19" i="27"/>
  <c r="F19" i="27"/>
  <c r="E19" i="27"/>
  <c r="P18" i="27"/>
  <c r="O18" i="27"/>
  <c r="N18" i="27"/>
  <c r="M18" i="27"/>
  <c r="L18" i="27"/>
  <c r="K18" i="27"/>
  <c r="J18" i="27"/>
  <c r="I18" i="27"/>
  <c r="H18" i="27"/>
  <c r="G18" i="27"/>
  <c r="F18" i="27"/>
  <c r="E18" i="27"/>
  <c r="P17" i="27"/>
  <c r="O17" i="27"/>
  <c r="N17" i="27"/>
  <c r="M17" i="27"/>
  <c r="L17" i="27"/>
  <c r="K17" i="27"/>
  <c r="J17" i="27"/>
  <c r="I17" i="27"/>
  <c r="H17" i="27"/>
  <c r="G17" i="27"/>
  <c r="F17" i="27"/>
  <c r="E17" i="27"/>
  <c r="P16" i="27"/>
  <c r="O16" i="27"/>
  <c r="N16" i="27"/>
  <c r="M16" i="27"/>
  <c r="L16" i="27"/>
  <c r="K16" i="27"/>
  <c r="J16" i="27"/>
  <c r="I16" i="27"/>
  <c r="H16" i="27"/>
  <c r="G16" i="27"/>
  <c r="F16" i="27"/>
  <c r="E16" i="27"/>
  <c r="P15" i="27"/>
  <c r="O15" i="27"/>
  <c r="N15" i="27"/>
  <c r="M15" i="27"/>
  <c r="L15" i="27"/>
  <c r="K15" i="27"/>
  <c r="J15" i="27"/>
  <c r="I15" i="27"/>
  <c r="G15" i="27"/>
  <c r="F15" i="27"/>
  <c r="E15" i="27"/>
  <c r="P14" i="27"/>
  <c r="O14" i="27"/>
  <c r="N14" i="27"/>
  <c r="M14" i="27"/>
  <c r="L14" i="27"/>
  <c r="K14" i="27"/>
  <c r="J14" i="27"/>
  <c r="I14" i="27"/>
  <c r="G14" i="27"/>
  <c r="F14" i="27"/>
  <c r="E14" i="27"/>
  <c r="P13" i="27"/>
  <c r="O13" i="27"/>
  <c r="N13" i="27"/>
  <c r="M13" i="27"/>
  <c r="L13" i="27"/>
  <c r="K13" i="27"/>
  <c r="J13" i="27"/>
  <c r="I13" i="27"/>
  <c r="H13" i="27"/>
  <c r="G13" i="27"/>
  <c r="F13" i="27"/>
  <c r="E13" i="27"/>
  <c r="P12" i="27"/>
  <c r="O12" i="27"/>
  <c r="N12" i="27"/>
  <c r="M12" i="27"/>
  <c r="L12" i="27"/>
  <c r="K12" i="27"/>
  <c r="J12" i="27"/>
  <c r="I12" i="27"/>
  <c r="H12" i="27"/>
  <c r="G12" i="27"/>
  <c r="F12" i="27"/>
  <c r="E12" i="27"/>
  <c r="P10" i="27"/>
  <c r="O10" i="27"/>
  <c r="N10" i="27"/>
  <c r="M10" i="27"/>
  <c r="L10" i="27"/>
  <c r="K10" i="27"/>
  <c r="J10" i="27"/>
  <c r="I10" i="27"/>
  <c r="H10" i="27"/>
  <c r="G10" i="27"/>
  <c r="F10" i="27"/>
  <c r="E10" i="27"/>
  <c r="P43" i="8"/>
  <c r="O43" i="8"/>
  <c r="N43" i="8"/>
  <c r="M43" i="8"/>
  <c r="L43" i="8"/>
  <c r="K43" i="8"/>
  <c r="J43" i="8"/>
  <c r="I43" i="8"/>
  <c r="H43" i="8"/>
  <c r="G43" i="8"/>
  <c r="F43" i="8"/>
  <c r="E43" i="8"/>
  <c r="P42" i="8"/>
  <c r="O42" i="8"/>
  <c r="N42" i="8"/>
  <c r="M42" i="8"/>
  <c r="L42" i="8"/>
  <c r="K42" i="8"/>
  <c r="J42" i="8"/>
  <c r="I42" i="8"/>
  <c r="G42" i="8"/>
  <c r="F42" i="8"/>
  <c r="E42" i="8"/>
  <c r="P41" i="8"/>
  <c r="O41" i="8"/>
  <c r="N41" i="8"/>
  <c r="M41" i="8"/>
  <c r="L41" i="8"/>
  <c r="K41" i="8"/>
  <c r="J41" i="8"/>
  <c r="I41" i="8"/>
  <c r="G41" i="8"/>
  <c r="F41" i="8"/>
  <c r="E41" i="8"/>
  <c r="P40" i="8"/>
  <c r="O40" i="8"/>
  <c r="N40" i="8"/>
  <c r="M40" i="8"/>
  <c r="L40" i="8"/>
  <c r="K40" i="8"/>
  <c r="J40" i="8"/>
  <c r="I40" i="8"/>
  <c r="H40" i="8"/>
  <c r="G40" i="8"/>
  <c r="F40" i="8"/>
  <c r="E40" i="8"/>
  <c r="P39" i="8"/>
  <c r="O39" i="8"/>
  <c r="N39" i="8"/>
  <c r="M39" i="8"/>
  <c r="L39" i="8"/>
  <c r="K39" i="8"/>
  <c r="J39" i="8"/>
  <c r="I39" i="8"/>
  <c r="H39" i="8"/>
  <c r="G39" i="8"/>
  <c r="F39" i="8"/>
  <c r="E39" i="8"/>
  <c r="P38" i="8"/>
  <c r="O38" i="8"/>
  <c r="N38" i="8"/>
  <c r="M38" i="8"/>
  <c r="L38" i="8"/>
  <c r="K38" i="8"/>
  <c r="J38" i="8"/>
  <c r="I38" i="8"/>
  <c r="H38" i="8"/>
  <c r="G38" i="8"/>
  <c r="F38" i="8"/>
  <c r="E38" i="8"/>
  <c r="P37" i="8"/>
  <c r="O37" i="8"/>
  <c r="N37" i="8"/>
  <c r="M37" i="8"/>
  <c r="L37" i="8"/>
  <c r="K37" i="8"/>
  <c r="J37" i="8"/>
  <c r="I37" i="8"/>
  <c r="H37" i="8"/>
  <c r="G37" i="8"/>
  <c r="F37" i="8"/>
  <c r="E37" i="8"/>
  <c r="P36" i="8"/>
  <c r="O36" i="8"/>
  <c r="N36" i="8"/>
  <c r="M36" i="8"/>
  <c r="L36" i="8"/>
  <c r="K36" i="8"/>
  <c r="J36" i="8"/>
  <c r="I36" i="8"/>
  <c r="G36" i="8"/>
  <c r="F36" i="8"/>
  <c r="E36" i="8"/>
  <c r="P35" i="8"/>
  <c r="O35" i="8"/>
  <c r="N35" i="8"/>
  <c r="M35" i="8"/>
  <c r="L35" i="8"/>
  <c r="K35" i="8"/>
  <c r="J35" i="8"/>
  <c r="I35" i="8"/>
  <c r="G35" i="8"/>
  <c r="F35" i="8"/>
  <c r="E35" i="8"/>
  <c r="P34" i="8"/>
  <c r="O34" i="8"/>
  <c r="N34" i="8"/>
  <c r="M34" i="8"/>
  <c r="L34" i="8"/>
  <c r="K34" i="8"/>
  <c r="J34" i="8"/>
  <c r="I34" i="8"/>
  <c r="H34" i="8"/>
  <c r="G34" i="8"/>
  <c r="F34" i="8"/>
  <c r="E34" i="8"/>
  <c r="P33" i="8"/>
  <c r="O33" i="8"/>
  <c r="N33" i="8"/>
  <c r="M33" i="8"/>
  <c r="L33" i="8"/>
  <c r="K33" i="8"/>
  <c r="J33" i="8"/>
  <c r="I33" i="8"/>
  <c r="H33" i="8"/>
  <c r="G33" i="8"/>
  <c r="F33" i="8"/>
  <c r="E33" i="8"/>
  <c r="P32" i="8"/>
  <c r="O32" i="8"/>
  <c r="N32" i="8"/>
  <c r="M32" i="8"/>
  <c r="L32" i="8"/>
  <c r="K32" i="8"/>
  <c r="J32" i="8"/>
  <c r="I32" i="8"/>
  <c r="H32" i="8"/>
  <c r="G32" i="8"/>
  <c r="F32" i="8"/>
  <c r="E32" i="8"/>
  <c r="P31" i="8"/>
  <c r="O31" i="8"/>
  <c r="N31" i="8"/>
  <c r="M31" i="8"/>
  <c r="L31" i="8"/>
  <c r="K31" i="8"/>
  <c r="J31" i="8"/>
  <c r="I31" i="8"/>
  <c r="H31" i="8"/>
  <c r="G31" i="8"/>
  <c r="F31" i="8"/>
  <c r="E31" i="8"/>
  <c r="P30" i="8"/>
  <c r="O30" i="8"/>
  <c r="N30" i="8"/>
  <c r="M30" i="8"/>
  <c r="L30" i="8"/>
  <c r="K30" i="8"/>
  <c r="J30" i="8"/>
  <c r="I30" i="8"/>
  <c r="G30" i="8"/>
  <c r="F30" i="8"/>
  <c r="E30" i="8"/>
  <c r="P29" i="8"/>
  <c r="O29" i="8"/>
  <c r="N29" i="8"/>
  <c r="M29" i="8"/>
  <c r="L29" i="8"/>
  <c r="K29" i="8"/>
  <c r="J29" i="8"/>
  <c r="I29" i="8"/>
  <c r="G29" i="8"/>
  <c r="F29" i="8"/>
  <c r="E29" i="8"/>
  <c r="P28" i="8"/>
  <c r="O28" i="8"/>
  <c r="N28" i="8"/>
  <c r="M28" i="8"/>
  <c r="L28" i="8"/>
  <c r="K28" i="8"/>
  <c r="J28" i="8"/>
  <c r="I28" i="8"/>
  <c r="H28" i="8"/>
  <c r="G28" i="8"/>
  <c r="F28" i="8"/>
  <c r="E28" i="8"/>
  <c r="P27" i="8"/>
  <c r="O27" i="8"/>
  <c r="N27" i="8"/>
  <c r="M27" i="8"/>
  <c r="L27" i="8"/>
  <c r="K27" i="8"/>
  <c r="J27" i="8"/>
  <c r="I27" i="8"/>
  <c r="H27" i="8"/>
  <c r="G27" i="8"/>
  <c r="F27" i="8"/>
  <c r="E27" i="8"/>
  <c r="P26" i="8"/>
  <c r="O26" i="8"/>
  <c r="N26" i="8"/>
  <c r="M26" i="8"/>
  <c r="L26" i="8"/>
  <c r="K26" i="8"/>
  <c r="J26" i="8"/>
  <c r="I26" i="8"/>
  <c r="G26" i="8"/>
  <c r="F26" i="8"/>
  <c r="E26" i="8"/>
  <c r="P25" i="8"/>
  <c r="O25" i="8"/>
  <c r="N25" i="8"/>
  <c r="M25" i="8"/>
  <c r="L25" i="8"/>
  <c r="K25" i="8"/>
  <c r="J25" i="8"/>
  <c r="I25" i="8"/>
  <c r="G25" i="8"/>
  <c r="F25" i="8"/>
  <c r="E25" i="8"/>
  <c r="P24" i="8"/>
  <c r="O24" i="8"/>
  <c r="N24" i="8"/>
  <c r="M24" i="8"/>
  <c r="L24" i="8"/>
  <c r="K24" i="8"/>
  <c r="J24" i="8"/>
  <c r="I24" i="8"/>
  <c r="G24" i="8"/>
  <c r="F24" i="8"/>
  <c r="E24" i="8"/>
  <c r="P23" i="8"/>
  <c r="O23" i="8"/>
  <c r="N23" i="8"/>
  <c r="M23" i="8"/>
  <c r="L23" i="8"/>
  <c r="K23" i="8"/>
  <c r="J23" i="8"/>
  <c r="I23" i="8"/>
  <c r="H23" i="8"/>
  <c r="G23" i="8"/>
  <c r="F23" i="8"/>
  <c r="E23" i="8"/>
  <c r="P22" i="8"/>
  <c r="O22" i="8"/>
  <c r="N22" i="8"/>
  <c r="M22" i="8"/>
  <c r="L22" i="8"/>
  <c r="K22" i="8"/>
  <c r="J22" i="8"/>
  <c r="I22" i="8"/>
  <c r="H22" i="8"/>
  <c r="G22" i="8"/>
  <c r="F22" i="8"/>
  <c r="E22" i="8"/>
  <c r="P21" i="8"/>
  <c r="O21" i="8"/>
  <c r="N21" i="8"/>
  <c r="M21" i="8"/>
  <c r="L21" i="8"/>
  <c r="K21" i="8"/>
  <c r="J21" i="8"/>
  <c r="I21" i="8"/>
  <c r="G21" i="8"/>
  <c r="F21" i="8"/>
  <c r="E21" i="8"/>
  <c r="P20" i="8"/>
  <c r="O20" i="8"/>
  <c r="N20" i="8"/>
  <c r="M20" i="8"/>
  <c r="L20" i="8"/>
  <c r="K20" i="8"/>
  <c r="J20" i="8"/>
  <c r="I20" i="8"/>
  <c r="G20" i="8"/>
  <c r="F20" i="8"/>
  <c r="E20" i="8"/>
  <c r="P19" i="8"/>
  <c r="O19" i="8"/>
  <c r="N19" i="8"/>
  <c r="M19" i="8"/>
  <c r="L19" i="8"/>
  <c r="K19" i="8"/>
  <c r="J19" i="8"/>
  <c r="I19" i="8"/>
  <c r="H19" i="8"/>
  <c r="G19" i="8"/>
  <c r="F19" i="8"/>
  <c r="E19" i="8"/>
  <c r="P18" i="8"/>
  <c r="O18" i="8"/>
  <c r="N18" i="8"/>
  <c r="M18" i="8"/>
  <c r="L18" i="8"/>
  <c r="K18" i="8"/>
  <c r="J18" i="8"/>
  <c r="I18" i="8"/>
  <c r="H18" i="8"/>
  <c r="G18" i="8"/>
  <c r="F18" i="8"/>
  <c r="E18" i="8"/>
  <c r="P17" i="8"/>
  <c r="O17" i="8"/>
  <c r="N17" i="8"/>
  <c r="M17" i="8"/>
  <c r="L17" i="8"/>
  <c r="K17" i="8"/>
  <c r="J17" i="8"/>
  <c r="I17" i="8"/>
  <c r="H17" i="8"/>
  <c r="G17" i="8"/>
  <c r="F17" i="8"/>
  <c r="E17" i="8"/>
  <c r="P16" i="8"/>
  <c r="O16" i="8"/>
  <c r="N16" i="8"/>
  <c r="M16" i="8"/>
  <c r="L16" i="8"/>
  <c r="K16" i="8"/>
  <c r="J16" i="8"/>
  <c r="I16" i="8"/>
  <c r="H16" i="8"/>
  <c r="G16" i="8"/>
  <c r="F16" i="8"/>
  <c r="E16" i="8"/>
  <c r="P15" i="8"/>
  <c r="O15" i="8"/>
  <c r="N15" i="8"/>
  <c r="M15" i="8"/>
  <c r="L15" i="8"/>
  <c r="K15" i="8"/>
  <c r="J15" i="8"/>
  <c r="I15" i="8"/>
  <c r="G15" i="8"/>
  <c r="F15" i="8"/>
  <c r="E15" i="8"/>
  <c r="P14" i="8"/>
  <c r="O14" i="8"/>
  <c r="N14" i="8"/>
  <c r="M14" i="8"/>
  <c r="L14" i="8"/>
  <c r="K14" i="8"/>
  <c r="J14" i="8"/>
  <c r="I14" i="8"/>
  <c r="G14" i="8"/>
  <c r="F14" i="8"/>
  <c r="E14" i="8"/>
  <c r="P13" i="8"/>
  <c r="O13" i="8"/>
  <c r="N13" i="8"/>
  <c r="M13" i="8"/>
  <c r="L13" i="8"/>
  <c r="K13" i="8"/>
  <c r="J13" i="8"/>
  <c r="I13" i="8"/>
  <c r="H13" i="8"/>
  <c r="G13" i="8"/>
  <c r="F13" i="8"/>
  <c r="E13" i="8"/>
  <c r="P12" i="8"/>
  <c r="O12" i="8"/>
  <c r="N12" i="8"/>
  <c r="M12" i="8"/>
  <c r="L12" i="8"/>
  <c r="K12" i="8"/>
  <c r="J12" i="8"/>
  <c r="I12" i="8"/>
  <c r="H12" i="8"/>
  <c r="G12" i="8"/>
  <c r="F12" i="8"/>
  <c r="E12" i="8"/>
  <c r="P10" i="8"/>
  <c r="O10" i="8"/>
  <c r="N10" i="8"/>
  <c r="M10" i="8"/>
  <c r="L10" i="8"/>
  <c r="K10" i="8"/>
  <c r="J10" i="8"/>
  <c r="I10" i="8"/>
  <c r="H10" i="8"/>
  <c r="G10" i="8"/>
  <c r="F10" i="8"/>
  <c r="E10" i="8"/>
  <c r="M90" i="8"/>
  <c r="M91" i="8" s="1"/>
  <c r="M92" i="8" s="1"/>
  <c r="M93" i="8" s="1"/>
  <c r="M94" i="8" s="1"/>
  <c r="G90" i="27" l="1"/>
  <c r="H91" i="27"/>
  <c r="I91" i="27"/>
  <c r="J91" i="27"/>
  <c r="K90" i="8"/>
  <c r="N90" i="8"/>
  <c r="N91" i="8" s="1"/>
  <c r="N92" i="8" s="1"/>
  <c r="N93" i="8" s="1"/>
  <c r="N94" i="8" s="1"/>
  <c r="M90" i="23"/>
  <c r="P43" i="23"/>
  <c r="O43" i="23"/>
  <c r="N43" i="23"/>
  <c r="M43" i="23"/>
  <c r="L43" i="23"/>
  <c r="K43" i="23"/>
  <c r="J43" i="23"/>
  <c r="I43" i="23"/>
  <c r="H43" i="23"/>
  <c r="G43" i="23"/>
  <c r="F43" i="23"/>
  <c r="E43" i="23"/>
  <c r="P42" i="23"/>
  <c r="O42" i="23"/>
  <c r="N42" i="23"/>
  <c r="M42" i="23"/>
  <c r="L42" i="23"/>
  <c r="K42" i="23"/>
  <c r="J42" i="23"/>
  <c r="I42" i="23"/>
  <c r="G42" i="23"/>
  <c r="F42" i="23"/>
  <c r="E42" i="23"/>
  <c r="P41" i="23"/>
  <c r="O41" i="23"/>
  <c r="N41" i="23"/>
  <c r="M41" i="23"/>
  <c r="L41" i="23"/>
  <c r="K41" i="23"/>
  <c r="J41" i="23"/>
  <c r="I41" i="23"/>
  <c r="G41" i="23"/>
  <c r="F41" i="23"/>
  <c r="E41" i="23"/>
  <c r="P40" i="23"/>
  <c r="O40" i="23"/>
  <c r="N40" i="23"/>
  <c r="M40" i="23"/>
  <c r="L40" i="23"/>
  <c r="K40" i="23"/>
  <c r="J40" i="23"/>
  <c r="I40" i="23"/>
  <c r="H40" i="23"/>
  <c r="G40" i="23"/>
  <c r="F40" i="23"/>
  <c r="E40" i="23"/>
  <c r="P39" i="23"/>
  <c r="O39" i="23"/>
  <c r="N39" i="23"/>
  <c r="M39" i="23"/>
  <c r="L39" i="23"/>
  <c r="K39" i="23"/>
  <c r="J39" i="23"/>
  <c r="I39" i="23"/>
  <c r="H39" i="23"/>
  <c r="G39" i="23"/>
  <c r="F39" i="23"/>
  <c r="E39" i="23"/>
  <c r="P38" i="23"/>
  <c r="O38" i="23"/>
  <c r="N38" i="23"/>
  <c r="M38" i="23"/>
  <c r="L38" i="23"/>
  <c r="K38" i="23"/>
  <c r="J38" i="23"/>
  <c r="I38" i="23"/>
  <c r="H38" i="23"/>
  <c r="G38" i="23"/>
  <c r="F38" i="23"/>
  <c r="E38" i="23"/>
  <c r="P37" i="23"/>
  <c r="O37" i="23"/>
  <c r="N37" i="23"/>
  <c r="M37" i="23"/>
  <c r="L37" i="23"/>
  <c r="K37" i="23"/>
  <c r="J37" i="23"/>
  <c r="I37" i="23"/>
  <c r="H37" i="23"/>
  <c r="G37" i="23"/>
  <c r="F37" i="23"/>
  <c r="E37" i="23"/>
  <c r="P36" i="23"/>
  <c r="O36" i="23"/>
  <c r="N36" i="23"/>
  <c r="M36" i="23"/>
  <c r="L36" i="23"/>
  <c r="K36" i="23"/>
  <c r="J36" i="23"/>
  <c r="I36" i="23"/>
  <c r="G36" i="23"/>
  <c r="F36" i="23"/>
  <c r="E36" i="23"/>
  <c r="P35" i="23"/>
  <c r="O35" i="23"/>
  <c r="N35" i="23"/>
  <c r="M35" i="23"/>
  <c r="L35" i="23"/>
  <c r="K35" i="23"/>
  <c r="J35" i="23"/>
  <c r="I35" i="23"/>
  <c r="G35" i="23"/>
  <c r="F35" i="23"/>
  <c r="E35" i="23"/>
  <c r="P34" i="23"/>
  <c r="O34" i="23"/>
  <c r="N34" i="23"/>
  <c r="M34" i="23"/>
  <c r="L34" i="23"/>
  <c r="K34" i="23"/>
  <c r="J34" i="23"/>
  <c r="I34" i="23"/>
  <c r="H34" i="23"/>
  <c r="G34" i="23"/>
  <c r="F34" i="23"/>
  <c r="E34" i="23"/>
  <c r="P33" i="23"/>
  <c r="O33" i="23"/>
  <c r="N33" i="23"/>
  <c r="M33" i="23"/>
  <c r="L33" i="23"/>
  <c r="K33" i="23"/>
  <c r="J33" i="23"/>
  <c r="I33" i="23"/>
  <c r="H33" i="23"/>
  <c r="G33" i="23"/>
  <c r="F33" i="23"/>
  <c r="E33" i="23"/>
  <c r="P32" i="23"/>
  <c r="O32" i="23"/>
  <c r="N32" i="23"/>
  <c r="M32" i="23"/>
  <c r="L32" i="23"/>
  <c r="K32" i="23"/>
  <c r="J32" i="23"/>
  <c r="I32" i="23"/>
  <c r="H32" i="23"/>
  <c r="G32" i="23"/>
  <c r="F32" i="23"/>
  <c r="E32" i="23"/>
  <c r="P31" i="23"/>
  <c r="O31" i="23"/>
  <c r="N31" i="23"/>
  <c r="M31" i="23"/>
  <c r="L31" i="23"/>
  <c r="K31" i="23"/>
  <c r="J31" i="23"/>
  <c r="I31" i="23"/>
  <c r="H31" i="23"/>
  <c r="G31" i="23"/>
  <c r="F31" i="23"/>
  <c r="E31" i="23"/>
  <c r="P30" i="23"/>
  <c r="O30" i="23"/>
  <c r="N30" i="23"/>
  <c r="M30" i="23"/>
  <c r="L30" i="23"/>
  <c r="K30" i="23"/>
  <c r="J30" i="23"/>
  <c r="I30" i="23"/>
  <c r="G30" i="23"/>
  <c r="F30" i="23"/>
  <c r="E30" i="23"/>
  <c r="P29" i="23"/>
  <c r="O29" i="23"/>
  <c r="N29" i="23"/>
  <c r="M29" i="23"/>
  <c r="L29" i="23"/>
  <c r="K29" i="23"/>
  <c r="J29" i="23"/>
  <c r="I29" i="23"/>
  <c r="G29" i="23"/>
  <c r="F29" i="23"/>
  <c r="E29" i="23"/>
  <c r="P28" i="23"/>
  <c r="O28" i="23"/>
  <c r="N28" i="23"/>
  <c r="M28" i="23"/>
  <c r="L28" i="23"/>
  <c r="K28" i="23"/>
  <c r="J28" i="23"/>
  <c r="I28" i="23"/>
  <c r="H28" i="23"/>
  <c r="G28" i="23"/>
  <c r="F28" i="23"/>
  <c r="E28" i="23"/>
  <c r="P27" i="23"/>
  <c r="O27" i="23"/>
  <c r="N27" i="23"/>
  <c r="M27" i="23"/>
  <c r="L27" i="23"/>
  <c r="K27" i="23"/>
  <c r="J27" i="23"/>
  <c r="I27" i="23"/>
  <c r="H27" i="23"/>
  <c r="G27" i="23"/>
  <c r="F27" i="23"/>
  <c r="E27" i="23"/>
  <c r="P26" i="23"/>
  <c r="O26" i="23"/>
  <c r="N26" i="23"/>
  <c r="M26" i="23"/>
  <c r="L26" i="23"/>
  <c r="K26" i="23"/>
  <c r="J26" i="23"/>
  <c r="I26" i="23"/>
  <c r="G26" i="23"/>
  <c r="F26" i="23"/>
  <c r="E26" i="23"/>
  <c r="P25" i="23"/>
  <c r="O25" i="23"/>
  <c r="N25" i="23"/>
  <c r="M25" i="23"/>
  <c r="L25" i="23"/>
  <c r="K25" i="23"/>
  <c r="J25" i="23"/>
  <c r="I25" i="23"/>
  <c r="G25" i="23"/>
  <c r="F25" i="23"/>
  <c r="E25" i="23"/>
  <c r="P24" i="23"/>
  <c r="O24" i="23"/>
  <c r="N24" i="23"/>
  <c r="M24" i="23"/>
  <c r="L24" i="23"/>
  <c r="K24" i="23"/>
  <c r="J24" i="23"/>
  <c r="I24" i="23"/>
  <c r="G24" i="23"/>
  <c r="F24" i="23"/>
  <c r="E24" i="23"/>
  <c r="P23" i="23"/>
  <c r="O23" i="23"/>
  <c r="N23" i="23"/>
  <c r="M23" i="23"/>
  <c r="L23" i="23"/>
  <c r="K23" i="23"/>
  <c r="J23" i="23"/>
  <c r="I23" i="23"/>
  <c r="H23" i="23"/>
  <c r="G23" i="23"/>
  <c r="F23" i="23"/>
  <c r="E23" i="23"/>
  <c r="P22" i="23"/>
  <c r="O22" i="23"/>
  <c r="N22" i="23"/>
  <c r="M22" i="23"/>
  <c r="L22" i="23"/>
  <c r="K22" i="23"/>
  <c r="J22" i="23"/>
  <c r="I22" i="23"/>
  <c r="H22" i="23"/>
  <c r="G22" i="23"/>
  <c r="F22" i="23"/>
  <c r="E22" i="23"/>
  <c r="P21" i="23"/>
  <c r="O21" i="23"/>
  <c r="N21" i="23"/>
  <c r="M21" i="23"/>
  <c r="L21" i="23"/>
  <c r="K21" i="23"/>
  <c r="J21" i="23"/>
  <c r="I21" i="23"/>
  <c r="G21" i="23"/>
  <c r="F21" i="23"/>
  <c r="E21" i="23"/>
  <c r="P20" i="23"/>
  <c r="O20" i="23"/>
  <c r="N20" i="23"/>
  <c r="M20" i="23"/>
  <c r="L20" i="23"/>
  <c r="K20" i="23"/>
  <c r="J20" i="23"/>
  <c r="I20" i="23"/>
  <c r="G20" i="23"/>
  <c r="F20" i="23"/>
  <c r="E20" i="23"/>
  <c r="P19" i="23"/>
  <c r="O19" i="23"/>
  <c r="N19" i="23"/>
  <c r="M19" i="23"/>
  <c r="L19" i="23"/>
  <c r="K19" i="23"/>
  <c r="J19" i="23"/>
  <c r="I19" i="23"/>
  <c r="H19" i="23"/>
  <c r="G19" i="23"/>
  <c r="F19" i="23"/>
  <c r="E19" i="23"/>
  <c r="P18" i="23"/>
  <c r="O18" i="23"/>
  <c r="N18" i="23"/>
  <c r="M18" i="23"/>
  <c r="L18" i="23"/>
  <c r="K18" i="23"/>
  <c r="J18" i="23"/>
  <c r="I18" i="23"/>
  <c r="H18" i="23"/>
  <c r="G18" i="23"/>
  <c r="F18" i="23"/>
  <c r="E18" i="23"/>
  <c r="P17" i="23"/>
  <c r="O17" i="23"/>
  <c r="N17" i="23"/>
  <c r="M17" i="23"/>
  <c r="L17" i="23"/>
  <c r="K17" i="23"/>
  <c r="J17" i="23"/>
  <c r="I17" i="23"/>
  <c r="H17" i="23"/>
  <c r="G17" i="23"/>
  <c r="F17" i="23"/>
  <c r="E17" i="23"/>
  <c r="P16" i="23"/>
  <c r="O16" i="23"/>
  <c r="N16" i="23"/>
  <c r="M16" i="23"/>
  <c r="L16" i="23"/>
  <c r="K16" i="23"/>
  <c r="J16" i="23"/>
  <c r="I16" i="23"/>
  <c r="H16" i="23"/>
  <c r="G16" i="23"/>
  <c r="F16" i="23"/>
  <c r="E16" i="23"/>
  <c r="P15" i="23"/>
  <c r="O15" i="23"/>
  <c r="N15" i="23"/>
  <c r="M15" i="23"/>
  <c r="L15" i="23"/>
  <c r="K15" i="23"/>
  <c r="J15" i="23"/>
  <c r="I15" i="23"/>
  <c r="G15" i="23"/>
  <c r="F15" i="23"/>
  <c r="E15" i="23"/>
  <c r="P14" i="23"/>
  <c r="O14" i="23"/>
  <c r="N14" i="23"/>
  <c r="M14" i="23"/>
  <c r="L14" i="23"/>
  <c r="K14" i="23"/>
  <c r="J14" i="23"/>
  <c r="I14" i="23"/>
  <c r="G14" i="23"/>
  <c r="F14" i="23"/>
  <c r="E14" i="23"/>
  <c r="P13" i="23"/>
  <c r="O13" i="23"/>
  <c r="N13" i="23"/>
  <c r="M13" i="23"/>
  <c r="L13" i="23"/>
  <c r="K13" i="23"/>
  <c r="J13" i="23"/>
  <c r="I13" i="23"/>
  <c r="H13" i="23"/>
  <c r="G13" i="23"/>
  <c r="F13" i="23"/>
  <c r="E13" i="23"/>
  <c r="P12" i="23"/>
  <c r="O12" i="23"/>
  <c r="N12" i="23"/>
  <c r="M12" i="23"/>
  <c r="L12" i="23"/>
  <c r="K12" i="23"/>
  <c r="J12" i="23"/>
  <c r="I12" i="23"/>
  <c r="H12" i="23"/>
  <c r="G12" i="23"/>
  <c r="F12" i="23"/>
  <c r="E12" i="23"/>
  <c r="P10" i="23"/>
  <c r="O10" i="23"/>
  <c r="N10" i="23"/>
  <c r="M10" i="23"/>
  <c r="L10" i="23"/>
  <c r="K10" i="23"/>
  <c r="J10" i="23"/>
  <c r="I10" i="23"/>
  <c r="H10" i="23"/>
  <c r="G10" i="23"/>
  <c r="F10" i="23"/>
  <c r="E10" i="23"/>
  <c r="H59" i="24"/>
  <c r="H69" i="24"/>
  <c r="P43" i="24"/>
  <c r="O43" i="24"/>
  <c r="N43" i="24"/>
  <c r="M43" i="24"/>
  <c r="L43" i="24"/>
  <c r="K43" i="24"/>
  <c r="J43" i="24"/>
  <c r="I43" i="24"/>
  <c r="H43" i="24"/>
  <c r="G43" i="24"/>
  <c r="F43" i="24"/>
  <c r="E43" i="24"/>
  <c r="P42" i="24"/>
  <c r="O42" i="24"/>
  <c r="N42" i="24"/>
  <c r="M42" i="24"/>
  <c r="L42" i="24"/>
  <c r="K42" i="24"/>
  <c r="J42" i="24"/>
  <c r="I42" i="24"/>
  <c r="G42" i="24"/>
  <c r="F42" i="24"/>
  <c r="E42" i="24"/>
  <c r="P41" i="24"/>
  <c r="O41" i="24"/>
  <c r="N41" i="24"/>
  <c r="M41" i="24"/>
  <c r="L41" i="24"/>
  <c r="K41" i="24"/>
  <c r="J41" i="24"/>
  <c r="I41" i="24"/>
  <c r="G41" i="24"/>
  <c r="F41" i="24"/>
  <c r="E41" i="24"/>
  <c r="P40" i="24"/>
  <c r="O40" i="24"/>
  <c r="N40" i="24"/>
  <c r="M40" i="24"/>
  <c r="L40" i="24"/>
  <c r="K40" i="24"/>
  <c r="J40" i="24"/>
  <c r="I40" i="24"/>
  <c r="H40" i="24"/>
  <c r="G40" i="24"/>
  <c r="F40" i="24"/>
  <c r="E40" i="24"/>
  <c r="P39" i="24"/>
  <c r="O39" i="24"/>
  <c r="N39" i="24"/>
  <c r="M39" i="24"/>
  <c r="L39" i="24"/>
  <c r="K39" i="24"/>
  <c r="J39" i="24"/>
  <c r="I39" i="24"/>
  <c r="H39" i="24"/>
  <c r="G39" i="24"/>
  <c r="F39" i="24"/>
  <c r="E39" i="24"/>
  <c r="P38" i="24"/>
  <c r="O38" i="24"/>
  <c r="N38" i="24"/>
  <c r="M38" i="24"/>
  <c r="L38" i="24"/>
  <c r="K38" i="24"/>
  <c r="J38" i="24"/>
  <c r="I38" i="24"/>
  <c r="H38" i="24"/>
  <c r="G38" i="24"/>
  <c r="F38" i="24"/>
  <c r="E38" i="24"/>
  <c r="P37" i="24"/>
  <c r="O37" i="24"/>
  <c r="N37" i="24"/>
  <c r="M37" i="24"/>
  <c r="L37" i="24"/>
  <c r="K37" i="24"/>
  <c r="J37" i="24"/>
  <c r="I37" i="24"/>
  <c r="H37" i="24"/>
  <c r="G37" i="24"/>
  <c r="F37" i="24"/>
  <c r="E37" i="24"/>
  <c r="P36" i="24"/>
  <c r="O36" i="24"/>
  <c r="N36" i="24"/>
  <c r="M36" i="24"/>
  <c r="L36" i="24"/>
  <c r="K36" i="24"/>
  <c r="J36" i="24"/>
  <c r="I36" i="24"/>
  <c r="G36" i="24"/>
  <c r="F36" i="24"/>
  <c r="E36" i="24"/>
  <c r="P35" i="24"/>
  <c r="O35" i="24"/>
  <c r="N35" i="24"/>
  <c r="M35" i="24"/>
  <c r="L35" i="24"/>
  <c r="K35" i="24"/>
  <c r="J35" i="24"/>
  <c r="I35" i="24"/>
  <c r="G35" i="24"/>
  <c r="F35" i="24"/>
  <c r="E35" i="24"/>
  <c r="P34" i="24"/>
  <c r="O34" i="24"/>
  <c r="N34" i="24"/>
  <c r="M34" i="24"/>
  <c r="L34" i="24"/>
  <c r="K34" i="24"/>
  <c r="J34" i="24"/>
  <c r="I34" i="24"/>
  <c r="H34" i="24"/>
  <c r="G34" i="24"/>
  <c r="F34" i="24"/>
  <c r="E34" i="24"/>
  <c r="P33" i="24"/>
  <c r="O33" i="24"/>
  <c r="N33" i="24"/>
  <c r="M33" i="24"/>
  <c r="L33" i="24"/>
  <c r="K33" i="24"/>
  <c r="J33" i="24"/>
  <c r="I33" i="24"/>
  <c r="H33" i="24"/>
  <c r="G33" i="24"/>
  <c r="F33" i="24"/>
  <c r="E33" i="24"/>
  <c r="P32" i="24"/>
  <c r="O32" i="24"/>
  <c r="N32" i="24"/>
  <c r="M32" i="24"/>
  <c r="L32" i="24"/>
  <c r="K32" i="24"/>
  <c r="J32" i="24"/>
  <c r="I32" i="24"/>
  <c r="H32" i="24"/>
  <c r="G32" i="24"/>
  <c r="F32" i="24"/>
  <c r="E32" i="24"/>
  <c r="P31" i="24"/>
  <c r="O31" i="24"/>
  <c r="N31" i="24"/>
  <c r="M31" i="24"/>
  <c r="L31" i="24"/>
  <c r="K31" i="24"/>
  <c r="J31" i="24"/>
  <c r="I31" i="24"/>
  <c r="H31" i="24"/>
  <c r="G31" i="24"/>
  <c r="F31" i="24"/>
  <c r="E31" i="24"/>
  <c r="P30" i="24"/>
  <c r="O30" i="24"/>
  <c r="N30" i="24"/>
  <c r="M30" i="24"/>
  <c r="L30" i="24"/>
  <c r="K30" i="24"/>
  <c r="J30" i="24"/>
  <c r="I30" i="24"/>
  <c r="G30" i="24"/>
  <c r="F30" i="24"/>
  <c r="E30" i="24"/>
  <c r="P29" i="24"/>
  <c r="O29" i="24"/>
  <c r="N29" i="24"/>
  <c r="M29" i="24"/>
  <c r="L29" i="24"/>
  <c r="K29" i="24"/>
  <c r="J29" i="24"/>
  <c r="I29" i="24"/>
  <c r="G29" i="24"/>
  <c r="F29" i="24"/>
  <c r="E29" i="24"/>
  <c r="P28" i="24"/>
  <c r="O28" i="24"/>
  <c r="N28" i="24"/>
  <c r="M28" i="24"/>
  <c r="L28" i="24"/>
  <c r="K28" i="24"/>
  <c r="J28" i="24"/>
  <c r="I28" i="24"/>
  <c r="H28" i="24"/>
  <c r="G28" i="24"/>
  <c r="F28" i="24"/>
  <c r="E28" i="24"/>
  <c r="P27" i="24"/>
  <c r="O27" i="24"/>
  <c r="N27" i="24"/>
  <c r="M27" i="24"/>
  <c r="L27" i="24"/>
  <c r="K27" i="24"/>
  <c r="J27" i="24"/>
  <c r="I27" i="24"/>
  <c r="H27" i="24"/>
  <c r="G27" i="24"/>
  <c r="F27" i="24"/>
  <c r="E27" i="24"/>
  <c r="P26" i="24"/>
  <c r="O26" i="24"/>
  <c r="N26" i="24"/>
  <c r="M26" i="24"/>
  <c r="L26" i="24"/>
  <c r="K26" i="24"/>
  <c r="J26" i="24"/>
  <c r="I26" i="24"/>
  <c r="G26" i="24"/>
  <c r="F26" i="24"/>
  <c r="E26" i="24"/>
  <c r="P25" i="24"/>
  <c r="O25" i="24"/>
  <c r="N25" i="24"/>
  <c r="M25" i="24"/>
  <c r="L25" i="24"/>
  <c r="K25" i="24"/>
  <c r="J25" i="24"/>
  <c r="I25" i="24"/>
  <c r="G25" i="24"/>
  <c r="F25" i="24"/>
  <c r="E25" i="24"/>
  <c r="P24" i="24"/>
  <c r="O24" i="24"/>
  <c r="N24" i="24"/>
  <c r="M24" i="24"/>
  <c r="L24" i="24"/>
  <c r="K24" i="24"/>
  <c r="J24" i="24"/>
  <c r="I24" i="24"/>
  <c r="G24" i="24"/>
  <c r="F24" i="24"/>
  <c r="E24" i="24"/>
  <c r="P23" i="24"/>
  <c r="O23" i="24"/>
  <c r="N23" i="24"/>
  <c r="M23" i="24"/>
  <c r="L23" i="24"/>
  <c r="K23" i="24"/>
  <c r="J23" i="24"/>
  <c r="I23" i="24"/>
  <c r="H23" i="24"/>
  <c r="G23" i="24"/>
  <c r="F23" i="24"/>
  <c r="E23" i="24"/>
  <c r="P22" i="24"/>
  <c r="O22" i="24"/>
  <c r="N22" i="24"/>
  <c r="M22" i="24"/>
  <c r="L22" i="24"/>
  <c r="K22" i="24"/>
  <c r="J22" i="24"/>
  <c r="I22" i="24"/>
  <c r="H22" i="24"/>
  <c r="G22" i="24"/>
  <c r="F22" i="24"/>
  <c r="E22" i="24"/>
  <c r="P21" i="24"/>
  <c r="O21" i="24"/>
  <c r="N21" i="24"/>
  <c r="M21" i="24"/>
  <c r="L21" i="24"/>
  <c r="K21" i="24"/>
  <c r="J21" i="24"/>
  <c r="I21" i="24"/>
  <c r="G21" i="24"/>
  <c r="F21" i="24"/>
  <c r="E21" i="24"/>
  <c r="P20" i="24"/>
  <c r="O20" i="24"/>
  <c r="N20" i="24"/>
  <c r="M20" i="24"/>
  <c r="L20" i="24"/>
  <c r="K20" i="24"/>
  <c r="J20" i="24"/>
  <c r="I20" i="24"/>
  <c r="G20" i="24"/>
  <c r="F20" i="24"/>
  <c r="E20" i="24"/>
  <c r="P19" i="24"/>
  <c r="O19" i="24"/>
  <c r="N19" i="24"/>
  <c r="M19" i="24"/>
  <c r="L19" i="24"/>
  <c r="K19" i="24"/>
  <c r="J19" i="24"/>
  <c r="I19" i="24"/>
  <c r="H19" i="24"/>
  <c r="G19" i="24"/>
  <c r="F19" i="24"/>
  <c r="E19" i="24"/>
  <c r="P18" i="24"/>
  <c r="O18" i="24"/>
  <c r="N18" i="24"/>
  <c r="M18" i="24"/>
  <c r="L18" i="24"/>
  <c r="K18" i="24"/>
  <c r="J18" i="24"/>
  <c r="I18" i="24"/>
  <c r="H18" i="24"/>
  <c r="G18" i="24"/>
  <c r="F18" i="24"/>
  <c r="E18" i="24"/>
  <c r="P17" i="24"/>
  <c r="O17" i="24"/>
  <c r="N17" i="24"/>
  <c r="M17" i="24"/>
  <c r="L17" i="24"/>
  <c r="K17" i="24"/>
  <c r="J17" i="24"/>
  <c r="I17" i="24"/>
  <c r="H17" i="24"/>
  <c r="G17" i="24"/>
  <c r="F17" i="24"/>
  <c r="E17" i="24"/>
  <c r="P16" i="24"/>
  <c r="O16" i="24"/>
  <c r="N16" i="24"/>
  <c r="M16" i="24"/>
  <c r="L16" i="24"/>
  <c r="K16" i="24"/>
  <c r="J16" i="24"/>
  <c r="I16" i="24"/>
  <c r="H16" i="24"/>
  <c r="G16" i="24"/>
  <c r="F16" i="24"/>
  <c r="E16" i="24"/>
  <c r="P15" i="24"/>
  <c r="O15" i="24"/>
  <c r="N15" i="24"/>
  <c r="M15" i="24"/>
  <c r="L15" i="24"/>
  <c r="K15" i="24"/>
  <c r="J15" i="24"/>
  <c r="I15" i="24"/>
  <c r="G15" i="24"/>
  <c r="F15" i="24"/>
  <c r="E15" i="24"/>
  <c r="P14" i="24"/>
  <c r="O14" i="24"/>
  <c r="N14" i="24"/>
  <c r="M14" i="24"/>
  <c r="L14" i="24"/>
  <c r="K14" i="24"/>
  <c r="J14" i="24"/>
  <c r="I14" i="24"/>
  <c r="G14" i="24"/>
  <c r="F14" i="24"/>
  <c r="E14" i="24"/>
  <c r="P13" i="24"/>
  <c r="O13" i="24"/>
  <c r="N13" i="24"/>
  <c r="M13" i="24"/>
  <c r="L13" i="24"/>
  <c r="K13" i="24"/>
  <c r="J13" i="24"/>
  <c r="I13" i="24"/>
  <c r="H13" i="24"/>
  <c r="G13" i="24"/>
  <c r="F13" i="24"/>
  <c r="E13" i="24"/>
  <c r="P12" i="24"/>
  <c r="O12" i="24"/>
  <c r="N12" i="24"/>
  <c r="M12" i="24"/>
  <c r="L12" i="24"/>
  <c r="K12" i="24"/>
  <c r="J12" i="24"/>
  <c r="I12" i="24"/>
  <c r="H12" i="24"/>
  <c r="G12" i="24"/>
  <c r="F12" i="24"/>
  <c r="E12" i="24"/>
  <c r="P10" i="24"/>
  <c r="O10" i="24"/>
  <c r="N10" i="24"/>
  <c r="M10" i="24"/>
  <c r="L10" i="24"/>
  <c r="K10" i="24"/>
  <c r="J10" i="24"/>
  <c r="I10" i="24"/>
  <c r="H10" i="24"/>
  <c r="G10" i="24"/>
  <c r="F10" i="24"/>
  <c r="E10" i="24"/>
  <c r="H69" i="20"/>
  <c r="H70" i="20" s="1"/>
  <c r="H59" i="20"/>
  <c r="H49" i="20"/>
  <c r="K92" i="8" l="1"/>
  <c r="K93" i="8"/>
  <c r="K94" i="8"/>
  <c r="K91" i="8"/>
  <c r="H60" i="24"/>
  <c r="H63" i="24"/>
  <c r="H62" i="24"/>
  <c r="H61" i="24"/>
  <c r="H91" i="23"/>
  <c r="H90" i="23"/>
  <c r="P43" i="25"/>
  <c r="O43" i="25"/>
  <c r="N43" i="25"/>
  <c r="M43" i="25"/>
  <c r="L43" i="25"/>
  <c r="K43" i="25"/>
  <c r="J43" i="25"/>
  <c r="I43" i="25"/>
  <c r="H43" i="25"/>
  <c r="G43" i="25"/>
  <c r="F43" i="25"/>
  <c r="E43" i="25"/>
  <c r="P42" i="25"/>
  <c r="O42" i="25"/>
  <c r="N42" i="25"/>
  <c r="M42" i="25"/>
  <c r="L42" i="25"/>
  <c r="K42" i="25"/>
  <c r="J42" i="25"/>
  <c r="I42" i="25"/>
  <c r="G42" i="25"/>
  <c r="F42" i="25"/>
  <c r="E42" i="25"/>
  <c r="P41" i="25"/>
  <c r="O41" i="25"/>
  <c r="N41" i="25"/>
  <c r="M41" i="25"/>
  <c r="L41" i="25"/>
  <c r="K41" i="25"/>
  <c r="J41" i="25"/>
  <c r="I41" i="25"/>
  <c r="G41" i="25"/>
  <c r="F41" i="25"/>
  <c r="E41" i="25"/>
  <c r="P40" i="25"/>
  <c r="O40" i="25"/>
  <c r="N40" i="25"/>
  <c r="M40" i="25"/>
  <c r="L40" i="25"/>
  <c r="K40" i="25"/>
  <c r="J40" i="25"/>
  <c r="I40" i="25"/>
  <c r="H40" i="25"/>
  <c r="G40" i="25"/>
  <c r="F40" i="25"/>
  <c r="E40" i="25"/>
  <c r="P39" i="25"/>
  <c r="O39" i="25"/>
  <c r="N39" i="25"/>
  <c r="M39" i="25"/>
  <c r="L39" i="25"/>
  <c r="K39" i="25"/>
  <c r="J39" i="25"/>
  <c r="I39" i="25"/>
  <c r="H39" i="25"/>
  <c r="G39" i="25"/>
  <c r="F39" i="25"/>
  <c r="E39" i="25"/>
  <c r="P38" i="25"/>
  <c r="O38" i="25"/>
  <c r="N38" i="25"/>
  <c r="M38" i="25"/>
  <c r="L38" i="25"/>
  <c r="K38" i="25"/>
  <c r="J38" i="25"/>
  <c r="I38" i="25"/>
  <c r="H38" i="25"/>
  <c r="G38" i="25"/>
  <c r="F38" i="25"/>
  <c r="E38" i="25"/>
  <c r="P37" i="25"/>
  <c r="O37" i="25"/>
  <c r="N37" i="25"/>
  <c r="M37" i="25"/>
  <c r="L37" i="25"/>
  <c r="K37" i="25"/>
  <c r="J37" i="25"/>
  <c r="I37" i="25"/>
  <c r="H37" i="25"/>
  <c r="G37" i="25"/>
  <c r="F37" i="25"/>
  <c r="E37" i="25"/>
  <c r="P36" i="25"/>
  <c r="O36" i="25"/>
  <c r="N36" i="25"/>
  <c r="M36" i="25"/>
  <c r="L36" i="25"/>
  <c r="K36" i="25"/>
  <c r="J36" i="25"/>
  <c r="I36" i="25"/>
  <c r="G36" i="25"/>
  <c r="F36" i="25"/>
  <c r="E36" i="25"/>
  <c r="P35" i="25"/>
  <c r="O35" i="25"/>
  <c r="N35" i="25"/>
  <c r="M35" i="25"/>
  <c r="L35" i="25"/>
  <c r="K35" i="25"/>
  <c r="J35" i="25"/>
  <c r="I35" i="25"/>
  <c r="G35" i="25"/>
  <c r="F35" i="25"/>
  <c r="E35" i="25"/>
  <c r="P34" i="25"/>
  <c r="O34" i="25"/>
  <c r="N34" i="25"/>
  <c r="M34" i="25"/>
  <c r="L34" i="25"/>
  <c r="K34" i="25"/>
  <c r="J34" i="25"/>
  <c r="I34" i="25"/>
  <c r="H34" i="25"/>
  <c r="G34" i="25"/>
  <c r="F34" i="25"/>
  <c r="E34" i="25"/>
  <c r="P33" i="25"/>
  <c r="O33" i="25"/>
  <c r="N33" i="25"/>
  <c r="M33" i="25"/>
  <c r="L33" i="25"/>
  <c r="K33" i="25"/>
  <c r="J33" i="25"/>
  <c r="I33" i="25"/>
  <c r="H33" i="25"/>
  <c r="G33" i="25"/>
  <c r="F33" i="25"/>
  <c r="E33" i="25"/>
  <c r="P32" i="25"/>
  <c r="O32" i="25"/>
  <c r="N32" i="25"/>
  <c r="M32" i="25"/>
  <c r="L32" i="25"/>
  <c r="K32" i="25"/>
  <c r="J32" i="25"/>
  <c r="I32" i="25"/>
  <c r="H32" i="25"/>
  <c r="G32" i="25"/>
  <c r="F32" i="25"/>
  <c r="E32" i="25"/>
  <c r="P31" i="25"/>
  <c r="O31" i="25"/>
  <c r="N31" i="25"/>
  <c r="M31" i="25"/>
  <c r="L31" i="25"/>
  <c r="K31" i="25"/>
  <c r="J31" i="25"/>
  <c r="I31" i="25"/>
  <c r="H31" i="25"/>
  <c r="G31" i="25"/>
  <c r="F31" i="25"/>
  <c r="E31" i="25"/>
  <c r="P30" i="25"/>
  <c r="O30" i="25"/>
  <c r="N30" i="25"/>
  <c r="M30" i="25"/>
  <c r="L30" i="25"/>
  <c r="K30" i="25"/>
  <c r="J30" i="25"/>
  <c r="I30" i="25"/>
  <c r="G30" i="25"/>
  <c r="F30" i="25"/>
  <c r="E30" i="25"/>
  <c r="P29" i="25"/>
  <c r="O29" i="25"/>
  <c r="N29" i="25"/>
  <c r="M29" i="25"/>
  <c r="L29" i="25"/>
  <c r="K29" i="25"/>
  <c r="J29" i="25"/>
  <c r="I29" i="25"/>
  <c r="G29" i="25"/>
  <c r="F29" i="25"/>
  <c r="E29" i="25"/>
  <c r="P28" i="25"/>
  <c r="O28" i="25"/>
  <c r="N28" i="25"/>
  <c r="M28" i="25"/>
  <c r="L28" i="25"/>
  <c r="K28" i="25"/>
  <c r="J28" i="25"/>
  <c r="I28" i="25"/>
  <c r="H28" i="25"/>
  <c r="G28" i="25"/>
  <c r="F28" i="25"/>
  <c r="E28" i="25"/>
  <c r="P27" i="25"/>
  <c r="O27" i="25"/>
  <c r="N27" i="25"/>
  <c r="M27" i="25"/>
  <c r="L27" i="25"/>
  <c r="K27" i="25"/>
  <c r="J27" i="25"/>
  <c r="I27" i="25"/>
  <c r="H27" i="25"/>
  <c r="G27" i="25"/>
  <c r="F27" i="25"/>
  <c r="E27" i="25"/>
  <c r="P26" i="25"/>
  <c r="O26" i="25"/>
  <c r="N26" i="25"/>
  <c r="M26" i="25"/>
  <c r="L26" i="25"/>
  <c r="K26" i="25"/>
  <c r="J26" i="25"/>
  <c r="I26" i="25"/>
  <c r="G26" i="25"/>
  <c r="F26" i="25"/>
  <c r="E26" i="25"/>
  <c r="P25" i="25"/>
  <c r="O25" i="25"/>
  <c r="N25" i="25"/>
  <c r="M25" i="25"/>
  <c r="L25" i="25"/>
  <c r="K25" i="25"/>
  <c r="J25" i="25"/>
  <c r="I25" i="25"/>
  <c r="G25" i="25"/>
  <c r="F25" i="25"/>
  <c r="E25" i="25"/>
  <c r="P24" i="25"/>
  <c r="O24" i="25"/>
  <c r="N24" i="25"/>
  <c r="M24" i="25"/>
  <c r="L24" i="25"/>
  <c r="K24" i="25"/>
  <c r="J24" i="25"/>
  <c r="I24" i="25"/>
  <c r="G24" i="25"/>
  <c r="F24" i="25"/>
  <c r="E24" i="25"/>
  <c r="P23" i="25"/>
  <c r="O23" i="25"/>
  <c r="N23" i="25"/>
  <c r="M23" i="25"/>
  <c r="L23" i="25"/>
  <c r="K23" i="25"/>
  <c r="J23" i="25"/>
  <c r="I23" i="25"/>
  <c r="H23" i="25"/>
  <c r="G23" i="25"/>
  <c r="F23" i="25"/>
  <c r="E23" i="25"/>
  <c r="P22" i="25"/>
  <c r="O22" i="25"/>
  <c r="N22" i="25"/>
  <c r="M22" i="25"/>
  <c r="L22" i="25"/>
  <c r="K22" i="25"/>
  <c r="J22" i="25"/>
  <c r="I22" i="25"/>
  <c r="H22" i="25"/>
  <c r="G22" i="25"/>
  <c r="F22" i="25"/>
  <c r="E22" i="25"/>
  <c r="P21" i="25"/>
  <c r="O21" i="25"/>
  <c r="N21" i="25"/>
  <c r="M21" i="25"/>
  <c r="L21" i="25"/>
  <c r="K21" i="25"/>
  <c r="J21" i="25"/>
  <c r="I21" i="25"/>
  <c r="G21" i="25"/>
  <c r="F21" i="25"/>
  <c r="E21" i="25"/>
  <c r="P20" i="25"/>
  <c r="O20" i="25"/>
  <c r="N20" i="25"/>
  <c r="M20" i="25"/>
  <c r="L20" i="25"/>
  <c r="K20" i="25"/>
  <c r="J20" i="25"/>
  <c r="I20" i="25"/>
  <c r="G20" i="25"/>
  <c r="F20" i="25"/>
  <c r="E20" i="25"/>
  <c r="P19" i="25"/>
  <c r="O19" i="25"/>
  <c r="N19" i="25"/>
  <c r="M19" i="25"/>
  <c r="L19" i="25"/>
  <c r="K19" i="25"/>
  <c r="J19" i="25"/>
  <c r="I19" i="25"/>
  <c r="H19" i="25"/>
  <c r="G19" i="25"/>
  <c r="F19" i="25"/>
  <c r="E19" i="25"/>
  <c r="P18" i="25"/>
  <c r="O18" i="25"/>
  <c r="N18" i="25"/>
  <c r="M18" i="25"/>
  <c r="L18" i="25"/>
  <c r="K18" i="25"/>
  <c r="J18" i="25"/>
  <c r="I18" i="25"/>
  <c r="H18" i="25"/>
  <c r="G18" i="25"/>
  <c r="F18" i="25"/>
  <c r="E18" i="25"/>
  <c r="P17" i="25"/>
  <c r="O17" i="25"/>
  <c r="N17" i="25"/>
  <c r="M17" i="25"/>
  <c r="L17" i="25"/>
  <c r="K17" i="25"/>
  <c r="J17" i="25"/>
  <c r="I17" i="25"/>
  <c r="H17" i="25"/>
  <c r="G17" i="25"/>
  <c r="F17" i="25"/>
  <c r="E17" i="25"/>
  <c r="P16" i="25"/>
  <c r="O16" i="25"/>
  <c r="N16" i="25"/>
  <c r="M16" i="25"/>
  <c r="L16" i="25"/>
  <c r="K16" i="25"/>
  <c r="J16" i="25"/>
  <c r="I16" i="25"/>
  <c r="H16" i="25"/>
  <c r="G16" i="25"/>
  <c r="F16" i="25"/>
  <c r="E16" i="25"/>
  <c r="P15" i="25"/>
  <c r="O15" i="25"/>
  <c r="N15" i="25"/>
  <c r="M15" i="25"/>
  <c r="L15" i="25"/>
  <c r="K15" i="25"/>
  <c r="J15" i="25"/>
  <c r="I15" i="25"/>
  <c r="G15" i="25"/>
  <c r="F15" i="25"/>
  <c r="E15" i="25"/>
  <c r="P14" i="25"/>
  <c r="O14" i="25"/>
  <c r="N14" i="25"/>
  <c r="M14" i="25"/>
  <c r="L14" i="25"/>
  <c r="K14" i="25"/>
  <c r="J14" i="25"/>
  <c r="I14" i="25"/>
  <c r="G14" i="25"/>
  <c r="F14" i="25"/>
  <c r="E14" i="25"/>
  <c r="P13" i="25"/>
  <c r="O13" i="25"/>
  <c r="N13" i="25"/>
  <c r="M13" i="25"/>
  <c r="L13" i="25"/>
  <c r="K13" i="25"/>
  <c r="J13" i="25"/>
  <c r="I13" i="25"/>
  <c r="H13" i="25"/>
  <c r="G13" i="25"/>
  <c r="F13" i="25"/>
  <c r="E13" i="25"/>
  <c r="P12" i="25"/>
  <c r="O12" i="25"/>
  <c r="N12" i="25"/>
  <c r="M12" i="25"/>
  <c r="L12" i="25"/>
  <c r="K12" i="25"/>
  <c r="J12" i="25"/>
  <c r="I12" i="25"/>
  <c r="H12" i="25"/>
  <c r="G12" i="25"/>
  <c r="F12" i="25"/>
  <c r="E12" i="25"/>
  <c r="P10" i="25"/>
  <c r="O10" i="25"/>
  <c r="N10" i="25"/>
  <c r="M10" i="25"/>
  <c r="L10" i="25"/>
  <c r="K10" i="25"/>
  <c r="J10" i="25"/>
  <c r="I10" i="25"/>
  <c r="H10" i="25"/>
  <c r="G10" i="25"/>
  <c r="F10" i="25"/>
  <c r="E10" i="25"/>
  <c r="O199" i="20"/>
  <c r="O198" i="20"/>
  <c r="O197" i="20"/>
  <c r="O178" i="20"/>
  <c r="O169" i="20"/>
  <c r="O160" i="20"/>
  <c r="O148" i="20"/>
  <c r="O147" i="20"/>
  <c r="O145" i="20"/>
  <c r="O136" i="20"/>
  <c r="O135" i="20"/>
  <c r="O128" i="20"/>
  <c r="E155" i="20"/>
  <c r="E154" i="20"/>
  <c r="E153" i="20"/>
  <c r="E142" i="20"/>
  <c r="E139" i="20"/>
  <c r="E128" i="20"/>
  <c r="E126" i="20"/>
  <c r="E122" i="20"/>
  <c r="N90" i="20" s="1"/>
  <c r="E111" i="20"/>
  <c r="E120" i="20"/>
  <c r="E39" i="20"/>
  <c r="F39" i="20"/>
  <c r="G39" i="20"/>
  <c r="H39" i="20"/>
  <c r="I39" i="20"/>
  <c r="J39" i="20"/>
  <c r="K39" i="20"/>
  <c r="L39" i="20"/>
  <c r="M39" i="20"/>
  <c r="N39" i="20"/>
  <c r="O39" i="20"/>
  <c r="P39" i="20"/>
  <c r="E40" i="20"/>
  <c r="F40" i="20"/>
  <c r="G40" i="20"/>
  <c r="H40" i="20"/>
  <c r="I40" i="20"/>
  <c r="J40" i="20"/>
  <c r="K40" i="20"/>
  <c r="L40" i="20"/>
  <c r="M40" i="20"/>
  <c r="N40" i="20"/>
  <c r="O40" i="20"/>
  <c r="P40" i="20"/>
  <c r="E41" i="20"/>
  <c r="F41" i="20"/>
  <c r="G41" i="20"/>
  <c r="I41" i="20"/>
  <c r="J41" i="20"/>
  <c r="K41" i="20"/>
  <c r="L41" i="20"/>
  <c r="M41" i="20"/>
  <c r="N41" i="20"/>
  <c r="O41" i="20"/>
  <c r="P41" i="20"/>
  <c r="E42" i="20"/>
  <c r="F42" i="20"/>
  <c r="G42" i="20"/>
  <c r="I42" i="20"/>
  <c r="J42" i="20"/>
  <c r="K42" i="20"/>
  <c r="L42" i="20"/>
  <c r="M42" i="20"/>
  <c r="N42" i="20"/>
  <c r="O42" i="20"/>
  <c r="P42" i="20"/>
  <c r="E43" i="20"/>
  <c r="F43" i="20"/>
  <c r="G43" i="20"/>
  <c r="H43" i="20"/>
  <c r="I43" i="20"/>
  <c r="J43" i="20"/>
  <c r="K43" i="20"/>
  <c r="L43" i="20"/>
  <c r="M43" i="20"/>
  <c r="N43" i="20"/>
  <c r="O43" i="20"/>
  <c r="P43" i="20"/>
  <c r="E10" i="4"/>
  <c r="E39" i="4"/>
  <c r="F39" i="4"/>
  <c r="G39" i="4"/>
  <c r="H39" i="4"/>
  <c r="I39" i="4"/>
  <c r="J39" i="4"/>
  <c r="K39" i="4"/>
  <c r="L39" i="4"/>
  <c r="M39" i="4"/>
  <c r="N39" i="4"/>
  <c r="O39" i="4"/>
  <c r="P39" i="4"/>
  <c r="E40" i="4"/>
  <c r="F40" i="4"/>
  <c r="G40" i="4"/>
  <c r="H40" i="4"/>
  <c r="I40" i="4"/>
  <c r="J40" i="4"/>
  <c r="K40" i="4"/>
  <c r="L40" i="4"/>
  <c r="M40" i="4"/>
  <c r="N40" i="4"/>
  <c r="O40" i="4"/>
  <c r="P40" i="4"/>
  <c r="E41" i="4"/>
  <c r="F41" i="4"/>
  <c r="G41" i="4"/>
  <c r="I41" i="4"/>
  <c r="J41" i="4"/>
  <c r="K41" i="4"/>
  <c r="L41" i="4"/>
  <c r="M41" i="4"/>
  <c r="N41" i="4"/>
  <c r="O41" i="4"/>
  <c r="P41" i="4"/>
  <c r="E42" i="4"/>
  <c r="F42" i="4"/>
  <c r="G42" i="4"/>
  <c r="I42" i="4"/>
  <c r="J42" i="4"/>
  <c r="K42" i="4"/>
  <c r="L42" i="4"/>
  <c r="M42" i="4"/>
  <c r="N42" i="4"/>
  <c r="O42" i="4"/>
  <c r="P42" i="4"/>
  <c r="E43" i="4"/>
  <c r="F43" i="4"/>
  <c r="G43" i="4"/>
  <c r="H43" i="4"/>
  <c r="L90" i="4" s="1"/>
  <c r="I43" i="4"/>
  <c r="J43" i="4"/>
  <c r="K43" i="4"/>
  <c r="L43" i="4"/>
  <c r="M43" i="4"/>
  <c r="N43" i="4"/>
  <c r="O43" i="4"/>
  <c r="P43" i="4"/>
  <c r="E39" i="1"/>
  <c r="F39" i="1"/>
  <c r="G39" i="1"/>
  <c r="H39" i="1"/>
  <c r="I39" i="1"/>
  <c r="J39" i="1"/>
  <c r="K39" i="1"/>
  <c r="L39" i="1"/>
  <c r="M39" i="1"/>
  <c r="N39" i="1"/>
  <c r="O39" i="1"/>
  <c r="P39" i="1"/>
  <c r="E40" i="1"/>
  <c r="F40" i="1"/>
  <c r="G40" i="1"/>
  <c r="H40" i="1"/>
  <c r="I40" i="1"/>
  <c r="J40" i="1"/>
  <c r="K40" i="1"/>
  <c r="L40" i="1"/>
  <c r="M40" i="1"/>
  <c r="N40" i="1"/>
  <c r="O40" i="1"/>
  <c r="P40" i="1"/>
  <c r="E41" i="1"/>
  <c r="F41" i="1"/>
  <c r="G41" i="1"/>
  <c r="I41" i="1"/>
  <c r="J41" i="1"/>
  <c r="K41" i="1"/>
  <c r="L41" i="1"/>
  <c r="M41" i="1"/>
  <c r="N41" i="1"/>
  <c r="O41" i="1"/>
  <c r="P41" i="1"/>
  <c r="E42" i="1"/>
  <c r="F42" i="1"/>
  <c r="G42" i="1"/>
  <c r="I42" i="1"/>
  <c r="J42" i="1"/>
  <c r="K42" i="1"/>
  <c r="L42" i="1"/>
  <c r="M42" i="1"/>
  <c r="N42" i="1"/>
  <c r="O42" i="1"/>
  <c r="P42" i="1"/>
  <c r="E43" i="1"/>
  <c r="F43" i="1"/>
  <c r="G43" i="1"/>
  <c r="H43" i="1"/>
  <c r="I43" i="1"/>
  <c r="J43" i="1"/>
  <c r="K43" i="1"/>
  <c r="L43" i="1"/>
  <c r="M43" i="1"/>
  <c r="N43" i="1"/>
  <c r="O43" i="1"/>
  <c r="P43" i="1"/>
  <c r="R90" i="20" l="1"/>
  <c r="L90" i="20" s="1"/>
  <c r="T91" i="20"/>
  <c r="N91" i="20"/>
  <c r="N92" i="20" s="1"/>
  <c r="N93" i="20" s="1"/>
  <c r="N94" i="20" s="1"/>
  <c r="L110" i="4"/>
  <c r="L111" i="4" s="1"/>
  <c r="L112" i="4" s="1"/>
  <c r="L113" i="4" s="1"/>
  <c r="L114" i="4" s="1"/>
  <c r="L91" i="4"/>
  <c r="L92" i="4" s="1"/>
  <c r="L93" i="4" s="1"/>
  <c r="L94" i="4" s="1"/>
  <c r="H92" i="23"/>
  <c r="H42" i="3"/>
  <c r="H90" i="20" l="1"/>
  <c r="R91" i="20"/>
  <c r="H42" i="23"/>
  <c r="H42" i="31"/>
  <c r="H42" i="6"/>
  <c r="H42" i="30"/>
  <c r="H42" i="29"/>
  <c r="H42" i="28"/>
  <c r="H42" i="27"/>
  <c r="H42" i="8"/>
  <c r="H94" i="23"/>
  <c r="H93" i="23"/>
  <c r="H41" i="3"/>
  <c r="H42" i="24"/>
  <c r="H42" i="4"/>
  <c r="H42" i="25"/>
  <c r="H42" i="20"/>
  <c r="H42" i="1"/>
  <c r="P38" i="20"/>
  <c r="O38" i="20"/>
  <c r="N38" i="20"/>
  <c r="M38" i="20"/>
  <c r="L38" i="20"/>
  <c r="K38" i="20"/>
  <c r="J38" i="20"/>
  <c r="I38" i="20"/>
  <c r="H38" i="20"/>
  <c r="G38" i="20"/>
  <c r="F38" i="20"/>
  <c r="E38" i="20"/>
  <c r="P37" i="20"/>
  <c r="O37" i="20"/>
  <c r="N37" i="20"/>
  <c r="M37" i="20"/>
  <c r="L37" i="20"/>
  <c r="K37" i="20"/>
  <c r="J37" i="20"/>
  <c r="I37" i="20"/>
  <c r="H37" i="20"/>
  <c r="Q90" i="20" s="1"/>
  <c r="K90" i="20" s="1"/>
  <c r="G37" i="20"/>
  <c r="F37" i="20"/>
  <c r="E37" i="20"/>
  <c r="P36" i="20"/>
  <c r="O36" i="20"/>
  <c r="N36" i="20"/>
  <c r="M36" i="20"/>
  <c r="L36" i="20"/>
  <c r="K36" i="20"/>
  <c r="J36" i="20"/>
  <c r="I36" i="20"/>
  <c r="G36" i="20"/>
  <c r="F36" i="20"/>
  <c r="E36" i="20"/>
  <c r="P35" i="20"/>
  <c r="O35" i="20"/>
  <c r="N35" i="20"/>
  <c r="M35" i="20"/>
  <c r="L35" i="20"/>
  <c r="K35" i="20"/>
  <c r="J35" i="20"/>
  <c r="I35" i="20"/>
  <c r="G35" i="20"/>
  <c r="F35" i="20"/>
  <c r="E35" i="20"/>
  <c r="P34" i="20"/>
  <c r="O34" i="20"/>
  <c r="N34" i="20"/>
  <c r="M34" i="20"/>
  <c r="L34" i="20"/>
  <c r="K34" i="20"/>
  <c r="J34" i="20"/>
  <c r="I34" i="20"/>
  <c r="H34" i="20"/>
  <c r="G34" i="20"/>
  <c r="F34" i="20"/>
  <c r="E34" i="20"/>
  <c r="P33" i="20"/>
  <c r="O33" i="20"/>
  <c r="N33" i="20"/>
  <c r="M33" i="20"/>
  <c r="L33" i="20"/>
  <c r="K33" i="20"/>
  <c r="J33" i="20"/>
  <c r="I33" i="20"/>
  <c r="H33" i="20"/>
  <c r="G33" i="20"/>
  <c r="F33" i="20"/>
  <c r="E33" i="20"/>
  <c r="P32" i="20"/>
  <c r="O32" i="20"/>
  <c r="N32" i="20"/>
  <c r="M32" i="20"/>
  <c r="L32" i="20"/>
  <c r="K32" i="20"/>
  <c r="J32" i="20"/>
  <c r="I32" i="20"/>
  <c r="H32" i="20"/>
  <c r="G32" i="20"/>
  <c r="F32" i="20"/>
  <c r="E32" i="20"/>
  <c r="P31" i="20"/>
  <c r="O31" i="20"/>
  <c r="N31" i="20"/>
  <c r="M31" i="20"/>
  <c r="L31" i="20"/>
  <c r="K31" i="20"/>
  <c r="J31" i="20"/>
  <c r="I31" i="20"/>
  <c r="H31" i="20"/>
  <c r="P90" i="20" s="1"/>
  <c r="G31" i="20"/>
  <c r="F31" i="20"/>
  <c r="E31" i="20"/>
  <c r="P30" i="20"/>
  <c r="O30" i="20"/>
  <c r="N30" i="20"/>
  <c r="M30" i="20"/>
  <c r="L30" i="20"/>
  <c r="K30" i="20"/>
  <c r="J30" i="20"/>
  <c r="I30" i="20"/>
  <c r="G30" i="20"/>
  <c r="F30" i="20"/>
  <c r="E30" i="20"/>
  <c r="P29" i="20"/>
  <c r="O29" i="20"/>
  <c r="N29" i="20"/>
  <c r="M29" i="20"/>
  <c r="L29" i="20"/>
  <c r="K29" i="20"/>
  <c r="J29" i="20"/>
  <c r="I29" i="20"/>
  <c r="G29" i="20"/>
  <c r="F29" i="20"/>
  <c r="E29" i="20"/>
  <c r="P28" i="20"/>
  <c r="O28" i="20"/>
  <c r="N28" i="20"/>
  <c r="M28" i="20"/>
  <c r="L28" i="20"/>
  <c r="K28" i="20"/>
  <c r="J28" i="20"/>
  <c r="I28" i="20"/>
  <c r="H28" i="20"/>
  <c r="G28" i="20"/>
  <c r="F28" i="20"/>
  <c r="E28" i="20"/>
  <c r="P27" i="20"/>
  <c r="O27" i="20"/>
  <c r="N27" i="20"/>
  <c r="M27" i="20"/>
  <c r="L27" i="20"/>
  <c r="K27" i="20"/>
  <c r="J27" i="20"/>
  <c r="I27" i="20"/>
  <c r="H27" i="20"/>
  <c r="G27" i="20"/>
  <c r="F27" i="20"/>
  <c r="E27" i="20"/>
  <c r="P26" i="20"/>
  <c r="O26" i="20"/>
  <c r="N26" i="20"/>
  <c r="M26" i="20"/>
  <c r="L26" i="20"/>
  <c r="K26" i="20"/>
  <c r="J26" i="20"/>
  <c r="I26" i="20"/>
  <c r="G26" i="20"/>
  <c r="F26" i="20"/>
  <c r="E26" i="20"/>
  <c r="P25" i="20"/>
  <c r="O25" i="20"/>
  <c r="N25" i="20"/>
  <c r="M25" i="20"/>
  <c r="L25" i="20"/>
  <c r="K25" i="20"/>
  <c r="J25" i="20"/>
  <c r="I25" i="20"/>
  <c r="G25" i="20"/>
  <c r="F25" i="20"/>
  <c r="E25" i="20"/>
  <c r="P24" i="20"/>
  <c r="O24" i="20"/>
  <c r="N24" i="20"/>
  <c r="M24" i="20"/>
  <c r="L24" i="20"/>
  <c r="K24" i="20"/>
  <c r="J24" i="20"/>
  <c r="I24" i="20"/>
  <c r="G24" i="20"/>
  <c r="F24" i="20"/>
  <c r="E24" i="20"/>
  <c r="P23" i="20"/>
  <c r="O23" i="20"/>
  <c r="N23" i="20"/>
  <c r="M23" i="20"/>
  <c r="L23" i="20"/>
  <c r="K23" i="20"/>
  <c r="J23" i="20"/>
  <c r="I23" i="20"/>
  <c r="H23" i="20"/>
  <c r="G23" i="20"/>
  <c r="F23" i="20"/>
  <c r="E23" i="20"/>
  <c r="P22" i="20"/>
  <c r="O22" i="20"/>
  <c r="N22" i="20"/>
  <c r="M22" i="20"/>
  <c r="L22" i="20"/>
  <c r="K22" i="20"/>
  <c r="J22" i="20"/>
  <c r="I22" i="20"/>
  <c r="H22" i="20"/>
  <c r="G22" i="20"/>
  <c r="F22" i="20"/>
  <c r="E22" i="20"/>
  <c r="P21" i="20"/>
  <c r="O21" i="20"/>
  <c r="N21" i="20"/>
  <c r="M21" i="20"/>
  <c r="L21" i="20"/>
  <c r="K21" i="20"/>
  <c r="J21" i="20"/>
  <c r="I21" i="20"/>
  <c r="G21" i="20"/>
  <c r="F21" i="20"/>
  <c r="E21" i="20"/>
  <c r="P20" i="20"/>
  <c r="O20" i="20"/>
  <c r="N20" i="20"/>
  <c r="M20" i="20"/>
  <c r="L20" i="20"/>
  <c r="K20" i="20"/>
  <c r="J20" i="20"/>
  <c r="I20" i="20"/>
  <c r="G20" i="20"/>
  <c r="F20" i="20"/>
  <c r="E20" i="20"/>
  <c r="P19" i="20"/>
  <c r="O19" i="20"/>
  <c r="N19" i="20"/>
  <c r="M19" i="20"/>
  <c r="L19" i="20"/>
  <c r="K19" i="20"/>
  <c r="J19" i="20"/>
  <c r="I19" i="20"/>
  <c r="H19" i="20"/>
  <c r="G19" i="20"/>
  <c r="F19" i="20"/>
  <c r="E19" i="20"/>
  <c r="P18" i="20"/>
  <c r="O18" i="20"/>
  <c r="N18" i="20"/>
  <c r="M18" i="20"/>
  <c r="L18" i="20"/>
  <c r="K18" i="20"/>
  <c r="J18" i="20"/>
  <c r="I18" i="20"/>
  <c r="H18" i="20"/>
  <c r="G18" i="20"/>
  <c r="F18" i="20"/>
  <c r="E18" i="20"/>
  <c r="P17" i="20"/>
  <c r="O17" i="20"/>
  <c r="N17" i="20"/>
  <c r="M17" i="20"/>
  <c r="L17" i="20"/>
  <c r="K17" i="20"/>
  <c r="J17" i="20"/>
  <c r="I17" i="20"/>
  <c r="H17" i="20"/>
  <c r="G17" i="20"/>
  <c r="F17" i="20"/>
  <c r="E17" i="20"/>
  <c r="P16" i="20"/>
  <c r="O16" i="20"/>
  <c r="N16" i="20"/>
  <c r="M16" i="20"/>
  <c r="L16" i="20"/>
  <c r="K16" i="20"/>
  <c r="J16" i="20"/>
  <c r="I16" i="20"/>
  <c r="H16" i="20"/>
  <c r="G16" i="20"/>
  <c r="F16" i="20"/>
  <c r="E16" i="20"/>
  <c r="P15" i="20"/>
  <c r="O15" i="20"/>
  <c r="N15" i="20"/>
  <c r="M15" i="20"/>
  <c r="L15" i="20"/>
  <c r="K15" i="20"/>
  <c r="J15" i="20"/>
  <c r="I15" i="20"/>
  <c r="G15" i="20"/>
  <c r="F15" i="20"/>
  <c r="E15" i="20"/>
  <c r="P14" i="20"/>
  <c r="O14" i="20"/>
  <c r="N14" i="20"/>
  <c r="M14" i="20"/>
  <c r="L14" i="20"/>
  <c r="K14" i="20"/>
  <c r="J14" i="20"/>
  <c r="I14" i="20"/>
  <c r="G14" i="20"/>
  <c r="F14" i="20"/>
  <c r="E14" i="20"/>
  <c r="P13" i="20"/>
  <c r="O13" i="20"/>
  <c r="N13" i="20"/>
  <c r="M13" i="20"/>
  <c r="L13" i="20"/>
  <c r="K13" i="20"/>
  <c r="J13" i="20"/>
  <c r="I13" i="20"/>
  <c r="H13" i="20"/>
  <c r="G13" i="20"/>
  <c r="F13" i="20"/>
  <c r="E13" i="20"/>
  <c r="P12" i="20"/>
  <c r="O12" i="20"/>
  <c r="N12" i="20"/>
  <c r="M12" i="20"/>
  <c r="L12" i="20"/>
  <c r="K12" i="20"/>
  <c r="J12" i="20"/>
  <c r="I12" i="20"/>
  <c r="H12" i="20"/>
  <c r="G12" i="20"/>
  <c r="F12" i="20"/>
  <c r="E12" i="20"/>
  <c r="P10" i="20"/>
  <c r="O10" i="20"/>
  <c r="N10" i="20"/>
  <c r="M10" i="20"/>
  <c r="L10" i="20"/>
  <c r="K10" i="20"/>
  <c r="J10" i="20"/>
  <c r="I10" i="20"/>
  <c r="H10" i="20"/>
  <c r="G10" i="20"/>
  <c r="F10" i="20"/>
  <c r="E10" i="20"/>
  <c r="P38" i="4"/>
  <c r="O38" i="4"/>
  <c r="N38" i="4"/>
  <c r="M38" i="4"/>
  <c r="L38" i="4"/>
  <c r="K38" i="4"/>
  <c r="J38" i="4"/>
  <c r="I38" i="4"/>
  <c r="H38" i="4"/>
  <c r="G38" i="4"/>
  <c r="F38" i="4"/>
  <c r="E38" i="4"/>
  <c r="P37" i="4"/>
  <c r="O37" i="4"/>
  <c r="N37" i="4"/>
  <c r="M37" i="4"/>
  <c r="L37" i="4"/>
  <c r="K37" i="4"/>
  <c r="J37" i="4"/>
  <c r="I37" i="4"/>
  <c r="H37" i="4"/>
  <c r="G37" i="4"/>
  <c r="F37" i="4"/>
  <c r="E37" i="4"/>
  <c r="P36" i="4"/>
  <c r="O36" i="4"/>
  <c r="N36" i="4"/>
  <c r="M36" i="4"/>
  <c r="L36" i="4"/>
  <c r="K36" i="4"/>
  <c r="J36" i="4"/>
  <c r="I36" i="4"/>
  <c r="G36" i="4"/>
  <c r="F36" i="4"/>
  <c r="E36" i="4"/>
  <c r="P35" i="4"/>
  <c r="O35" i="4"/>
  <c r="N35" i="4"/>
  <c r="M35" i="4"/>
  <c r="L35" i="4"/>
  <c r="K35" i="4"/>
  <c r="J35" i="4"/>
  <c r="I35" i="4"/>
  <c r="G35" i="4"/>
  <c r="F35" i="4"/>
  <c r="E35" i="4"/>
  <c r="P34" i="4"/>
  <c r="O34" i="4"/>
  <c r="N34" i="4"/>
  <c r="M34" i="4"/>
  <c r="L34" i="4"/>
  <c r="K34" i="4"/>
  <c r="J34" i="4"/>
  <c r="I34" i="4"/>
  <c r="H34" i="4"/>
  <c r="G34" i="4"/>
  <c r="F34" i="4"/>
  <c r="E34" i="4"/>
  <c r="P33" i="4"/>
  <c r="O33" i="4"/>
  <c r="N33" i="4"/>
  <c r="M33" i="4"/>
  <c r="L33" i="4"/>
  <c r="K33" i="4"/>
  <c r="J33" i="4"/>
  <c r="I33" i="4"/>
  <c r="H33" i="4"/>
  <c r="G33" i="4"/>
  <c r="F33" i="4"/>
  <c r="E33" i="4"/>
  <c r="P32" i="4"/>
  <c r="O32" i="4"/>
  <c r="N32" i="4"/>
  <c r="M32" i="4"/>
  <c r="L32" i="4"/>
  <c r="K32" i="4"/>
  <c r="J32" i="4"/>
  <c r="I32" i="4"/>
  <c r="H32" i="4"/>
  <c r="G32" i="4"/>
  <c r="F32" i="4"/>
  <c r="E32" i="4"/>
  <c r="P31" i="4"/>
  <c r="O31" i="4"/>
  <c r="N31" i="4"/>
  <c r="M31" i="4"/>
  <c r="L31" i="4"/>
  <c r="K31" i="4"/>
  <c r="J31" i="4"/>
  <c r="I31" i="4"/>
  <c r="H31" i="4"/>
  <c r="K90" i="4" s="1"/>
  <c r="G31" i="4"/>
  <c r="F31" i="4"/>
  <c r="E31" i="4"/>
  <c r="P30" i="4"/>
  <c r="O30" i="4"/>
  <c r="N30" i="4"/>
  <c r="M30" i="4"/>
  <c r="L30" i="4"/>
  <c r="K30" i="4"/>
  <c r="J30" i="4"/>
  <c r="I30" i="4"/>
  <c r="G30" i="4"/>
  <c r="F30" i="4"/>
  <c r="E30" i="4"/>
  <c r="P29" i="4"/>
  <c r="O29" i="4"/>
  <c r="N29" i="4"/>
  <c r="M29" i="4"/>
  <c r="L29" i="4"/>
  <c r="K29" i="4"/>
  <c r="J29" i="4"/>
  <c r="I29" i="4"/>
  <c r="G29" i="4"/>
  <c r="F29" i="4"/>
  <c r="E29" i="4"/>
  <c r="P28" i="4"/>
  <c r="O28" i="4"/>
  <c r="N28" i="4"/>
  <c r="M28" i="4"/>
  <c r="L28" i="4"/>
  <c r="K28" i="4"/>
  <c r="J28" i="4"/>
  <c r="I28" i="4"/>
  <c r="H28" i="4"/>
  <c r="G28" i="4"/>
  <c r="F28" i="4"/>
  <c r="E28" i="4"/>
  <c r="P27" i="4"/>
  <c r="O27" i="4"/>
  <c r="N27" i="4"/>
  <c r="M27" i="4"/>
  <c r="L27" i="4"/>
  <c r="K27" i="4"/>
  <c r="J27" i="4"/>
  <c r="I27" i="4"/>
  <c r="H27" i="4"/>
  <c r="G27" i="4"/>
  <c r="F27" i="4"/>
  <c r="E27" i="4"/>
  <c r="P26" i="4"/>
  <c r="O26" i="4"/>
  <c r="N26" i="4"/>
  <c r="M26" i="4"/>
  <c r="L26" i="4"/>
  <c r="K26" i="4"/>
  <c r="J26" i="4"/>
  <c r="I26" i="4"/>
  <c r="G26" i="4"/>
  <c r="F26" i="4"/>
  <c r="E26" i="4"/>
  <c r="P25" i="4"/>
  <c r="O25" i="4"/>
  <c r="N25" i="4"/>
  <c r="M25" i="4"/>
  <c r="L25" i="4"/>
  <c r="K25" i="4"/>
  <c r="J25" i="4"/>
  <c r="I25" i="4"/>
  <c r="G25" i="4"/>
  <c r="F25" i="4"/>
  <c r="E25" i="4"/>
  <c r="P24" i="4"/>
  <c r="O24" i="4"/>
  <c r="N24" i="4"/>
  <c r="M24" i="4"/>
  <c r="L24" i="4"/>
  <c r="K24" i="4"/>
  <c r="J24" i="4"/>
  <c r="I24" i="4"/>
  <c r="G24" i="4"/>
  <c r="F24" i="4"/>
  <c r="E24" i="4"/>
  <c r="P23" i="4"/>
  <c r="O23" i="4"/>
  <c r="N23" i="4"/>
  <c r="M23" i="4"/>
  <c r="L23" i="4"/>
  <c r="K23" i="4"/>
  <c r="J23" i="4"/>
  <c r="I23" i="4"/>
  <c r="H23" i="4"/>
  <c r="G23" i="4"/>
  <c r="F23" i="4"/>
  <c r="E23" i="4"/>
  <c r="P22" i="4"/>
  <c r="O22" i="4"/>
  <c r="N22" i="4"/>
  <c r="M22" i="4"/>
  <c r="L22" i="4"/>
  <c r="K22" i="4"/>
  <c r="J22" i="4"/>
  <c r="I22" i="4"/>
  <c r="H22" i="4"/>
  <c r="G22" i="4"/>
  <c r="F22" i="4"/>
  <c r="E22" i="4"/>
  <c r="P21" i="4"/>
  <c r="O21" i="4"/>
  <c r="N21" i="4"/>
  <c r="M21" i="4"/>
  <c r="L21" i="4"/>
  <c r="K21" i="4"/>
  <c r="J21" i="4"/>
  <c r="I21" i="4"/>
  <c r="G21" i="4"/>
  <c r="F21" i="4"/>
  <c r="E21" i="4"/>
  <c r="P20" i="4"/>
  <c r="O20" i="4"/>
  <c r="N20" i="4"/>
  <c r="M20" i="4"/>
  <c r="L20" i="4"/>
  <c r="K20" i="4"/>
  <c r="J20" i="4"/>
  <c r="I20" i="4"/>
  <c r="G20" i="4"/>
  <c r="F20" i="4"/>
  <c r="E20" i="4"/>
  <c r="P19" i="4"/>
  <c r="O19" i="4"/>
  <c r="N19" i="4"/>
  <c r="M19" i="4"/>
  <c r="L19" i="4"/>
  <c r="K19" i="4"/>
  <c r="J19" i="4"/>
  <c r="I19" i="4"/>
  <c r="H19" i="4"/>
  <c r="G19" i="4"/>
  <c r="F19" i="4"/>
  <c r="E19" i="4"/>
  <c r="P18" i="4"/>
  <c r="O18" i="4"/>
  <c r="N18" i="4"/>
  <c r="M18" i="4"/>
  <c r="L18" i="4"/>
  <c r="K18" i="4"/>
  <c r="J18" i="4"/>
  <c r="I18" i="4"/>
  <c r="H18" i="4"/>
  <c r="G18" i="4"/>
  <c r="F18" i="4"/>
  <c r="E18" i="4"/>
  <c r="P17" i="4"/>
  <c r="O17" i="4"/>
  <c r="N17" i="4"/>
  <c r="M17" i="4"/>
  <c r="L17" i="4"/>
  <c r="K17" i="4"/>
  <c r="J17" i="4"/>
  <c r="I17" i="4"/>
  <c r="H17" i="4"/>
  <c r="G17" i="4"/>
  <c r="F17" i="4"/>
  <c r="E17" i="4"/>
  <c r="P16" i="4"/>
  <c r="O16" i="4"/>
  <c r="N16" i="4"/>
  <c r="M16" i="4"/>
  <c r="L16" i="4"/>
  <c r="K16" i="4"/>
  <c r="J16" i="4"/>
  <c r="I16" i="4"/>
  <c r="H16" i="4"/>
  <c r="J90" i="4" s="1"/>
  <c r="G16" i="4"/>
  <c r="F16" i="4"/>
  <c r="E16" i="4"/>
  <c r="P15" i="4"/>
  <c r="O15" i="4"/>
  <c r="N15" i="4"/>
  <c r="M15" i="4"/>
  <c r="L15" i="4"/>
  <c r="K15" i="4"/>
  <c r="J15" i="4"/>
  <c r="I15" i="4"/>
  <c r="G15" i="4"/>
  <c r="F15" i="4"/>
  <c r="E15" i="4"/>
  <c r="P14" i="4"/>
  <c r="O14" i="4"/>
  <c r="N14" i="4"/>
  <c r="M14" i="4"/>
  <c r="L14" i="4"/>
  <c r="K14" i="4"/>
  <c r="J14" i="4"/>
  <c r="I14" i="4"/>
  <c r="G14" i="4"/>
  <c r="F14" i="4"/>
  <c r="E14" i="4"/>
  <c r="P13" i="4"/>
  <c r="O13" i="4"/>
  <c r="N13" i="4"/>
  <c r="M13" i="4"/>
  <c r="L13" i="4"/>
  <c r="K13" i="4"/>
  <c r="J13" i="4"/>
  <c r="I13" i="4"/>
  <c r="H13" i="4"/>
  <c r="G13" i="4"/>
  <c r="F13" i="4"/>
  <c r="E13" i="4"/>
  <c r="P12" i="4"/>
  <c r="O12" i="4"/>
  <c r="N12" i="4"/>
  <c r="M12" i="4"/>
  <c r="L12" i="4"/>
  <c r="K12" i="4"/>
  <c r="J12" i="4"/>
  <c r="I12" i="4"/>
  <c r="H12" i="4"/>
  <c r="G12" i="4"/>
  <c r="F12" i="4"/>
  <c r="E12" i="4"/>
  <c r="P10" i="4"/>
  <c r="O10" i="4"/>
  <c r="N10" i="4"/>
  <c r="M10" i="4"/>
  <c r="L10" i="4"/>
  <c r="K10" i="4"/>
  <c r="J10" i="4"/>
  <c r="I10" i="4"/>
  <c r="H10" i="4"/>
  <c r="G10" i="4"/>
  <c r="F10" i="4"/>
  <c r="L90" i="1"/>
  <c r="L91" i="1"/>
  <c r="L92" i="1"/>
  <c r="L93" i="1"/>
  <c r="L94" i="1"/>
  <c r="I90" i="1"/>
  <c r="R92" i="20" l="1"/>
  <c r="R93" i="20" s="1"/>
  <c r="R94" i="20" s="1"/>
  <c r="O90" i="20"/>
  <c r="O91" i="20" s="1"/>
  <c r="O92" i="20" s="1"/>
  <c r="O93" i="20" s="1"/>
  <c r="O94" i="20" s="1"/>
  <c r="U91" i="20"/>
  <c r="Q91" i="20"/>
  <c r="Q92" i="20" s="1"/>
  <c r="Q93" i="20" s="1"/>
  <c r="Q94" i="20" s="1"/>
  <c r="J91" i="4"/>
  <c r="J92" i="4" s="1"/>
  <c r="J93" i="4" s="1"/>
  <c r="J94" i="4" s="1"/>
  <c r="J110" i="4"/>
  <c r="J111" i="4" s="1"/>
  <c r="J112" i="4" s="1"/>
  <c r="J113" i="4" s="1"/>
  <c r="J114" i="4" s="1"/>
  <c r="P91" i="20"/>
  <c r="P92" i="20" s="1"/>
  <c r="P93" i="20" s="1"/>
  <c r="P94" i="20" s="1"/>
  <c r="H41" i="23"/>
  <c r="H41" i="31"/>
  <c r="H41" i="6"/>
  <c r="H41" i="30"/>
  <c r="H41" i="29"/>
  <c r="H41" i="28"/>
  <c r="H41" i="8"/>
  <c r="H41" i="27"/>
  <c r="K110" i="4"/>
  <c r="K111" i="4" s="1"/>
  <c r="K112" i="4" s="1"/>
  <c r="K113" i="4" s="1"/>
  <c r="K114" i="4" s="1"/>
  <c r="K91" i="4"/>
  <c r="K92" i="4" s="1"/>
  <c r="K93" i="4" s="1"/>
  <c r="K94" i="4" s="1"/>
  <c r="I90" i="20"/>
  <c r="H41" i="24"/>
  <c r="H41" i="25"/>
  <c r="H41" i="20"/>
  <c r="H41" i="1"/>
  <c r="H41" i="4"/>
  <c r="V91" i="20"/>
  <c r="H59" i="1"/>
  <c r="H60" i="1"/>
  <c r="H61" i="1"/>
  <c r="H62" i="1"/>
  <c r="H63" i="1"/>
  <c r="H69" i="1"/>
  <c r="H70" i="1"/>
  <c r="H71" i="1"/>
  <c r="H72" i="1"/>
  <c r="P38" i="1"/>
  <c r="O38" i="1"/>
  <c r="N38" i="1"/>
  <c r="M38" i="1"/>
  <c r="L38" i="1"/>
  <c r="K38" i="1"/>
  <c r="J38" i="1"/>
  <c r="I38" i="1"/>
  <c r="H38" i="1"/>
  <c r="G38" i="1"/>
  <c r="F38" i="1"/>
  <c r="E38" i="1"/>
  <c r="P37" i="1"/>
  <c r="O37" i="1"/>
  <c r="N37" i="1"/>
  <c r="M37" i="1"/>
  <c r="L37" i="1"/>
  <c r="K37" i="1"/>
  <c r="J37" i="1"/>
  <c r="I37" i="1"/>
  <c r="H37" i="1"/>
  <c r="G37" i="1"/>
  <c r="F37" i="1"/>
  <c r="E37" i="1"/>
  <c r="P36" i="1"/>
  <c r="O36" i="1"/>
  <c r="N36" i="1"/>
  <c r="M36" i="1"/>
  <c r="L36" i="1"/>
  <c r="K36" i="1"/>
  <c r="J36" i="1"/>
  <c r="I36" i="1"/>
  <c r="G36" i="1"/>
  <c r="F36" i="1"/>
  <c r="E36" i="1"/>
  <c r="P35" i="1"/>
  <c r="O35" i="1"/>
  <c r="N35" i="1"/>
  <c r="M35" i="1"/>
  <c r="L35" i="1"/>
  <c r="K35" i="1"/>
  <c r="J35" i="1"/>
  <c r="I35" i="1"/>
  <c r="G35" i="1"/>
  <c r="F35" i="1"/>
  <c r="E35" i="1"/>
  <c r="P34" i="1"/>
  <c r="O34" i="1"/>
  <c r="N34" i="1"/>
  <c r="M34" i="1"/>
  <c r="L34" i="1"/>
  <c r="K34" i="1"/>
  <c r="J34" i="1"/>
  <c r="I34" i="1"/>
  <c r="H34" i="1"/>
  <c r="G34" i="1"/>
  <c r="F34" i="1"/>
  <c r="E34" i="1"/>
  <c r="P33" i="1"/>
  <c r="O33" i="1"/>
  <c r="N33" i="1"/>
  <c r="M33" i="1"/>
  <c r="L33" i="1"/>
  <c r="K33" i="1"/>
  <c r="J33" i="1"/>
  <c r="I33" i="1"/>
  <c r="H33" i="1"/>
  <c r="G33" i="1"/>
  <c r="F33" i="1"/>
  <c r="E33" i="1"/>
  <c r="P32" i="1"/>
  <c r="O32" i="1"/>
  <c r="N32" i="1"/>
  <c r="M32" i="1"/>
  <c r="L32" i="1"/>
  <c r="K32" i="1"/>
  <c r="J32" i="1"/>
  <c r="I32" i="1"/>
  <c r="H32" i="1"/>
  <c r="G32" i="1"/>
  <c r="F32" i="1"/>
  <c r="E32" i="1"/>
  <c r="P31" i="1"/>
  <c r="O31" i="1"/>
  <c r="N31" i="1"/>
  <c r="M31" i="1"/>
  <c r="L31" i="1"/>
  <c r="K31" i="1"/>
  <c r="J31" i="1"/>
  <c r="I31" i="1"/>
  <c r="H31" i="1"/>
  <c r="G31" i="1"/>
  <c r="F31" i="1"/>
  <c r="E31" i="1"/>
  <c r="P30" i="1"/>
  <c r="O30" i="1"/>
  <c r="N30" i="1"/>
  <c r="M30" i="1"/>
  <c r="L30" i="1"/>
  <c r="K30" i="1"/>
  <c r="J30" i="1"/>
  <c r="I30" i="1"/>
  <c r="G30" i="1"/>
  <c r="F30" i="1"/>
  <c r="E30" i="1"/>
  <c r="P29" i="1"/>
  <c r="O29" i="1"/>
  <c r="N29" i="1"/>
  <c r="M29" i="1"/>
  <c r="L29" i="1"/>
  <c r="K29" i="1"/>
  <c r="J29" i="1"/>
  <c r="I29" i="1"/>
  <c r="G29" i="1"/>
  <c r="F29" i="1"/>
  <c r="E29" i="1"/>
  <c r="P28" i="1"/>
  <c r="O28" i="1"/>
  <c r="N28" i="1"/>
  <c r="M28" i="1"/>
  <c r="L28" i="1"/>
  <c r="K28" i="1"/>
  <c r="J28" i="1"/>
  <c r="I28" i="1"/>
  <c r="H28" i="1"/>
  <c r="G28" i="1"/>
  <c r="F28" i="1"/>
  <c r="E28" i="1"/>
  <c r="P27" i="1"/>
  <c r="O27" i="1"/>
  <c r="N27" i="1"/>
  <c r="M27" i="1"/>
  <c r="L27" i="1"/>
  <c r="K27" i="1"/>
  <c r="J27" i="1"/>
  <c r="I27" i="1"/>
  <c r="H27" i="1"/>
  <c r="G27" i="1"/>
  <c r="F27" i="1"/>
  <c r="E27" i="1"/>
  <c r="P26" i="1"/>
  <c r="O26" i="1"/>
  <c r="N26" i="1"/>
  <c r="M26" i="1"/>
  <c r="L26" i="1"/>
  <c r="K26" i="1"/>
  <c r="J26" i="1"/>
  <c r="I26" i="1"/>
  <c r="G26" i="1"/>
  <c r="F26" i="1"/>
  <c r="E26" i="1"/>
  <c r="P25" i="1"/>
  <c r="O25" i="1"/>
  <c r="N25" i="1"/>
  <c r="M25" i="1"/>
  <c r="L25" i="1"/>
  <c r="K25" i="1"/>
  <c r="J25" i="1"/>
  <c r="I25" i="1"/>
  <c r="G25" i="1"/>
  <c r="F25" i="1"/>
  <c r="E25" i="1"/>
  <c r="P24" i="1"/>
  <c r="O24" i="1"/>
  <c r="N24" i="1"/>
  <c r="M24" i="1"/>
  <c r="L24" i="1"/>
  <c r="K24" i="1"/>
  <c r="J24" i="1"/>
  <c r="I24" i="1"/>
  <c r="G24" i="1"/>
  <c r="F24" i="1"/>
  <c r="E24" i="1"/>
  <c r="P23" i="1"/>
  <c r="O23" i="1"/>
  <c r="N23" i="1"/>
  <c r="M23" i="1"/>
  <c r="L23" i="1"/>
  <c r="K23" i="1"/>
  <c r="J23" i="1"/>
  <c r="I23" i="1"/>
  <c r="H23" i="1"/>
  <c r="G23" i="1"/>
  <c r="F23" i="1"/>
  <c r="E23" i="1"/>
  <c r="P22" i="1"/>
  <c r="O22" i="1"/>
  <c r="N22" i="1"/>
  <c r="M22" i="1"/>
  <c r="L22" i="1"/>
  <c r="K22" i="1"/>
  <c r="J22" i="1"/>
  <c r="I22" i="1"/>
  <c r="H22" i="1"/>
  <c r="G22" i="1"/>
  <c r="F22" i="1"/>
  <c r="E22" i="1"/>
  <c r="P21" i="1"/>
  <c r="O21" i="1"/>
  <c r="N21" i="1"/>
  <c r="M21" i="1"/>
  <c r="L21" i="1"/>
  <c r="K21" i="1"/>
  <c r="J21" i="1"/>
  <c r="I21" i="1"/>
  <c r="G21" i="1"/>
  <c r="F21" i="1"/>
  <c r="E21" i="1"/>
  <c r="P20" i="1"/>
  <c r="O20" i="1"/>
  <c r="N20" i="1"/>
  <c r="M20" i="1"/>
  <c r="L20" i="1"/>
  <c r="K20" i="1"/>
  <c r="J20" i="1"/>
  <c r="I20" i="1"/>
  <c r="G20" i="1"/>
  <c r="F20" i="1"/>
  <c r="E20" i="1"/>
  <c r="P19" i="1"/>
  <c r="O19" i="1"/>
  <c r="N19" i="1"/>
  <c r="M19" i="1"/>
  <c r="L19" i="1"/>
  <c r="K19" i="1"/>
  <c r="J19" i="1"/>
  <c r="I19" i="1"/>
  <c r="H19" i="1"/>
  <c r="G19" i="1"/>
  <c r="F19" i="1"/>
  <c r="E19" i="1"/>
  <c r="P18" i="1"/>
  <c r="O18" i="1"/>
  <c r="N18" i="1"/>
  <c r="M18" i="1"/>
  <c r="L18" i="1"/>
  <c r="K18" i="1"/>
  <c r="J18" i="1"/>
  <c r="I18" i="1"/>
  <c r="H18" i="1"/>
  <c r="G18" i="1"/>
  <c r="F18" i="1"/>
  <c r="E18" i="1"/>
  <c r="P17" i="1"/>
  <c r="O17" i="1"/>
  <c r="N17" i="1"/>
  <c r="M17" i="1"/>
  <c r="L17" i="1"/>
  <c r="K17" i="1"/>
  <c r="J17" i="1"/>
  <c r="I17" i="1"/>
  <c r="H17" i="1"/>
  <c r="G17" i="1"/>
  <c r="F17" i="1"/>
  <c r="E17" i="1"/>
  <c r="P16" i="1"/>
  <c r="O16" i="1"/>
  <c r="N16" i="1"/>
  <c r="M16" i="1"/>
  <c r="L16" i="1"/>
  <c r="K16" i="1"/>
  <c r="J16" i="1"/>
  <c r="I16" i="1"/>
  <c r="H16" i="1"/>
  <c r="G16" i="1"/>
  <c r="F16" i="1"/>
  <c r="E16" i="1"/>
  <c r="P15" i="1"/>
  <c r="O15" i="1"/>
  <c r="N15" i="1"/>
  <c r="M15" i="1"/>
  <c r="L15" i="1"/>
  <c r="K15" i="1"/>
  <c r="J15" i="1"/>
  <c r="I15" i="1"/>
  <c r="G15" i="1"/>
  <c r="F15" i="1"/>
  <c r="E15" i="1"/>
  <c r="P14" i="1"/>
  <c r="O14" i="1"/>
  <c r="N14" i="1"/>
  <c r="M14" i="1"/>
  <c r="L14" i="1"/>
  <c r="K14" i="1"/>
  <c r="J14" i="1"/>
  <c r="I14" i="1"/>
  <c r="G14" i="1"/>
  <c r="F14" i="1"/>
  <c r="E14" i="1"/>
  <c r="P13" i="1"/>
  <c r="O13" i="1"/>
  <c r="N13" i="1"/>
  <c r="M13" i="1"/>
  <c r="L13" i="1"/>
  <c r="K13" i="1"/>
  <c r="J13" i="1"/>
  <c r="I13" i="1"/>
  <c r="H13" i="1"/>
  <c r="G13" i="1"/>
  <c r="F13" i="1"/>
  <c r="E13" i="1"/>
  <c r="P12" i="1"/>
  <c r="O12" i="1"/>
  <c r="N12" i="1"/>
  <c r="M12" i="1"/>
  <c r="L12" i="1"/>
  <c r="K12" i="1"/>
  <c r="J12" i="1"/>
  <c r="I12" i="1"/>
  <c r="H12" i="1"/>
  <c r="G12" i="1"/>
  <c r="F12" i="1"/>
  <c r="E12" i="1"/>
  <c r="F10" i="1"/>
  <c r="G10" i="1"/>
  <c r="H10" i="1"/>
  <c r="I10" i="1"/>
  <c r="J10" i="1"/>
  <c r="K10" i="1"/>
  <c r="L10" i="1"/>
  <c r="M10" i="1"/>
  <c r="N10" i="1"/>
  <c r="O10" i="1"/>
  <c r="P10" i="1"/>
  <c r="E10" i="1"/>
  <c r="H36" i="3"/>
  <c r="H30" i="3"/>
  <c r="H25" i="3"/>
  <c r="H20" i="3"/>
  <c r="H15" i="3"/>
  <c r="J90" i="20" l="1"/>
  <c r="H36" i="23"/>
  <c r="H36" i="31"/>
  <c r="H36" i="6"/>
  <c r="H36" i="30"/>
  <c r="H36" i="29"/>
  <c r="H36" i="28"/>
  <c r="H36" i="27"/>
  <c r="H36" i="8"/>
  <c r="H25" i="23"/>
  <c r="H25" i="31"/>
  <c r="H25" i="6"/>
  <c r="H25" i="30"/>
  <c r="H25" i="29"/>
  <c r="H25" i="28"/>
  <c r="H25" i="8"/>
  <c r="H25" i="27"/>
  <c r="H15" i="23"/>
  <c r="H15" i="31"/>
  <c r="H15" i="6"/>
  <c r="H15" i="30"/>
  <c r="H15" i="29"/>
  <c r="L78" i="29" s="1"/>
  <c r="H15" i="28"/>
  <c r="H15" i="27"/>
  <c r="U80" i="27" s="1"/>
  <c r="U82" i="27" s="1"/>
  <c r="H15" i="8"/>
  <c r="H20" i="23"/>
  <c r="H20" i="31"/>
  <c r="H20" i="6"/>
  <c r="H20" i="30"/>
  <c r="H20" i="29"/>
  <c r="H20" i="28"/>
  <c r="H20" i="27"/>
  <c r="H20" i="8"/>
  <c r="H30" i="23"/>
  <c r="H30" i="31"/>
  <c r="H30" i="6"/>
  <c r="H30" i="30"/>
  <c r="H30" i="29"/>
  <c r="H30" i="28"/>
  <c r="H30" i="27"/>
  <c r="H30" i="8"/>
  <c r="H36" i="24"/>
  <c r="H36" i="25"/>
  <c r="H15" i="24"/>
  <c r="H15" i="25"/>
  <c r="H20" i="24"/>
  <c r="H20" i="25"/>
  <c r="H21" i="3"/>
  <c r="H25" i="24"/>
  <c r="H25" i="25"/>
  <c r="H30" i="24"/>
  <c r="H30" i="25"/>
  <c r="H15" i="1"/>
  <c r="H15" i="20"/>
  <c r="H15" i="4"/>
  <c r="H20" i="4"/>
  <c r="H20" i="20"/>
  <c r="H25" i="1"/>
  <c r="H25" i="20"/>
  <c r="H25" i="4"/>
  <c r="H30" i="1"/>
  <c r="H30" i="4"/>
  <c r="H30" i="20"/>
  <c r="H36" i="1"/>
  <c r="H36" i="4"/>
  <c r="H36" i="20"/>
  <c r="H20" i="1"/>
  <c r="H51" i="3"/>
  <c r="H50" i="3" s="1"/>
  <c r="H35" i="3"/>
  <c r="H29" i="3"/>
  <c r="H24" i="3"/>
  <c r="H14" i="3"/>
  <c r="L78" i="20" l="1"/>
  <c r="H14" i="23"/>
  <c r="H14" i="31"/>
  <c r="H14" i="6"/>
  <c r="H14" i="30"/>
  <c r="H14" i="29"/>
  <c r="H14" i="28"/>
  <c r="H14" i="27"/>
  <c r="H14" i="8"/>
  <c r="H29" i="23"/>
  <c r="H29" i="31"/>
  <c r="H29" i="6"/>
  <c r="H29" i="30"/>
  <c r="H29" i="29"/>
  <c r="H29" i="28"/>
  <c r="H29" i="8"/>
  <c r="H29" i="27"/>
  <c r="H26" i="23"/>
  <c r="H26" i="31"/>
  <c r="H26" i="6"/>
  <c r="H26" i="30"/>
  <c r="H26" i="29"/>
  <c r="H26" i="28"/>
  <c r="H26" i="27"/>
  <c r="H26" i="8"/>
  <c r="H21" i="23"/>
  <c r="L78" i="23" s="1"/>
  <c r="H21" i="31"/>
  <c r="L78" i="31" s="1"/>
  <c r="H21" i="6"/>
  <c r="L78" i="6" s="1"/>
  <c r="L78" i="30"/>
  <c r="H21" i="28"/>
  <c r="L78" i="28" s="1"/>
  <c r="H21" i="8"/>
  <c r="L78" i="27"/>
  <c r="H24" i="23"/>
  <c r="H24" i="31"/>
  <c r="H24" i="6"/>
  <c r="H24" i="30"/>
  <c r="H24" i="29"/>
  <c r="H24" i="28"/>
  <c r="H24" i="8"/>
  <c r="H24" i="27"/>
  <c r="H35" i="23"/>
  <c r="H35" i="31"/>
  <c r="H35" i="6"/>
  <c r="H35" i="30"/>
  <c r="H35" i="29"/>
  <c r="H35" i="28"/>
  <c r="H35" i="8"/>
  <c r="H35" i="27"/>
  <c r="J84" i="23"/>
  <c r="J83" i="23"/>
  <c r="J81" i="23"/>
  <c r="H84" i="23"/>
  <c r="H82" i="23"/>
  <c r="H83" i="23"/>
  <c r="H81" i="23"/>
  <c r="J82" i="23"/>
  <c r="J80" i="23"/>
  <c r="L79" i="23"/>
  <c r="H80" i="23"/>
  <c r="H24" i="24"/>
  <c r="H24" i="25"/>
  <c r="H29" i="24"/>
  <c r="H29" i="25"/>
  <c r="H14" i="24"/>
  <c r="H14" i="25"/>
  <c r="H26" i="24"/>
  <c r="H26" i="25"/>
  <c r="H35" i="24"/>
  <c r="H35" i="25"/>
  <c r="H21" i="24"/>
  <c r="H21" i="25"/>
  <c r="H29" i="20"/>
  <c r="H29" i="4"/>
  <c r="H35" i="20"/>
  <c r="H35" i="4"/>
  <c r="H21" i="1"/>
  <c r="H21" i="4"/>
  <c r="H14" i="4"/>
  <c r="H14" i="20"/>
  <c r="H24" i="4"/>
  <c r="H24" i="20"/>
  <c r="H26" i="4"/>
  <c r="I90" i="4" s="1"/>
  <c r="H26" i="20"/>
  <c r="H14" i="1"/>
  <c r="H26" i="1"/>
  <c r="H35" i="1"/>
  <c r="H24" i="1"/>
  <c r="H29" i="1"/>
  <c r="L78" i="24" l="1"/>
  <c r="L79" i="24" s="1"/>
  <c r="L79" i="27"/>
  <c r="H81" i="27"/>
  <c r="J81" i="27"/>
  <c r="J80" i="27"/>
  <c r="H80" i="27"/>
  <c r="J81" i="28"/>
  <c r="H81" i="28"/>
  <c r="L79" i="28"/>
  <c r="J80" i="28"/>
  <c r="H80" i="28"/>
  <c r="J81" i="29"/>
  <c r="H81" i="29"/>
  <c r="J80" i="29"/>
  <c r="H80" i="29"/>
  <c r="H81" i="6"/>
  <c r="J81" i="6" s="1"/>
  <c r="H82" i="6"/>
  <c r="J82" i="6" s="1"/>
  <c r="H84" i="6"/>
  <c r="J84" i="6" s="1"/>
  <c r="H83" i="6"/>
  <c r="J83" i="6" s="1"/>
  <c r="H80" i="6"/>
  <c r="J80" i="6" s="1"/>
  <c r="L79" i="6"/>
  <c r="I110" i="4"/>
  <c r="I91" i="4"/>
  <c r="H82" i="31"/>
  <c r="J82" i="31" s="1"/>
  <c r="H83" i="31"/>
  <c r="J83" i="31" s="1"/>
  <c r="H80" i="31"/>
  <c r="J80" i="31" s="1"/>
  <c r="H81" i="31"/>
  <c r="J81" i="31" s="1"/>
  <c r="H84" i="31"/>
  <c r="J84" i="31" s="1"/>
  <c r="L79" i="31"/>
  <c r="H80" i="30"/>
  <c r="H81" i="30"/>
  <c r="J81" i="30"/>
  <c r="L79" i="30"/>
  <c r="J80" i="30"/>
  <c r="J80" i="24"/>
  <c r="H80" i="24"/>
  <c r="H69" i="23"/>
  <c r="H59" i="23"/>
  <c r="L79" i="20" l="1"/>
  <c r="H81" i="20"/>
  <c r="J81" i="20"/>
  <c r="I111" i="4"/>
  <c r="I92" i="4"/>
  <c r="H81" i="24"/>
  <c r="H82" i="24"/>
  <c r="H83" i="24"/>
  <c r="H84" i="24"/>
  <c r="J81" i="24"/>
  <c r="J82" i="24"/>
  <c r="J83" i="24"/>
  <c r="J84" i="24"/>
  <c r="H61" i="23"/>
  <c r="H62" i="23"/>
  <c r="H63" i="23"/>
  <c r="H60" i="23"/>
  <c r="H71" i="23"/>
  <c r="H72" i="23"/>
  <c r="H73" i="23"/>
  <c r="H70" i="23"/>
  <c r="H80" i="20"/>
  <c r="J80" i="20"/>
  <c r="I112" i="4" l="1"/>
  <c r="I93" i="4"/>
  <c r="I39" i="21"/>
  <c r="J39" i="21"/>
  <c r="K39" i="21"/>
  <c r="L39" i="21"/>
  <c r="M39" i="21"/>
  <c r="N39" i="21"/>
  <c r="H90" i="8"/>
  <c r="H91" i="8" s="1"/>
  <c r="H92" i="8" s="1"/>
  <c r="H93" i="8" s="1"/>
  <c r="H94" i="8" s="1"/>
  <c r="I113" i="4" l="1"/>
  <c r="I94" i="4"/>
  <c r="I114" i="4" s="1"/>
  <c r="I90" i="8"/>
  <c r="I91" i="8" s="1"/>
  <c r="I92" i="8" s="1"/>
  <c r="I93" i="8" s="1"/>
  <c r="I94" i="8" s="1"/>
  <c r="L78" i="8" l="1"/>
  <c r="H82" i="8" l="1"/>
  <c r="H84" i="8"/>
  <c r="H80" i="8"/>
  <c r="H83" i="8"/>
  <c r="J81" i="8"/>
  <c r="J82" i="8"/>
  <c r="J83" i="8"/>
  <c r="J84" i="8"/>
  <c r="J80" i="8"/>
  <c r="H81" i="8"/>
  <c r="L79" i="8"/>
  <c r="H69" i="8"/>
  <c r="H59" i="8"/>
  <c r="H90" i="1" l="1"/>
  <c r="L78" i="1" l="1"/>
  <c r="G90" i="1"/>
  <c r="H70" i="4"/>
  <c r="H71" i="4"/>
  <c r="H72" i="4"/>
  <c r="H73" i="4"/>
  <c r="H69" i="4"/>
  <c r="H60" i="4"/>
  <c r="H61" i="4"/>
  <c r="H62" i="4"/>
  <c r="H63" i="4"/>
  <c r="H59" i="4"/>
  <c r="J81" i="1" l="1"/>
  <c r="J82" i="1"/>
  <c r="J83" i="1"/>
  <c r="J84" i="1"/>
  <c r="J80" i="1"/>
  <c r="L79" i="1"/>
  <c r="H91" i="1"/>
  <c r="H92" i="1"/>
  <c r="H93" i="1"/>
  <c r="H94" i="1"/>
  <c r="H80" i="1"/>
  <c r="H82" i="1" l="1"/>
  <c r="H73" i="1"/>
  <c r="H84" i="1" l="1"/>
  <c r="H81" i="1"/>
  <c r="H83"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<sst xmlns="http://schemas.openxmlformats.org/spreadsheetml/2006/main" count="1991" uniqueCount="774">
  <si>
    <t>RECC database</t>
  </si>
  <si>
    <t>Energy demand, carbon/water/land/material footprint scenarios for the future production of engineering materials from virgin/natural resources ('primary production').</t>
  </si>
  <si>
    <t>4_EI_ProcessEnergyIntensity</t>
  </si>
  <si>
    <t>Process energy demand of primary material production</t>
  </si>
  <si>
    <t>4_PE_ProcessExtensions</t>
  </si>
  <si>
    <t>Change of GWP of primary metal production over time.. engineering_material.</t>
  </si>
  <si>
    <t>RECC material category</t>
  </si>
  <si>
    <t>Product group</t>
  </si>
  <si>
    <t>ecoinvent Product name</t>
  </si>
  <si>
    <t>Unit</t>
  </si>
  <si>
    <t>regional scope</t>
  </si>
  <si>
    <t>ecoinvent UUID</t>
  </si>
  <si>
    <t>Comment</t>
  </si>
  <si>
    <t>ReCiPe Global warming, kg CO2-eq (ReCiPe 2016, (H))</t>
  </si>
  <si>
    <t>ReCiPe Land occupation, m² crop-equivalents (ReCiPe 2016, (H))</t>
  </si>
  <si>
    <t>ReCiPe water depletion, m³  (ReCiPe 2016, (H))</t>
  </si>
  <si>
    <t>Material footprint (Raw material equivalent), all materials, kg</t>
  </si>
  <si>
    <t>Material footprint (Raw material equivalent), fossil fuels, kg</t>
  </si>
  <si>
    <t>Material footprint (Raw material equivalent), metal ores, kg</t>
  </si>
  <si>
    <t>Energy supply</t>
  </si>
  <si>
    <t>Strommix, Deutschland</t>
  </si>
  <si>
    <t xml:space="preserve">market for electricity, low voltage </t>
  </si>
  <si>
    <t>1 kWh</t>
  </si>
  <si>
    <t>Germany</t>
  </si>
  <si>
    <t>c29a3f64-ccfc-3557-b4e2-af764b5b1983</t>
  </si>
  <si>
    <t>Windstrom, DE</t>
  </si>
  <si>
    <t>electricity production, wind, 1-3MW turbine, onshore</t>
  </si>
  <si>
    <t>3d495753-fbbf-3435-9e16-3ecef46485f1</t>
  </si>
  <si>
    <t>Solarstrom, DE</t>
  </si>
  <si>
    <t>electricity production, photovoltaic, 3kWp slanted-roof installation, single-Si, panel, mounted</t>
  </si>
  <si>
    <t>d33c6c92-b1cc-3ab5-964b-ec9554b0c7cb</t>
  </si>
  <si>
    <t>Erdgas-Strom, DE</t>
  </si>
  <si>
    <t>electricity production, natural gas, combined cycle power plant</t>
  </si>
  <si>
    <t>c7e8692f-b0cd-34ca-a866-768596482878</t>
  </si>
  <si>
    <t>Braunkohlenstrom, DE</t>
  </si>
  <si>
    <t>electricity production, lignite</t>
  </si>
  <si>
    <t>fca079c2-4a96-38f9-84ed-15b0a58a8ee9</t>
  </si>
  <si>
    <t>Erdgas, Global</t>
  </si>
  <si>
    <t>natural gas production, low pressure, vehicle grade</t>
  </si>
  <si>
    <t>1 kg</t>
  </si>
  <si>
    <t>Global</t>
  </si>
  <si>
    <t>b3be755c-b09e-326a-a4bd-d7fafb655a6b</t>
  </si>
  <si>
    <t>Unit is kg! Check table on https://en.wikipedia.org/wiki/Energy_content_of_biofuel for conversion factors. Emissions from combustion are not included, only supply chain!</t>
  </si>
  <si>
    <t>Benzin, Global</t>
  </si>
  <si>
    <t>market for petrol, unleaded</t>
  </si>
  <si>
    <t>4fb968d8-e6a2-3baa-9290-ae82100d4836</t>
  </si>
  <si>
    <t>Material supply</t>
  </si>
  <si>
    <t>concrete, global</t>
  </si>
  <si>
    <t>Beton, Global</t>
  </si>
  <si>
    <t>concrete production 35MPa</t>
  </si>
  <si>
    <t>1 m³</t>
  </si>
  <si>
    <t>364f2b96-361b-4e2f-8941-df84b80a9f8f</t>
  </si>
  <si>
    <t>Unit is m³, not tons! Density is ca. 2240 kg/m³</t>
  </si>
  <si>
    <t>steel, low alloyed, from ore, Europe</t>
  </si>
  <si>
    <t>Stahl, aus Erz, Europa</t>
  </si>
  <si>
    <t>steel production, converter, low-alloyed</t>
  </si>
  <si>
    <t>Europe</t>
  </si>
  <si>
    <t>13df2177-de2a-3f09-b359-ec4ff9e3c956</t>
  </si>
  <si>
    <t>From iron ore</t>
  </si>
  <si>
    <t>steel, low alloyed, from scrap, Europe</t>
  </si>
  <si>
    <t>Stahl, aus Schrott (Recycling), Europa</t>
  </si>
  <si>
    <t>steel production, electric, low-alloyed</t>
  </si>
  <si>
    <t>bed00ec4-bc44-45db-82f6-52013a43ee57</t>
  </si>
  <si>
    <t>From scrap</t>
  </si>
  <si>
    <t>wrought Al, cast Al</t>
  </si>
  <si>
    <t>aluminium, from ore, global</t>
  </si>
  <si>
    <t>Aluminium, aus Erz, Global</t>
  </si>
  <si>
    <t>Aluminium production, primary, ingot</t>
  </si>
  <si>
    <t>3880ff02-cb1a-338d-9b54-3f6f64e769dd</t>
  </si>
  <si>
    <t>From bauxite (Al ore)</t>
  </si>
  <si>
    <t>aluminium, from scrap, global</t>
  </si>
  <si>
    <t>Aluminium, aus Schrott (Recycling), Global</t>
  </si>
  <si>
    <t>Al recycled: treatment of aluminium scrap, post-consumer, prepared for recycling, at remelter</t>
  </si>
  <si>
    <t>68572076-c5f5-309a-9627-4c1d73602d7b</t>
  </si>
  <si>
    <t>From postconsumer Al scrap</t>
  </si>
  <si>
    <t>copper electric grade</t>
  </si>
  <si>
    <t>copper, from ore, global</t>
  </si>
  <si>
    <t>Kupfer, aus Erz, Global</t>
  </si>
  <si>
    <t>copper: market for copper, cathode</t>
  </si>
  <si>
    <t>39ae38d9-8694-4bf6-acde-1f2fac887f14</t>
  </si>
  <si>
    <t>From Cu ore</t>
  </si>
  <si>
    <t>plastics</t>
  </si>
  <si>
    <t>plastics, here: polyethylene, global</t>
  </si>
  <si>
    <t>Kunststoff, generisch (hier: Polyethylen), Global</t>
  </si>
  <si>
    <t>market for polyethylene, linear low density, granulate</t>
  </si>
  <si>
    <t>26015cdd-9d15-3cf7-9e24-c78958f30fdb</t>
  </si>
  <si>
    <t>wood and wood products</t>
  </si>
  <si>
    <t>wooden beam, Europe</t>
  </si>
  <si>
    <t>Holzbalken, Europa</t>
  </si>
  <si>
    <t xml:space="preserve">beam, softwood, raw, kiln drying to u=10% </t>
  </si>
  <si>
    <t>5ad7edfa-77a6-4243-a06e-4dff2f61a110</t>
  </si>
  <si>
    <t>particle board, Europe</t>
  </si>
  <si>
    <t>Spanplatte, Europa</t>
  </si>
  <si>
    <t xml:space="preserve">particle board: market for particleboard, uncoated </t>
  </si>
  <si>
    <t>c14169df-d30d-4288-8e7f-ad05362b524c</t>
  </si>
  <si>
    <t>cotton yarn, global</t>
  </si>
  <si>
    <t>Baumwollgarn, Global</t>
  </si>
  <si>
    <t>yarn production, cotton, ring spinning, for knitting</t>
  </si>
  <si>
    <t>fcbdb663-ac70-453b-9a6e-a03ff93d8ca4</t>
  </si>
  <si>
    <t>Baumwollgarn</t>
  </si>
  <si>
    <t>polyester textile, global</t>
  </si>
  <si>
    <t>Polyester-Textil, Global</t>
  </si>
  <si>
    <t>textile production, nonwoven polyester, needle-punched</t>
  </si>
  <si>
    <t>2f646fee-3edf-43ce-85b2-19a91661ee99</t>
  </si>
  <si>
    <t>Textil aus Kunstfaser (Polyester)</t>
  </si>
  <si>
    <t>glass</t>
  </si>
  <si>
    <t>flat glass, Europe</t>
  </si>
  <si>
    <t>Flachglas, Europa</t>
  </si>
  <si>
    <t>flat glass production, uncoated</t>
  </si>
  <si>
    <t>2b263815-fa16-3e5b-8f48-47c4b0fbc077</t>
  </si>
  <si>
    <t>bricks</t>
  </si>
  <si>
    <t>clay brick, Europe</t>
  </si>
  <si>
    <t>Tonziegel, Europa</t>
  </si>
  <si>
    <t>clay brick production</t>
  </si>
  <si>
    <t>6c85aadf-3ffe-3c62-90f2-c74e260b8c1e</t>
  </si>
  <si>
    <t>stainless steel</t>
  </si>
  <si>
    <t>stainless steel, global</t>
  </si>
  <si>
    <t>Edelstahl, global</t>
  </si>
  <si>
    <t xml:space="preserve">steel production, chromium steel 18/8, hot rolled </t>
  </si>
  <si>
    <t>0c75288f-94d8-3530-bf6b-ac32a16485cc</t>
  </si>
  <si>
    <t>cast iron</t>
  </si>
  <si>
    <t>cast iron, global</t>
  </si>
  <si>
    <t>Gusseisen, global</t>
  </si>
  <si>
    <t>cast iron production</t>
  </si>
  <si>
    <t>cab11f7c-62d6-39fb-9268-7502910a19ed</t>
  </si>
  <si>
    <t>paper and cardboard</t>
  </si>
  <si>
    <t>paper, global</t>
  </si>
  <si>
    <t>Papier, global</t>
  </si>
  <si>
    <t>kraft paper production</t>
  </si>
  <si>
    <t>28cde588-4c93-4f85-b3f2-6020127c5781</t>
  </si>
  <si>
    <t>cement</t>
  </si>
  <si>
    <t>cement, global</t>
  </si>
  <si>
    <t>Zement, global</t>
  </si>
  <si>
    <t>cement production, Portland</t>
  </si>
  <si>
    <t>zinc</t>
  </si>
  <si>
    <t>zinc, global</t>
  </si>
  <si>
    <t>Zink, global</t>
  </si>
  <si>
    <t>primary zinc production from concentrate</t>
  </si>
  <si>
    <t>dd58105a-a3c7-3740-a1a4-2e6d13064fdb</t>
  </si>
  <si>
    <t>concrete aggregates</t>
  </si>
  <si>
    <t>sand, global</t>
  </si>
  <si>
    <t>Sand, global</t>
  </si>
  <si>
    <t>market for sand</t>
  </si>
  <si>
    <t>insulation material</t>
  </si>
  <si>
    <t>polystyrene foam slabs</t>
  </si>
  <si>
    <t>Schaumpolystyrolplatten</t>
  </si>
  <si>
    <t>polystyrene foam slab production</t>
  </si>
  <si>
    <t>1044cc50-f69a-3e22-b4c1-fc58d386c4ad</t>
  </si>
  <si>
    <t>Products</t>
  </si>
  <si>
    <t>Benzin-PKW, Global</t>
  </si>
  <si>
    <t>market for passenger car, petrol/natural gas</t>
  </si>
  <si>
    <t>94bc2193-e979-3554-8541-01074bbdaf82</t>
  </si>
  <si>
    <t xml:space="preserve">Scale to weight! </t>
  </si>
  <si>
    <t>Batterie-Auto, Global</t>
  </si>
  <si>
    <t>passenger car, electric, 500 kg battery with 1500 kg total weight</t>
  </si>
  <si>
    <t>combined from two processes below</t>
  </si>
  <si>
    <t>market for passenger car, electric, without battery</t>
  </si>
  <si>
    <t>bfc63e49-0dc2-4b9c-b862-60202c652f0f</t>
  </si>
  <si>
    <t>market for battery, Li-ion, NMC811, rechargeable, prismatic</t>
  </si>
  <si>
    <t>b38fe7eb-f220-4e48-b145-6cf78e92e801</t>
  </si>
  <si>
    <t>Calculated with ecoinvent 3.8 via openLCA 1.10.2.</t>
  </si>
  <si>
    <t>Product</t>
  </si>
  <si>
    <t>- to be replaced with LCA results for specific products -</t>
  </si>
  <si>
    <t>Natural gas</t>
  </si>
  <si>
    <t xml:space="preserve">Unit is kg! </t>
  </si>
  <si>
    <t>Direct CO2 per kWh</t>
  </si>
  <si>
    <t>g CO2-eq/kWh</t>
  </si>
  <si>
    <t>Direct CO2 per MJ</t>
  </si>
  <si>
    <t>g CO2-eq/MJ</t>
  </si>
  <si>
    <t>6_PR_DirectEmissions_V1.2</t>
  </si>
  <si>
    <t xml:space="preserve">Specific energy </t>
  </si>
  <si>
    <t>MJ/kg</t>
  </si>
  <si>
    <t>MJ/Kg</t>
  </si>
  <si>
    <t>https://en.wikipedia.org/wiki/Energy_content_of_biofuel</t>
  </si>
  <si>
    <t>Electricity</t>
  </si>
  <si>
    <t>Total generation:</t>
  </si>
  <si>
    <t>TWh in 2010</t>
  </si>
  <si>
    <t>https://www.worldenergydata.org/world-electricity-generation/</t>
  </si>
  <si>
    <t>Direct sectoral CO2:</t>
  </si>
  <si>
    <t>Gt CO2-eq in 2010</t>
  </si>
  <si>
    <t>https://www.researchgate.net/figure/Greenhouse-gas-emissions-by-economic-sectors-2010_fig1_327161641</t>
  </si>
  <si>
    <t>Coal, Hard Coal</t>
  </si>
  <si>
    <t>Hard Coal Production</t>
  </si>
  <si>
    <t>Market for hard coal</t>
  </si>
  <si>
    <t>https://v38.ecoquery.ecoinvent.org/Details/LCIA/d1b4816b-8466-4f1f-8940-b22c0a0cc2bf/290c1f85-4cc4-4fa1-b0c8-2cb7f4276dce</t>
  </si>
  <si>
    <t>0 as placeholder</t>
  </si>
  <si>
    <t>Specific Energy</t>
  </si>
  <si>
    <t>Diesel</t>
  </si>
  <si>
    <t>Diesel Production</t>
  </si>
  <si>
    <t>Market for diesel</t>
  </si>
  <si>
    <t>https://v38.ecoquery.ecoinvent.org/Details/LCIA/5c05d66e-5435-4b8b-9bbe-ffe6d1e5e68d/290c1f85-4cc4-4fa1-b0c8-2cb7f4276dce</t>
  </si>
  <si>
    <t>Energy density</t>
  </si>
  <si>
    <t>MJ/L</t>
  </si>
  <si>
    <t>Gasoline</t>
  </si>
  <si>
    <t>Gasoline Production</t>
  </si>
  <si>
    <t>Fuel oil</t>
  </si>
  <si>
    <t>Market for heavy fuel oil</t>
  </si>
  <si>
    <t>https://v38.ecoquery.ecoinvent.org/Details/LCIA/d8bf7c89-7825-4673-99e0-6abeda903c02/290c1f85-4cc4-4fa1-b0c8-2cb7f4276dce</t>
  </si>
  <si>
    <t>https://www.claverton-energy.com/wordpress/wp-content/uploads/2012/08/the_energy_and_fuel_data_sheet1.pdf</t>
  </si>
  <si>
    <t>end_of_list</t>
  </si>
  <si>
    <t xml:space="preserve">Hydrogen </t>
  </si>
  <si>
    <t>Hydrogen Production</t>
  </si>
  <si>
    <t xml:space="preserve">Fuel Wood </t>
  </si>
  <si>
    <t>Fuel wood production</t>
  </si>
  <si>
    <t>1kg</t>
  </si>
  <si>
    <t>2006 IPCC Guidelines for National Greenhouse Gas Inventories, Table 1.4, Other Petroleum Products</t>
  </si>
  <si>
    <t>Main reference:</t>
  </si>
  <si>
    <t>Reference flow:</t>
  </si>
  <si>
    <t>Main footprints 2010</t>
  </si>
  <si>
    <t>Zinc, global</t>
  </si>
  <si>
    <t>Material footprint:</t>
  </si>
  <si>
    <t>Zn material footprint</t>
  </si>
  <si>
    <t>year</t>
  </si>
  <si>
    <t>kg/kg</t>
  </si>
  <si>
    <t>Land footprint:</t>
  </si>
  <si>
    <t>Zn land footprint</t>
  </si>
  <si>
    <t>m² crop equivalents/kg</t>
  </si>
  <si>
    <t>Water footprint:</t>
  </si>
  <si>
    <t>Zn water footprint</t>
  </si>
  <si>
    <t>m³/kg</t>
  </si>
  <si>
    <t>Baseline</t>
  </si>
  <si>
    <t>RCP2.6</t>
  </si>
  <si>
    <t>Al carbon footprint</t>
  </si>
  <si>
    <t>kg CO2-eq/kg</t>
  </si>
  <si>
    <t>Residual supply chain CO2 after deducting the energy-related values, 2015:</t>
  </si>
  <si>
    <t>Energy use:</t>
  </si>
  <si>
    <t>No energy values reported at this point, all is aggregated in the CF.</t>
  </si>
  <si>
    <t>Mining and beneficiation( Zinc Concentrate), per kg of zinc concentrate</t>
  </si>
  <si>
    <t>Special High Grade (SHG)Zinc production( Electrometallurgical Smelting -roasting, leaching, purification, electrolysis, melting ), per Kg of SHG</t>
  </si>
  <si>
    <t xml:space="preserve">Diesel </t>
  </si>
  <si>
    <t xml:space="preserve">Gasoline </t>
  </si>
  <si>
    <t>Fuel Oil</t>
  </si>
  <si>
    <t xml:space="preserve"> Electricity</t>
  </si>
  <si>
    <t xml:space="preserve">MJ/kg, </t>
  </si>
  <si>
    <t>"HaJIE": Harpprecht et al. (2021), JIE, DOI 10.1111/jiec.13181</t>
  </si>
  <si>
    <t>Environmental impacts of key metals’ supply and low-carbon technologies are likely to decrease in the future</t>
  </si>
  <si>
    <t>kg of Cu from primary (= virgin, ore) ressources, modelled as 100% Cu (no other chemical elements are present)</t>
  </si>
  <si>
    <t>Reference values for 2010-2020</t>
  </si>
  <si>
    <t>Copper, from ore, global</t>
  </si>
  <si>
    <t>Scenario value: Assume that material footprint scales inversely proportional with the ore grade, and take future ore grade from HaJIE, Fig. 2a</t>
  </si>
  <si>
    <t>Ore grade (in %)</t>
  </si>
  <si>
    <t>Cu (global average)</t>
  </si>
  <si>
    <t>Scenario value: Assume that land footprint scales inversely proportional with the ore grade, and take future ore grade from HaJIE, Fig. 2a. Rationale: Land use is proportional to material extracted and processed.</t>
  </si>
  <si>
    <t>Cu land footprint</t>
  </si>
  <si>
    <t>Scenario value: Assume that water footprint scales inversely proportional with the ore grade, and take future ore grade from HaJIE, Fig. 2a. Rationale: Water use is proportional to material extracted and processed.</t>
  </si>
  <si>
    <t>Cu water footprint</t>
  </si>
  <si>
    <t>Determined via Energy demand from HaJIE, using energy scenario chosen for RECC model run.</t>
  </si>
  <si>
    <t>Cu carbon footprint</t>
  </si>
  <si>
    <t xml:space="preserve"> </t>
  </si>
  <si>
    <t>Residual supply chain CO2 after deducting the energy-related values, 2010:</t>
  </si>
  <si>
    <t>Scenario values: Compile energy demand scenarios, by process and energy carrier, from HaJIE:</t>
  </si>
  <si>
    <t>Correction: HaJIE figures are way too large! A double-check with Cu ore concentrate (ei UUID ee579f5e-c649-3f88-99fc-b11cde8d2eb2) shows a CED of 16,5 MJ, hence, we scale down their Fig. 2 (b) values by a factor of 10.</t>
  </si>
  <si>
    <t>From HaJIE, Fig. 2 (b), data from supplement 0002, sheet "b) V1 Energy requ. E(G)", cells F15:F19.</t>
  </si>
  <si>
    <t>From HaJIE, Fig. 2 (d), data from supplement 0002, sheet "d) V3 Efficiency improvements", cells D5:D13 and F5:F13</t>
  </si>
  <si>
    <t>Mining and beneficiation (V1 in HaJIE), per kg of Cu metal</t>
  </si>
  <si>
    <t>Smelting and refining (V3 in HaJIE), per t of Cu metal</t>
  </si>
  <si>
    <t>tot</t>
  </si>
  <si>
    <t>MJ/kg, total energy use by process</t>
  </si>
  <si>
    <t>kWh/t, electricity</t>
  </si>
  <si>
    <t>GJ/t=MJ/kg, natural gas</t>
  </si>
  <si>
    <t>Assumption: All is electricity, mostly for ore grinding. In-mine truck transport can be electrified rel. easily.</t>
  </si>
  <si>
    <t>https://doi.org/10.1007/s11367-016-1131-8</t>
  </si>
  <si>
    <t>"A global life cycle assessment for primary zinc production"</t>
  </si>
  <si>
    <t>kg of Zn from primary (= virgin, ore), Electometallurgical Zinc Smelting</t>
  </si>
  <si>
    <t>Reference values for 2012</t>
  </si>
  <si>
    <t>Special High Grade (SHG)Zinc production( Electrometallurgical Smelting -roasting, leaching, purification, electrolysis, melting )</t>
  </si>
  <si>
    <t>Table S1</t>
  </si>
  <si>
    <t>Table S2</t>
  </si>
  <si>
    <t>Butane and propane are considered natural gas</t>
  </si>
  <si>
    <t>Thermal energy from light fuel oil assumed as fuel oil</t>
  </si>
  <si>
    <t>Thermal energy from natural gas assumed as natural gas</t>
  </si>
  <si>
    <t>Thermal energy from propane assumed as natural gas</t>
  </si>
  <si>
    <t>Petrol coke is considered coal</t>
  </si>
  <si>
    <r>
      <t xml:space="preserve">The product system under study (SHG zinc) was characterized by collecting primary data for the relevant production processes, including zinc ore </t>
    </r>
    <r>
      <rPr>
        <b/>
        <sz val="11"/>
        <color rgb="FF333333"/>
        <rFont val="Georgia"/>
        <family val="1"/>
      </rPr>
      <t>mining and concentration</t>
    </r>
    <r>
      <rPr>
        <sz val="11"/>
        <color rgb="FF333333"/>
        <rFont val="Georgia"/>
        <family val="1"/>
      </rPr>
      <t xml:space="preserve">, transportation of the zinc concentrate, and zinc concentrate </t>
    </r>
    <r>
      <rPr>
        <b/>
        <sz val="11"/>
        <color rgb="FF333333"/>
        <rFont val="Georgia"/>
        <family val="1"/>
      </rPr>
      <t>smelting</t>
    </r>
  </si>
  <si>
    <r>
      <t>The results show that SHG zinc has a primary energy demand of 37,500 MJ/t and a climate change impact of 2600 kg CO</t>
    </r>
    <r>
      <rPr>
        <sz val="8"/>
        <color theme="0" tint="-0.249977111117893"/>
        <rFont val="Georgia"/>
        <family val="1"/>
      </rPr>
      <t>2</t>
    </r>
    <r>
      <rPr>
        <sz val="11"/>
        <color theme="0" tint="-0.249977111117893"/>
        <rFont val="Georgia"/>
        <family val="1"/>
      </rPr>
      <t>-eq./t</t>
    </r>
  </si>
  <si>
    <t>Across all impact categories and indicators reported here, around 65 % of the burden are associated with smelting, 30 % with mining and concentration, and 5 % with transportation of the concentrate</t>
  </si>
  <si>
    <r>
      <t>Table S1</t>
    </r>
    <r>
      <rPr>
        <sz val="11"/>
        <rFont val="Times New Roman"/>
        <family val="1"/>
      </rPr>
      <t xml:space="preserve"> Unit process inputs and outputs, per metric </t>
    </r>
    <r>
      <rPr>
        <b/>
        <sz val="11"/>
        <rFont val="Times New Roman"/>
        <family val="1"/>
      </rPr>
      <t>ton</t>
    </r>
    <r>
      <rPr>
        <sz val="11"/>
        <rFont val="Times New Roman"/>
        <family val="1"/>
      </rPr>
      <t xml:space="preserve"> of zinc concentrate (metal contents indicated for allocated co-products)</t>
    </r>
  </si>
  <si>
    <r>
      <t xml:space="preserve">Table S2 </t>
    </r>
    <r>
      <rPr>
        <sz val="11"/>
        <rFont val="Times New Roman"/>
        <family val="1"/>
      </rPr>
      <t xml:space="preserve"> Unit process inputs and outputs, per metric </t>
    </r>
    <r>
      <rPr>
        <b/>
        <sz val="11"/>
        <rFont val="Times New Roman"/>
        <family val="1"/>
      </rPr>
      <t>ton</t>
    </r>
    <r>
      <rPr>
        <sz val="11"/>
        <rFont val="Times New Roman"/>
        <family val="1"/>
      </rPr>
      <t xml:space="preserve"> of SHG zinc (metal contents indicated for allocated co-products)</t>
    </r>
  </si>
  <si>
    <t>Input</t>
  </si>
  <si>
    <t xml:space="preserve"> Quantity </t>
  </si>
  <si>
    <t>Quantity per kg of zinc concentrate</t>
  </si>
  <si>
    <t>Quantity per kg of SHG zinc</t>
  </si>
  <si>
    <t>Ore</t>
  </si>
  <si>
    <t>kg</t>
  </si>
  <si>
    <t>Zinc concentrate</t>
  </si>
  <si>
    <t>Acetic acid</t>
  </si>
  <si>
    <t xml:space="preserve">       0.0206 </t>
  </si>
  <si>
    <t>Zinc</t>
  </si>
  <si>
    <t xml:space="preserve">             1.91 </t>
  </si>
  <si>
    <t xml:space="preserve">Air </t>
  </si>
  <si>
    <t>Zinc calcine</t>
  </si>
  <si>
    <t xml:space="preserve">             13.2 </t>
  </si>
  <si>
    <t>Antiscalant</t>
  </si>
  <si>
    <t xml:space="preserve">       0.0185 </t>
  </si>
  <si>
    <t>Zinc dross</t>
  </si>
  <si>
    <t xml:space="preserve">             7.33 </t>
  </si>
  <si>
    <t>Calcium chloride</t>
  </si>
  <si>
    <t xml:space="preserve">       0.0301 </t>
  </si>
  <si>
    <t>Zinc dust</t>
  </si>
  <si>
    <t xml:space="preserve">             2.90 </t>
  </si>
  <si>
    <t>Concrete</t>
  </si>
  <si>
    <t xml:space="preserve">           1.69 </t>
  </si>
  <si>
    <t>Zinc ingot</t>
  </si>
  <si>
    <t xml:space="preserve">             1.26 </t>
  </si>
  <si>
    <t>Copper</t>
  </si>
  <si>
    <t xml:space="preserve">       0.0742 </t>
  </si>
  <si>
    <t>Zinc oxide</t>
  </si>
  <si>
    <t xml:space="preserve">             60.2 </t>
  </si>
  <si>
    <t>Copper slag</t>
  </si>
  <si>
    <t xml:space="preserve">         33.91 </t>
  </si>
  <si>
    <t>Zinc powder</t>
  </si>
  <si>
    <t xml:space="preserve">             7.58 </t>
  </si>
  <si>
    <t>Copper sulfate</t>
  </si>
  <si>
    <t xml:space="preserve">           10.8 </t>
  </si>
  <si>
    <t>Zinc scrap</t>
  </si>
  <si>
    <t xml:space="preserve">             15.7 </t>
  </si>
  <si>
    <t xml:space="preserve">           17.8 </t>
  </si>
  <si>
    <t xml:space="preserve">         0.0598 </t>
  </si>
  <si>
    <t>Dolomite</t>
  </si>
  <si>
    <t>2.25E-03</t>
  </si>
  <si>
    <t>Air</t>
  </si>
  <si>
    <t>MJ</t>
  </si>
  <si>
    <t>Aluminum</t>
  </si>
  <si>
    <t xml:space="preserve">             1.92 </t>
  </si>
  <si>
    <t>Explosives</t>
  </si>
  <si>
    <t xml:space="preserve">           1.56 </t>
  </si>
  <si>
    <t>Ammonia</t>
  </si>
  <si>
    <t xml:space="preserve">             28.0 </t>
  </si>
  <si>
    <t>Flocculant</t>
  </si>
  <si>
    <t xml:space="preserve">       0.0517 </t>
  </si>
  <si>
    <t>Ammonium chloride</t>
  </si>
  <si>
    <t xml:space="preserve">             1.08 </t>
  </si>
  <si>
    <t>Frother</t>
  </si>
  <si>
    <t xml:space="preserve">       0.0762 </t>
  </si>
  <si>
    <t>Antifoaming agent</t>
  </si>
  <si>
    <t xml:space="preserve">         0.0193 </t>
  </si>
  <si>
    <t xml:space="preserve">       0.0482 </t>
  </si>
  <si>
    <t>Arsenic oxides</t>
  </si>
  <si>
    <t xml:space="preserve">           0.114 </t>
  </si>
  <si>
    <t>Grinding media</t>
  </si>
  <si>
    <t xml:space="preserve">           2.27 </t>
  </si>
  <si>
    <t>Barium carbonate</t>
  </si>
  <si>
    <t xml:space="preserve">           0.131 </t>
  </si>
  <si>
    <t>Heavy fuel oil</t>
  </si>
  <si>
    <t xml:space="preserve">         0.550 </t>
  </si>
  <si>
    <t>Butane</t>
  </si>
  <si>
    <t xml:space="preserve">         0.0416 </t>
  </si>
  <si>
    <t>Hydrogen cyanide</t>
  </si>
  <si>
    <t xml:space="preserve">       0.0444 </t>
  </si>
  <si>
    <t xml:space="preserve">           0.479 </t>
  </si>
  <si>
    <t>Iron</t>
  </si>
  <si>
    <t xml:space="preserve">         0.383 </t>
  </si>
  <si>
    <t>Cerium</t>
  </si>
  <si>
    <t>2.63E-04</t>
  </si>
  <si>
    <t>Iron sulphate</t>
  </si>
  <si>
    <t xml:space="preserve">       0.0496 </t>
  </si>
  <si>
    <t>Chlorine</t>
  </si>
  <si>
    <t>2.80E-03</t>
  </si>
  <si>
    <t>Light fuel oil</t>
  </si>
  <si>
    <t xml:space="preserve">           1.41 </t>
  </si>
  <si>
    <t xml:space="preserve">         0.0174 </t>
  </si>
  <si>
    <t>Lime</t>
  </si>
  <si>
    <t xml:space="preserve">           4.99 </t>
  </si>
  <si>
    <t xml:space="preserve">           0.112 </t>
  </si>
  <si>
    <t>Limestone</t>
  </si>
  <si>
    <t xml:space="preserve">           2.82 </t>
  </si>
  <si>
    <t>Defoamer</t>
  </si>
  <si>
    <t>2.36E-03</t>
  </si>
  <si>
    <t>Lubricant</t>
  </si>
  <si>
    <t xml:space="preserve">         0.679 </t>
  </si>
  <si>
    <t xml:space="preserve">             16.7 </t>
  </si>
  <si>
    <t>Mech. energy from diesel</t>
  </si>
  <si>
    <t>Metabisulphate</t>
  </si>
  <si>
    <t xml:space="preserve">       0.0545 </t>
  </si>
  <si>
    <t>Electrodes</t>
  </si>
  <si>
    <t xml:space="preserve">         0.0738 </t>
  </si>
  <si>
    <t>Methyl Isobutyl Carbinol</t>
  </si>
  <si>
    <t xml:space="preserve">       0.0376 </t>
  </si>
  <si>
    <t>Ethanol</t>
  </si>
  <si>
    <t xml:space="preserve">           0.126 </t>
  </si>
  <si>
    <t xml:space="preserve">       0.0360 </t>
  </si>
  <si>
    <t>Ethylene glycol</t>
  </si>
  <si>
    <t>7.93E-03</t>
  </si>
  <si>
    <t>Oxygen gaseous</t>
  </si>
  <si>
    <t>7.52E-04</t>
  </si>
  <si>
    <t>Ferric chloride</t>
  </si>
  <si>
    <t xml:space="preserve">         0.0752 </t>
  </si>
  <si>
    <t>Promoter</t>
  </si>
  <si>
    <t>Ferric sulphate</t>
  </si>
  <si>
    <t xml:space="preserve">           0.320 </t>
  </si>
  <si>
    <t>Propane</t>
  </si>
  <si>
    <t xml:space="preserve">           1.25 </t>
  </si>
  <si>
    <t>Ferrite residue</t>
  </si>
  <si>
    <t xml:space="preserve">             1.51 </t>
  </si>
  <si>
    <t>Sand</t>
  </si>
  <si>
    <t xml:space="preserve">         0.107 </t>
  </si>
  <si>
    <t>Ferrous sulphate</t>
  </si>
  <si>
    <t xml:space="preserve">           0.521 </t>
  </si>
  <si>
    <t>Sodium bisulphite</t>
  </si>
  <si>
    <t xml:space="preserve">       0.0374 </t>
  </si>
  <si>
    <t xml:space="preserve">           0.855 </t>
  </si>
  <si>
    <t>Sodium carbonate</t>
  </si>
  <si>
    <t xml:space="preserve">           1.89 </t>
  </si>
  <si>
    <t>Sodium cyanide</t>
  </si>
  <si>
    <t xml:space="preserve">         0.108 </t>
  </si>
  <si>
    <t>Glycolic acid</t>
  </si>
  <si>
    <t>3.99E-03</t>
  </si>
  <si>
    <t>Sodium dichromate</t>
  </si>
  <si>
    <t>5.31E-03</t>
  </si>
  <si>
    <t>Hard coal</t>
  </si>
  <si>
    <t xml:space="preserve">             26.2 </t>
  </si>
  <si>
    <t>Sodium metabisulfite</t>
  </si>
  <si>
    <t xml:space="preserve">       0.0922 </t>
  </si>
  <si>
    <t>Hard coal coke</t>
  </si>
  <si>
    <t xml:space="preserve">             27.1 </t>
  </si>
  <si>
    <t>Sodium sulfide</t>
  </si>
  <si>
    <t xml:space="preserve">       0.0984 </t>
  </si>
  <si>
    <t>Starch</t>
  </si>
  <si>
    <t xml:space="preserve">       0.0738 </t>
  </si>
  <si>
    <t>Hydrochloric acid</t>
  </si>
  <si>
    <t xml:space="preserve">           0.278 </t>
  </si>
  <si>
    <t>Sulphur dioxide</t>
  </si>
  <si>
    <t xml:space="preserve">         0.544 </t>
  </si>
  <si>
    <t>Hydrogen</t>
  </si>
  <si>
    <t xml:space="preserve">           0.572 </t>
  </si>
  <si>
    <t>Sulphuric acid</t>
  </si>
  <si>
    <t xml:space="preserve">         0.451 </t>
  </si>
  <si>
    <t>Hydrogen peroxide</t>
  </si>
  <si>
    <t xml:space="preserve">           0.142 </t>
  </si>
  <si>
    <t>light fuel oil. Thermal energy</t>
  </si>
  <si>
    <t xml:space="preserve">         0.959 </t>
  </si>
  <si>
    <t xml:space="preserve">             1.09 </t>
  </si>
  <si>
    <t>natural gas, thermal energy</t>
  </si>
  <si>
    <t xml:space="preserve">           41.9 </t>
  </si>
  <si>
    <t>Iron sulphate dissolution</t>
  </si>
  <si>
    <t>8.13E-03</t>
  </si>
  <si>
    <t>propane, thermal energy</t>
  </si>
  <si>
    <t xml:space="preserve">         0.840 </t>
  </si>
  <si>
    <t>Klinker</t>
  </si>
  <si>
    <t xml:space="preserve">             8.95 </t>
  </si>
  <si>
    <t>Water</t>
  </si>
  <si>
    <t>Lead</t>
  </si>
  <si>
    <t xml:space="preserve">           0.437 </t>
  </si>
  <si>
    <t>Xanthate</t>
  </si>
  <si>
    <t xml:space="preserve">           2.83 </t>
  </si>
  <si>
    <t>Lead concentrate</t>
  </si>
  <si>
    <t xml:space="preserve">             23.0 </t>
  </si>
  <si>
    <t>Zinc sulphate</t>
  </si>
  <si>
    <t xml:space="preserve">           2.47 </t>
  </si>
  <si>
    <t>Lead sulfate</t>
  </si>
  <si>
    <t>7.26E-05</t>
  </si>
  <si>
    <t>Licorice</t>
  </si>
  <si>
    <t>7.96E-03</t>
  </si>
  <si>
    <t xml:space="preserve">             2.27 </t>
  </si>
  <si>
    <t xml:space="preserve">             14.3 </t>
  </si>
  <si>
    <t xml:space="preserve">             32.3 </t>
  </si>
  <si>
    <t xml:space="preserve">Liquefied petroleum gas </t>
  </si>
  <si>
    <t xml:space="preserve">           0.256 </t>
  </si>
  <si>
    <t>Lubricating oil</t>
  </si>
  <si>
    <t xml:space="preserve">         0.0614 </t>
  </si>
  <si>
    <t>Magnesium</t>
  </si>
  <si>
    <t>7.83E-03</t>
  </si>
  <si>
    <t>Manganese dioxide</t>
  </si>
  <si>
    <t xml:space="preserve">             1.57 </t>
  </si>
  <si>
    <t>Manganese sulfate</t>
  </si>
  <si>
    <t>4.65E-03</t>
  </si>
  <si>
    <t>Mechanical energy from diesel (14.3 MJ/kg)</t>
  </si>
  <si>
    <t xml:space="preserve">             2.28 </t>
  </si>
  <si>
    <t xml:space="preserve">             36.2 </t>
  </si>
  <si>
    <t>Nitrogen gaseous</t>
  </si>
  <si>
    <t xml:space="preserve">             6.81 </t>
  </si>
  <si>
    <t>Oxygen liquid</t>
  </si>
  <si>
    <t xml:space="preserve">             34.1 </t>
  </si>
  <si>
    <t>Petrol coke</t>
  </si>
  <si>
    <t xml:space="preserve">         0.0431 </t>
  </si>
  <si>
    <t>Phosphoric acid</t>
  </si>
  <si>
    <t xml:space="preserve">         0.0203 </t>
  </si>
  <si>
    <t>Polyacrylamide</t>
  </si>
  <si>
    <t xml:space="preserve">           0.150 </t>
  </si>
  <si>
    <t>Potassium antimony tartrate</t>
  </si>
  <si>
    <t>1.43E-03</t>
  </si>
  <si>
    <t>Potassium permanganate</t>
  </si>
  <si>
    <t xml:space="preserve">         0.0173 </t>
  </si>
  <si>
    <t xml:space="preserve">           0.934 </t>
  </si>
  <si>
    <t>Recycled acid</t>
  </si>
  <si>
    <t xml:space="preserve">             5.40 </t>
  </si>
  <si>
    <t>Residue from stockpile</t>
  </si>
  <si>
    <t xml:space="preserve">             7.52 </t>
  </si>
  <si>
    <t>Silver</t>
  </si>
  <si>
    <t>Soaping agent</t>
  </si>
  <si>
    <t>Sodium acetate</t>
  </si>
  <si>
    <t xml:space="preserve">             4.76 </t>
  </si>
  <si>
    <t>Sodium chloride</t>
  </si>
  <si>
    <t>Sodium hydrogen sulfide</t>
  </si>
  <si>
    <t xml:space="preserve">             4.05 </t>
  </si>
  <si>
    <t>Sodium hydroxide</t>
  </si>
  <si>
    <t xml:space="preserve">             6.02 </t>
  </si>
  <si>
    <t>Sodium hypochlorite</t>
  </si>
  <si>
    <t>0.0239</t>
  </si>
  <si>
    <t>Sodium silicate</t>
  </si>
  <si>
    <t>0.0209</t>
  </si>
  <si>
    <t>Sodium sulphide</t>
  </si>
  <si>
    <t>0.0371</t>
  </si>
  <si>
    <t>Strontium carbonate</t>
  </si>
  <si>
    <t>0.211</t>
  </si>
  <si>
    <t xml:space="preserve">             45.0 </t>
  </si>
  <si>
    <t>Surfactants (tensides)</t>
  </si>
  <si>
    <t>7.71E-03</t>
  </si>
  <si>
    <t>light fuel oil, thermal energy</t>
  </si>
  <si>
    <t xml:space="preserve">             5.71 </t>
  </si>
  <si>
    <t xml:space="preserve">           0.259 </t>
  </si>
  <si>
    <t>Urea</t>
  </si>
  <si>
    <t xml:space="preserve">         0.0113 </t>
  </si>
  <si>
    <t>Al land footprint</t>
  </si>
  <si>
    <t>Al water footprint</t>
  </si>
  <si>
    <t>natural gas density</t>
  </si>
  <si>
    <t>kg/m3</t>
  </si>
  <si>
    <t>https://corrim.org/wp-content/uploads/Module-E-OSB-Final-w-survey.pdf</t>
  </si>
  <si>
    <t>"Life Cycle Assessment of Oriented
Strandboard (OSB) Production"</t>
  </si>
  <si>
    <t>OSB density</t>
  </si>
  <si>
    <t>https://doi.org/10.1016/j.inteco.2020.05.002</t>
  </si>
  <si>
    <t>The impact of future power generation on cement demand: An international and regional assessment based on climate scenarios</t>
  </si>
  <si>
    <t>kg, Portland Cement (Dry process)</t>
  </si>
  <si>
    <t>Extraction</t>
  </si>
  <si>
    <t>Clinker production</t>
  </si>
  <si>
    <t>Crushing</t>
  </si>
  <si>
    <t>Total</t>
  </si>
  <si>
    <t>https://doi.org/10.1016/j.jclepro.2017.03.118</t>
  </si>
  <si>
    <t>"Comparative assessment of embodied energy of recycled aggregate concrete"</t>
  </si>
  <si>
    <t>kg of Concrete aggregates</t>
  </si>
  <si>
    <t>Reference values for 2015</t>
  </si>
  <si>
    <t>Sand, Global</t>
  </si>
  <si>
    <t xml:space="preserve">From </t>
  </si>
  <si>
    <t>Aggregates land footprint</t>
  </si>
  <si>
    <t>Aggregates water footprint</t>
  </si>
  <si>
    <t>Aggregates carbon footprint</t>
  </si>
  <si>
    <t xml:space="preserve">Quarrying </t>
  </si>
  <si>
    <t>Aggregates processing</t>
  </si>
  <si>
    <t xml:space="preserve">MJ/kg </t>
  </si>
  <si>
    <t>https://doi.org/10.1016/j.enpol.2010.09.022</t>
  </si>
  <si>
    <t>and</t>
  </si>
  <si>
    <t>https://doi.org/10.1111/jiec.13112</t>
  </si>
  <si>
    <t>"Energy consumption and CO2 emissions of the European glass industry"</t>
  </si>
  <si>
    <t>"Global material flow analysis of glass: From raw materials to end of life"</t>
  </si>
  <si>
    <t>kg of Glass</t>
  </si>
  <si>
    <t>Flat glass, Europa</t>
  </si>
  <si>
    <t>Glass material footprint</t>
  </si>
  <si>
    <t>Glass land footprint</t>
  </si>
  <si>
    <t>Glass water footprint</t>
  </si>
  <si>
    <t>Glass carbon footprint</t>
  </si>
  <si>
    <t>However, according to process emissions:</t>
  </si>
  <si>
    <t>Combustion emissions:</t>
  </si>
  <si>
    <t>kg CO2/kg</t>
  </si>
  <si>
    <t xml:space="preserve">According to </t>
  </si>
  <si>
    <t>combustion emission represent 62% ans process emission 16%</t>
  </si>
  <si>
    <t>Process emissions/residual:</t>
  </si>
  <si>
    <t>this is coherent with the table</t>
  </si>
  <si>
    <t>Tot</t>
  </si>
  <si>
    <t>Calculations based on https://doi.org/10.1016/j.enpol.2010.09.022</t>
  </si>
  <si>
    <t>Total FG produced</t>
  </si>
  <si>
    <t>ton</t>
  </si>
  <si>
    <t>Total electricity</t>
  </si>
  <si>
    <t>GJ</t>
  </si>
  <si>
    <t>Electricity per unit</t>
  </si>
  <si>
    <t>GJ/t = MJ/kg</t>
  </si>
  <si>
    <t>Fuel per unit</t>
  </si>
  <si>
    <t>Natural gas mix</t>
  </si>
  <si>
    <t>Fuel oil mix</t>
  </si>
  <si>
    <t>Natural gas per unit</t>
  </si>
  <si>
    <t>Fuel oil per unit</t>
  </si>
  <si>
    <t>http://www.inference.org.uk/sustainable/LCA/elcd/external_docs/eps_31116f05-fabd-11da-974d-0800200c9a66.pdf</t>
  </si>
  <si>
    <t>Eco-profiles of the European Plastics Industry POLYSTYRENE (Expandable)(EPS)</t>
  </si>
  <si>
    <t>kg of Expanded Polystyrene standard (EPS)</t>
  </si>
  <si>
    <t>Insul. material footprint</t>
  </si>
  <si>
    <t>Insul. land footprint</t>
  </si>
  <si>
    <t>Insul. water footprint</t>
  </si>
  <si>
    <t>Insul. carbon footprint</t>
  </si>
  <si>
    <t>kg of polyethylene</t>
  </si>
  <si>
    <t>Plastics material footprint</t>
  </si>
  <si>
    <t>Plastics land footprint</t>
  </si>
  <si>
    <t>Plastics water footprint</t>
  </si>
  <si>
    <t>https://doi.org/10.1016/j.clce.2022.100058</t>
  </si>
  <si>
    <t>"Energy efficiency improvement potentials through energy benchmarking in pulp and paper industry"</t>
  </si>
  <si>
    <t>kg of cardboard</t>
  </si>
  <si>
    <t>Paper material footprint</t>
  </si>
  <si>
    <t>Paper land footprint</t>
  </si>
  <si>
    <t>Paper water footprint</t>
  </si>
  <si>
    <t>Paper carbon footprint</t>
  </si>
  <si>
    <t>thermal energy assumed natural gas</t>
  </si>
  <si>
    <t>https://international-aluminium.org/resource/life-cycle-inventory-data-and-environmental-metrics/</t>
  </si>
  <si>
    <t>"Life Cycle Inventory (LCI) Data and Environmental Metrics"</t>
  </si>
  <si>
    <t>kg of Al from primary (= virgin, ore) ressources, modelled as 100% Al (no other chemical elements are present)</t>
  </si>
  <si>
    <t>Scenario value: Assume no change in Al material footprint, ample resources of bauxite.</t>
  </si>
  <si>
    <t>Scenario value: Assume no change in Al landl footprint, ample resources of bauxite.</t>
  </si>
  <si>
    <t>Bauxite mining</t>
  </si>
  <si>
    <t>Alumina production</t>
  </si>
  <si>
    <t>Anode/paste</t>
  </si>
  <si>
    <t>Electrolysis</t>
  </si>
  <si>
    <t>Casting</t>
  </si>
  <si>
    <t>Coal, hard coal</t>
  </si>
  <si>
    <t>MJ/kg Al</t>
  </si>
  <si>
    <t>kg/t</t>
  </si>
  <si>
    <t>m3/t</t>
  </si>
  <si>
    <t>kWh/t</t>
  </si>
  <si>
    <t xml:space="preserve">natural gas density </t>
  </si>
  <si>
    <t>Energy input</t>
  </si>
  <si>
    <t>Heavy oil</t>
  </si>
  <si>
    <t>kg/t Al ingot</t>
  </si>
  <si>
    <t>Diesel oil</t>
  </si>
  <si>
    <t>m3/t Al ingot</t>
  </si>
  <si>
    <t>Coal</t>
  </si>
  <si>
    <t>kWh/t Al ingot</t>
  </si>
  <si>
    <t xml:space="preserve">kg steel </t>
  </si>
  <si>
    <t>Values are  multiplied with 2 as 2ton of con. is used to get 1 ton of SHG zinc</t>
  </si>
  <si>
    <t>Zn carbon footprint</t>
  </si>
  <si>
    <t>Constants:</t>
  </si>
  <si>
    <t>Thermal energy assumed to be natural gas</t>
  </si>
  <si>
    <t>Wood land footprint</t>
  </si>
  <si>
    <t>Wood water footprint</t>
  </si>
  <si>
    <t>Wood carbon footprint</t>
  </si>
  <si>
    <t>Cement land footprint</t>
  </si>
  <si>
    <t>Cement water footprint</t>
  </si>
  <si>
    <t>Cement carbon footprint</t>
  </si>
  <si>
    <t>Steel land footprint</t>
  </si>
  <si>
    <t>Steel water footprint</t>
  </si>
  <si>
    <t>Steel carbon footprint</t>
  </si>
  <si>
    <t>Status</t>
  </si>
  <si>
    <t>copper</t>
  </si>
  <si>
    <t>ready for transfer to RECC v2.5 database</t>
  </si>
  <si>
    <t>Residual Carbon footprint (scope 1 and scope 3: process emissions and infrastructure)</t>
  </si>
  <si>
    <t>steel</t>
  </si>
  <si>
    <t>aluminium</t>
  </si>
  <si>
    <t xml:space="preserve">wood </t>
  </si>
  <si>
    <t>aggregates</t>
  </si>
  <si>
    <t>insulation</t>
  </si>
  <si>
    <t>    + Check alternative cement production routes, including limestone cement (ternary blend of Portland cement, blast furnace or fly ash (alternative: calcinated clay), and limestone powder): </t>
  </si>
  <si>
    <t>       https://www.concretecentre.com/CPD-Events/Sustainability-series/Week-5-Delivering-real-carbon-reductions.aspx?dm_i=438Y,1FO1F,5AQSFH,6N8CP,1</t>
  </si>
  <si>
    <t>        + clinker substitution: 73% clinker ratio by 2050 (roughly consistent with Shanks!)</t>
  </si>
  <si>
    <t>        + alternative fuels: esp. biogenic waste! up to 30%/50%.</t>
  </si>
  <si>
    <t>        --&gt; Supply-side measures in Table 1 of Cao et al. https://doi.org/10.1038/s41467-020-17583-w </t>
  </si>
  <si>
    <r>
      <t xml:space="preserve">        + energy efficiency improvement (nat. gas from 3.3 - </t>
    </r>
    <r>
      <rPr>
        <b/>
        <sz val="11"/>
        <color theme="1"/>
        <rFont val="Calibri"/>
        <family val="2"/>
        <scheme val="minor"/>
      </rPr>
      <t>3.2 GJ/ton</t>
    </r>
    <r>
      <rPr>
        <sz val="11"/>
        <color theme="1"/>
        <rFont val="Calibri"/>
        <family val="2"/>
        <scheme val="minor"/>
      </rPr>
      <t>, electric energy to 92 kWh/t), </t>
    </r>
  </si>
  <si>
    <t xml:space="preserve">        From Shanks et al. (2019): Substitute clinker for limestone and calcinated clay: "Up to 45% of the clinker in cement can be replaced by a coupled substitution of kaolinite-rich calcined clay (30%) and limestone (15%) (Scrivener, 2014; Zhou et al., 2017), </t>
  </si>
  <si>
    <t xml:space="preserve">       producing concretes that are at least as strong as mixes using pure CEM I (Antoni et al., 2012; Cancio Díaz et al. 2017). Replacement by a further 15% (to 60% in total) will produce concrete that is 93% as strong as Portland cement (Antoni et al., 2012). Global penetration could replace cement by 10–20% "</t>
  </si>
  <si>
    <t>--&gt; Reduce heat demand from currently 4.05 MJ/kg down to 3.2 MJ/kg</t>
  </si>
  <si>
    <t>--&gt;Reduce clinker rate further down to 60%, using fly ash, calcinated clay/puzzolane, or limestone as substitute</t>
  </si>
  <si>
    <t>Clinker/Cement ratio</t>
  </si>
  <si>
    <t>Cao et al. https://doi.org/10.1038/s41467-020-17583-w </t>
  </si>
  <si>
    <t>Shanks et al. 10.1016/j.resconrec.2018.11.002</t>
  </si>
  <si>
    <t>Source:</t>
  </si>
  <si>
    <t>per kg clinker</t>
  </si>
  <si>
    <t>per kg cement</t>
  </si>
  <si>
    <t>scaled with clinker content</t>
  </si>
  <si>
    <t>ref. Cao et al.</t>
  </si>
  <si>
    <t>ref. Shanks et al.</t>
  </si>
  <si>
    <t>Assumption: process emissions scale with clinker content reduction</t>
  </si>
  <si>
    <t>stays the same as also the other components need extraction and grinding</t>
  </si>
  <si>
    <t>no transfer yet, refinement needed</t>
  </si>
  <si>
    <t>Assuming no substantial change over time</t>
  </si>
  <si>
    <t>https://www.hydro.com/en/products-and-services/low-carbon-aluminium/</t>
  </si>
  <si>
    <t>https://onlinelibrary.wiley.com/doi/full/10.1111/jiec.12268</t>
  </si>
  <si>
    <t xml:space="preserve">From Edgar (12.8.19): Regarding the Alu, I wonder what degree of recycling your institute, given that your own previous work shows that this is important. The literature regarding the el mix is all over the map, there is an argument by our friends in Michigan that the el mix is dirtier than the average, resulting in up to 20 kgCO2e/kg https://onlinelibrary.wiley.com/doi/full/10.1111/jiec.12268 whereas a study by the IAI team (using GABI ) argues for 11 in the world outside China, with China bringing the average to 20. https://link.springer.com/article/10.1007/s11367-015-1003-7 The decarbonization we assume would however reduce this by a lot, and so I would be fine with making assumptions around that. The factor would be close to 4.3 kgCO2e/kg with a completely renewable grid, according to the Keolian JIE paper. Based on that paper, you could approximate the emissions per kg = 4.3 kg + 25 kWh * EF (in kg/kWh). </t>
  </si>
  <si>
    <t>For RCP 2.6: Assume a 50% phase-in of inert anodes, thus halving both resdiual emissions and coal consumption.</t>
  </si>
  <si>
    <t>MJ El/kg</t>
  </si>
  <si>
    <t>Long-term efficiency goal for Al electricity demand, gemäß Benedyk et al (2001) via Fleiter et al. (2013).</t>
  </si>
  <si>
    <t>(ca. 40)</t>
  </si>
  <si>
    <t>Benedyk, J. C. (2001): Status report on inert anode technology for primary aluminum.</t>
  </si>
  <si>
    <t>Fleiter et al. (2013): Energieverbrauch und CO2-Emissionen industrieller Prozesstechnologien – Einsparpotenziale, Hemmnisse und Instrumente. Fraunhofer ISI, Karlsruhe, Germany.</t>
  </si>
  <si>
    <t>Scenario:</t>
  </si>
  <si>
    <t>https://www.carbontrust.com/media/38366/ctc790-international-carbon-flows_-aluminium.pdf</t>
  </si>
  <si>
    <t>https://link.springer.com/article/10.1007/s11367-015-1003-7</t>
  </si>
  <si>
    <t>3) RCP 2.6 steelmaking with H2 modeled after ref. [7], fig. B6: for ALL types of steel and iron</t>
  </si>
  <si>
    <t>Stainless steel: same procdure, but add (for non-iron materials) the 2015 difference to all values: (4,67t-1,849t)</t>
  </si>
  <si>
    <t>[7]: 2019: STUDIE  Schlüsseltechnologien und Politikoptionen für Stahl, Chemie und Zement ERSTELLT VON Agora EnergiewendeKlimaneutrale Industrie</t>
  </si>
  <si>
    <t>Priority</t>
  </si>
  <si>
    <t>High</t>
  </si>
  <si>
    <t>Medium</t>
  </si>
  <si>
    <t>Stainless steel: same procedure, as for standard steel but add (for non-iron materials) the 2015 difference in residual GHG from ecoinvent to all GHG values: (4,67t-1,849t)</t>
  </si>
  <si>
    <t>t CO2-eq/ton</t>
  </si>
  <si>
    <t>Produkt (German)</t>
  </si>
  <si>
    <t>kg steel, stainless</t>
  </si>
  <si>
    <t>construction grade steel</t>
  </si>
  <si>
    <t>automotive steel</t>
  </si>
  <si>
    <t>Karbonstahl, aus Erz, Europa</t>
  </si>
  <si>
    <t>steel, unalloyed, from ore, Global</t>
  </si>
  <si>
    <t>ac18ddb5-b8d5-33a7-8e22-194a106ddd7f</t>
  </si>
  <si>
    <t>steel production, converter, unalloyed</t>
  </si>
  <si>
    <t>ReCiPe Land occupation, m²yr crop-equivalents (ReCiPe 2016, (H))</t>
  </si>
  <si>
    <t>construction grade steel, from ore</t>
  </si>
  <si>
    <t>Coke</t>
  </si>
  <si>
    <t>From iron ore, scrap input removed and replaced by addional pig iron input of 1.10833 kg/kg in total.</t>
  </si>
  <si>
    <t>scrap deleted</t>
  </si>
  <si>
    <t>pig iron used</t>
  </si>
  <si>
    <t>Requirements by process, all scaled to 1 kg of scrap-free non-alloyed primary steel</t>
  </si>
  <si>
    <t>steel converter</t>
  </si>
  <si>
    <t>blast furnace</t>
  </si>
  <si>
    <t>Iron pellet</t>
  </si>
  <si>
    <t>iron sinter</t>
  </si>
  <si>
    <t>iron pellet production</t>
  </si>
  <si>
    <t>iron sinter production</t>
  </si>
  <si>
    <t>coke production</t>
  </si>
  <si>
    <t>lower end, so that residual CO2 is still positive</t>
  </si>
  <si>
    <t>For the H2-direct reduction and electric arc furnace route:</t>
  </si>
  <si>
    <t>Agora Energiewende and Wuppertal Institute</t>
  </si>
  <si>
    <t>STUDIE  Schlüsseltechnologien und Politikoptionen für Stahl, Chemie und Zement ERSTELLT VON Agora EnergiewendeKlimaneutrale Industrie</t>
  </si>
  <si>
    <t>3,3 kWh/kg</t>
  </si>
  <si>
    <t>0,053 kg CO2/kg</t>
  </si>
  <si>
    <t>electricity demand for hydrogen production</t>
  </si>
  <si>
    <t>direct CO2 from electrode consumption/burn-off</t>
  </si>
  <si>
    <t>% Conventional/H2-based</t>
  </si>
  <si>
    <t>For primary production: model exactly as non-alloyed steel from ore only. Casting follows after steel converter.</t>
  </si>
  <si>
    <t>Sections 2.1.3 and 2.1.5</t>
  </si>
  <si>
    <t xml:space="preserve"> Modelled as 30 year transition: share of H2-direct reduction in steel making: 2020: 0%, 2030: 30%, 2040: 70%, 2050: 100%.</t>
  </si>
  <si>
    <t xml:space="preserve"> + Direct CO2 down to 0,053 ton/ton for H2-option</t>
  </si>
  <si>
    <t xml:space="preserve"> + Electricity input up to 3.3 MWh/ton for H2-option.</t>
  </si>
  <si>
    <t>ecoinvent 3.8</t>
  </si>
  <si>
    <t>Modify steel converter process: 0.23211055 of scrap input converted to 0.23211055*1.05 of additional pig iron input (to account for ca.5% carbon content)</t>
  </si>
  <si>
    <t xml:space="preserve">Stefan for RECC v2.4 (!): I agree with your target for Al and will implement it. </t>
  </si>
  <si>
    <t>Hydro (https://www.hydro.com/en/products-and-services/low-carbon-aluminium/) claims something similar, that the can produce at 1/3 of the current world average (12 kg) using hydropower.</t>
  </si>
  <si>
    <t>9ac06afd-0816-3cfc-ad83-d1d00cd75568</t>
  </si>
  <si>
    <t>Brettsperrholz, Global</t>
  </si>
  <si>
    <t>cross-laminated timber, Global</t>
  </si>
  <si>
    <t>cross-laminated timber production</t>
  </si>
  <si>
    <t>kg of CLT (cross-laminated timber)</t>
  </si>
  <si>
    <t>numbers from ecoinvent process inventory</t>
  </si>
  <si>
    <t>Raw material input (RMI), biomass</t>
  </si>
  <si>
    <t>Raw material input (RMI), fossil fuels</t>
  </si>
  <si>
    <t>Raw material input (RMI), metal ores</t>
  </si>
  <si>
    <t>Raw material input (RMI), non-metallic minerals</t>
  </si>
  <si>
    <t>Raw material input (RMI), abiotic materials</t>
  </si>
  <si>
    <t>Raw material input (RMI), all materials</t>
  </si>
  <si>
    <t>50bfb731-09eb-3b36-9ae1-3ef408b78cd6</t>
  </si>
  <si>
    <t>Material footprint (Raw material equivalent), non-metallic minerals, kg</t>
  </si>
  <si>
    <t>539b6a4d-e28b-3ecd-8795-3564a025c8b1</t>
  </si>
  <si>
    <t>Material footprint (Raw material equivalent), biomass, kg</t>
  </si>
  <si>
    <t>Mining and concentration</t>
  </si>
  <si>
    <t>https://www.pbl.nl/sites/default/files/downloads/pbl-2019-decarbonisation-options-for-the-dutch-zinc-industry_3731.pdf</t>
  </si>
  <si>
    <t>http://www.inference.org.uk/sustainable/LCA/elcd/external_docs/ldpe_311147f4-fabd-11da-974d-0800200c9a66.pdf</t>
  </si>
  <si>
    <t>OTHER ssumed natural gas</t>
  </si>
  <si>
    <t>"Eco-profiles of the European plastics industry - LDPE"</t>
  </si>
  <si>
    <t>Other</t>
  </si>
  <si>
    <t>Electrolysis (P)</t>
  </si>
  <si>
    <t>Paste/Anode</t>
  </si>
  <si>
    <t>Materials</t>
  </si>
  <si>
    <t>Fuels</t>
  </si>
  <si>
    <t>diesel</t>
  </si>
  <si>
    <t>gasoline</t>
  </si>
  <si>
    <t>fuel oil</t>
  </si>
  <si>
    <t>natural gas</t>
  </si>
  <si>
    <t>Impact</t>
  </si>
  <si>
    <t>Water depletion</t>
  </si>
  <si>
    <t>Energy intensity</t>
  </si>
  <si>
    <t>electricity</t>
  </si>
  <si>
    <t>production of copper electric grade, primary</t>
  </si>
  <si>
    <t>production of cement</t>
  </si>
  <si>
    <t>production of concrete, aggregates</t>
  </si>
  <si>
    <t>production of construction grade steel, primary</t>
  </si>
  <si>
    <t>production of automotive steel, primary</t>
  </si>
  <si>
    <t>production of cast iron, primary</t>
  </si>
  <si>
    <t>production of stainless steel, primary</t>
  </si>
  <si>
    <t>production of wrought Al, primary</t>
  </si>
  <si>
    <t>production of cast Al, primary</t>
  </si>
  <si>
    <t>production of wood and wood products, primary</t>
  </si>
  <si>
    <t>production of zinc, primary</t>
  </si>
  <si>
    <t>production of plastics, primary</t>
  </si>
  <si>
    <t>production of glass, primary</t>
  </si>
  <si>
    <t>production of insulation material</t>
  </si>
  <si>
    <t>production of paper and cardboard, primary</t>
  </si>
  <si>
    <t>coal, hard coal</t>
  </si>
  <si>
    <t>heavy fuel oil</t>
  </si>
  <si>
    <t>to be filled</t>
  </si>
  <si>
    <t>GWP1000</t>
  </si>
  <si>
    <t>Land occupation</t>
  </si>
  <si>
    <t>x</t>
  </si>
  <si>
    <t>[empty on purpose]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</si>
</sst>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0"/>
    <numFmt numFmtId="165" formatCode="0.0000000"/>
    <numFmt numFmtId="166" formatCode="0.0\ %"/>
    <numFmt numFmtId="167" formatCode="0.000"/>
    <numFmt numFmtId="168" formatCode="#,##0.0"/>
    <numFmt numFmtId="169" formatCode="#,##0.000"/>
  </numFmts>
  <fonts count="33">
    <font>
      <sz val="11"/>
      <color theme="1"/>
      <name val="Calibri"/>
      <family val="2"/>
      <scheme val="minor"/>
    </font>
    <font>
      <b/>
      <sz val="11"/>
      <color theme="1"/>
      <name val="Calibri"/>
      <family val="2"/>
      <scheme val="minor"/>
    </font>
    <font>
      <sz val="11"/>
      <color theme="1"/>
      <name val="Calibri"/>
      <family val="2"/>
      <scheme val="minor"/>
    </font>
    <font>
      <u/>
      <sz val="11"/>
      <color theme="10"/>
      <name val="Calibri"/>
      <family val="2"/>
      <scheme val="minor"/>
    </font>
    <font>
      <sz val="11"/>
      <name val="Calibri"/>
      <family val="2"/>
      <charset val="128"/>
      <scheme val="minor"/>
    </font>
    <font>
      <sz val="10"/>
      <name val="Arial"/>
      <family val="2"/>
    </font>
    <font>
      <sz val="10"/>
      <color rgb="FF000000"/>
      <name val="TimesNewRomanPSMT"/>
    </font>
    <font>
      <sz val="11"/>
      <color rgb="FFFF0000"/>
      <name val="Calibri"/>
      <family val="2"/>
      <scheme val="minor"/>
    </font>
    <font>
      <b/>
      <u/>
      <sz val="11"/>
      <color theme="1"/>
      <name val="Calibri"/>
      <family val="2"/>
      <scheme val="minor"/>
    </font>
    <font>
      <sz val="10"/>
      <color rgb="FF333333"/>
      <name val="Segoe UI"/>
      <family val="2"/>
    </font>
    <font>
      <sz val="9"/>
      <color theme="1"/>
      <name val="Calibri"/>
      <family val="2"/>
      <scheme val="minor"/>
    </font>
    <font>
      <sz val="11"/>
      <color theme="2" tint="-0.249977111117893"/>
      <name val="Calibri"/>
      <family val="2"/>
      <scheme val="minor"/>
    </font>
    <font>
      <sz val="9"/>
      <color theme="2" tint="-0.249977111117893"/>
      <name val="Calibri"/>
      <family val="2"/>
      <scheme val="minor"/>
    </font>
    <font>
      <sz val="11"/>
      <color rgb="FF2E2E2E"/>
      <name val="Georgia"/>
      <family val="1"/>
    </font>
    <font>
      <sz val="11"/>
      <color rgb="FF333333"/>
      <name val="Georgia"/>
      <family val="1"/>
    </font>
    <font>
      <b/>
      <sz val="11"/>
      <color rgb="FF333333"/>
      <name val="Georgia"/>
      <family val="1"/>
    </font>
    <font>
      <sz val="10"/>
      <color rgb="FF000000"/>
      <name val="Times New Roman"/>
      <family val="1"/>
    </font>
    <font>
      <b/>
      <sz val="11"/>
      <name val="Times New Roman"/>
      <family val="1"/>
    </font>
    <font>
      <sz val="11"/>
      <name val="Times New Roman"/>
      <family val="1"/>
    </font>
    <font>
      <sz val="11"/>
      <color theme="0" tint="-0.249977111117893"/>
      <name val="Georgia"/>
      <family val="1"/>
    </font>
    <font>
      <sz val="8"/>
      <color theme="0" tint="-0.249977111117893"/>
      <name val="Georgia"/>
      <family val="1"/>
    </font>
    <font>
      <b/>
      <sz val="10"/>
      <color theme="2"/>
      <name val="Times New Roman"/>
      <family val="1"/>
    </font>
    <font>
      <sz val="11"/>
      <name val="Calibri"/>
      <family val="2"/>
      <scheme val="minor"/>
    </font>
    <font>
      <b/>
      <sz val="8"/>
      <name val="Helvetica"/>
      <family val="2"/>
    </font>
    <font>
      <sz val="8"/>
      <name val="Helvetica"/>
      <family val="2"/>
    </font>
    <font>
      <sz val="8"/>
      <color theme="1"/>
      <name val="Calibri"/>
      <family val="2"/>
      <scheme val="minor"/>
    </font>
    <font>
      <b/>
      <sz val="8"/>
      <color theme="1"/>
      <name val="Calibri"/>
      <family val="2"/>
      <scheme val="minor"/>
    </font>
    <font>
      <b/>
      <sz val="14"/>
      <color theme="1"/>
      <name val="Calibri"/>
      <family val="2"/>
      <scheme val="minor"/>
    </font>
    <font>
      <b/>
      <sz val="11"/>
      <name val="Calibri"/>
      <family val="2"/>
      <scheme val="minor"/>
    </font>
    <font>
      <sz val="11"/>
      <name val="Helvetica"/>
      <family val="2"/>
    </font>
    <font>
      <b/>
      <sz val="11"/>
      <name val="Helvetica"/>
      <family val="2"/>
    </font>
    <font>
      <sz val="11"/>
      <color theme="1"/>
      <name val="Helvetica"/>
      <family val="2"/>
    </font>
    <font>
      <b/>
      <sz val="11"/>
      <color rgb="FFFF0000"/>
      <name val="Calibri"/>
      <family val="2"/>
      <scheme val="minor"/>
    </font>
  </fonts>
  <fills count="21">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6" tint="0.59999389629810485"/>
        <bgColor indexed="64"/>
      </patternFill>
    </fill>
    <fill>
      <patternFill patternType="solid">
        <fgColor rgb="FFC00000"/>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8" tint="0.79998168889431442"/>
        <bgColor indexed="64"/>
      </patternFill>
    </fill>
  </fills>
  <borders count="2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ck">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6">
    <xf numFmtId="0" fontId="0" fillId="0" borderId="0"/>
    <xf numFmtId="0" fontId="3" fillId="0" borderId="0" applyNumberFormat="0" applyFill="0" applyBorder="0" applyAlignment="0" applyProtection="0"/>
    <xf numFmtId="0" fontId="5" fillId="0" borderId="0"/>
    <xf numFmtId="9" fontId="2" fillId="0" borderId="0" applyFont="0" applyFill="0" applyBorder="0" applyAlignment="0" applyProtection="0"/>
    <xf numFmtId="0" fontId="5" fillId="0" borderId="0"/>
    <xf numFmtId="43" fontId="2" fillId="0" borderId="0" applyFont="0" applyFill="0" applyBorder="0" applyAlignment="0" applyProtection="0"/>
  </cellStyleXfs>
  <cellXfs count="227">
    <xf numFmtId="0" fontId="0" fillId="0" borderId="0" xfId="0"/>
    <xf numFmtId="0" fontId="1" fillId="0" borderId="0" xfId="0" applyFont="1"/>
    <xf numFmtId="0" fontId="1" fillId="2" borderId="0" xfId="0" applyFont="1" applyFill="1"/>
    <xf numFmtId="0" fontId="1" fillId="3" borderId="0" xfId="0" applyFont="1" applyFill="1"/>
    <xf numFmtId="0" fontId="0" fillId="2" borderId="0" xfId="0" applyFill="1"/>
    <xf numFmtId="0" fontId="1" fillId="4" borderId="0" xfId="0" applyFont="1" applyFill="1"/>
    <xf numFmtId="0" fontId="0" fillId="4" borderId="0" xfId="0" applyFill="1"/>
    <xf numFmtId="0" fontId="1" fillId="5" borderId="0" xfId="0" applyFont="1" applyFill="1"/>
    <xf numFmtId="0" fontId="0" fillId="5" borderId="0" xfId="0" applyFill="1"/>
    <xf numFmtId="0" fontId="1" fillId="6" borderId="0" xfId="0" applyFont="1" applyFill="1"/>
    <xf numFmtId="0" fontId="0" fillId="6" borderId="0" xfId="0" applyFill="1"/>
    <xf numFmtId="0" fontId="1" fillId="7" borderId="0" xfId="0" applyFont="1" applyFill="1"/>
    <xf numFmtId="0" fontId="0" fillId="3" borderId="0" xfId="0" applyFill="1"/>
    <xf numFmtId="0" fontId="0" fillId="7" borderId="0" xfId="0" applyFill="1"/>
    <xf numFmtId="0" fontId="0" fillId="0" borderId="0" xfId="0" quotePrefix="1"/>
    <xf numFmtId="0" fontId="4" fillId="0" borderId="0" xfId="0" applyFont="1" applyAlignment="1">
      <alignment vertical="center"/>
    </xf>
    <xf numFmtId="0" fontId="4" fillId="0" borderId="0" xfId="0" applyFont="1"/>
    <xf numFmtId="0" fontId="0" fillId="5" borderId="0" xfId="0" applyFill="1" applyAlignment="1">
      <alignment horizontal="center"/>
    </xf>
    <xf numFmtId="0" fontId="0" fillId="0" borderId="0" xfId="0" applyAlignment="1">
      <alignment horizontal="center"/>
    </xf>
    <xf numFmtId="0" fontId="3" fillId="0" borderId="0" xfId="1"/>
    <xf numFmtId="0" fontId="6" fillId="0" borderId="0" xfId="0" applyFont="1"/>
    <xf numFmtId="0" fontId="1" fillId="3" borderId="0" xfId="0" applyFont="1" applyFill="1" applyAlignment="1">
      <alignment wrapText="1"/>
    </xf>
    <xf numFmtId="0" fontId="0" fillId="7" borderId="0" xfId="0" applyFill="1" applyAlignment="1">
      <alignment horizontal="center"/>
    </xf>
    <xf numFmtId="0" fontId="1" fillId="3" borderId="0" xfId="0" applyFont="1" applyFill="1" applyAlignment="1">
      <alignment horizontal="center"/>
    </xf>
    <xf numFmtId="0" fontId="0" fillId="7" borderId="0" xfId="0" applyFill="1" applyAlignment="1">
      <alignment horizontal="center" vertical="center"/>
    </xf>
    <xf numFmtId="0" fontId="7" fillId="0" borderId="0" xfId="0" applyFont="1"/>
    <xf numFmtId="164" fontId="0" fillId="0" borderId="0" xfId="0" applyNumberFormat="1"/>
    <xf numFmtId="9" fontId="0" fillId="0" borderId="0" xfId="3" applyFont="1"/>
    <xf numFmtId="0" fontId="1" fillId="7" borderId="0" xfId="0" applyFont="1" applyFill="1" applyAlignment="1">
      <alignment horizontal="center"/>
    </xf>
    <xf numFmtId="0" fontId="1" fillId="7" borderId="0" xfId="0" applyFont="1" applyFill="1" applyAlignment="1">
      <alignment vertical="center" wrapText="1"/>
    </xf>
    <xf numFmtId="0" fontId="0" fillId="0" borderId="0" xfId="0" applyAlignment="1">
      <alignment vertical="center"/>
    </xf>
    <xf numFmtId="0" fontId="8" fillId="0" borderId="0" xfId="0" applyFont="1"/>
    <xf numFmtId="0" fontId="0" fillId="0" borderId="0" xfId="0" applyAlignment="1">
      <alignment wrapText="1"/>
    </xf>
    <xf numFmtId="0" fontId="9" fillId="0" borderId="0" xfId="0" applyFont="1"/>
    <xf numFmtId="0" fontId="1" fillId="0" borderId="0" xfId="0" applyFont="1" applyAlignment="1">
      <alignment wrapText="1"/>
    </xf>
    <xf numFmtId="0" fontId="1" fillId="0" borderId="0" xfId="0" applyFont="1" applyAlignment="1">
      <alignment vertical="center" wrapText="1"/>
    </xf>
    <xf numFmtId="0" fontId="10" fillId="0" borderId="0" xfId="0" applyFont="1"/>
    <xf numFmtId="0" fontId="11" fillId="0" borderId="0" xfId="0" applyFont="1"/>
    <xf numFmtId="0" fontId="12" fillId="0" borderId="0" xfId="0" applyFont="1"/>
    <xf numFmtId="0" fontId="1" fillId="7" borderId="0" xfId="0" applyFont="1" applyFill="1" applyAlignment="1">
      <alignment vertical="center"/>
    </xf>
    <xf numFmtId="0" fontId="1" fillId="5" borderId="0" xfId="0" applyFont="1" applyFill="1" applyAlignment="1">
      <alignment vertical="center"/>
    </xf>
    <xf numFmtId="0" fontId="1" fillId="0" borderId="0" xfId="0" applyFont="1" applyAlignment="1">
      <alignment vertical="center"/>
    </xf>
    <xf numFmtId="0" fontId="13" fillId="0" borderId="0" xfId="0" applyFont="1"/>
    <xf numFmtId="0" fontId="0" fillId="2" borderId="0" xfId="0" applyFill="1" applyAlignment="1">
      <alignment horizontal="center"/>
    </xf>
    <xf numFmtId="0" fontId="1" fillId="4" borderId="0" xfId="0" applyFont="1" applyFill="1" applyAlignment="1">
      <alignment horizontal="center"/>
    </xf>
    <xf numFmtId="0" fontId="1" fillId="6" borderId="0" xfId="0" applyFont="1" applyFill="1" applyAlignment="1">
      <alignment horizontal="center"/>
    </xf>
    <xf numFmtId="0" fontId="1" fillId="2" borderId="0" xfId="0" applyFont="1" applyFill="1" applyAlignment="1">
      <alignment horizontal="center"/>
    </xf>
    <xf numFmtId="0" fontId="1" fillId="3" borderId="0" xfId="0" applyFont="1" applyFill="1" applyAlignment="1">
      <alignment horizontal="center" wrapText="1"/>
    </xf>
    <xf numFmtId="0" fontId="1" fillId="8" borderId="1" xfId="0" applyFont="1" applyFill="1" applyBorder="1" applyAlignment="1">
      <alignment wrapText="1"/>
    </xf>
    <xf numFmtId="0" fontId="1" fillId="8" borderId="2" xfId="0" applyFont="1" applyFill="1" applyBorder="1" applyAlignment="1">
      <alignment wrapText="1"/>
    </xf>
    <xf numFmtId="0" fontId="1" fillId="8" borderId="2" xfId="0" applyFont="1" applyFill="1" applyBorder="1" applyAlignment="1">
      <alignment horizontal="center" wrapText="1"/>
    </xf>
    <xf numFmtId="0" fontId="1" fillId="8" borderId="2" xfId="0" applyFont="1" applyFill="1" applyBorder="1" applyAlignment="1">
      <alignment vertical="center" wrapText="1"/>
    </xf>
    <xf numFmtId="0" fontId="1" fillId="8" borderId="3" xfId="0" applyFont="1" applyFill="1" applyBorder="1" applyAlignment="1">
      <alignment vertical="center" wrapText="1"/>
    </xf>
    <xf numFmtId="0" fontId="0" fillId="9" borderId="0" xfId="0" applyFill="1" applyAlignment="1">
      <alignment horizontal="center"/>
    </xf>
    <xf numFmtId="0" fontId="0" fillId="9" borderId="0" xfId="0" applyFill="1"/>
    <xf numFmtId="0" fontId="0" fillId="9" borderId="5" xfId="0" applyFill="1" applyBorder="1"/>
    <xf numFmtId="0" fontId="1" fillId="8" borderId="3" xfId="0" applyFont="1" applyFill="1" applyBorder="1" applyAlignment="1">
      <alignment wrapText="1"/>
    </xf>
    <xf numFmtId="0" fontId="0" fillId="8" borderId="4" xfId="0" applyFill="1" applyBorder="1"/>
    <xf numFmtId="0" fontId="0" fillId="8" borderId="0" xfId="0" applyFill="1"/>
    <xf numFmtId="0" fontId="0" fillId="8" borderId="5" xfId="0" applyFill="1" applyBorder="1"/>
    <xf numFmtId="0" fontId="0" fillId="5" borderId="9" xfId="0" applyFill="1" applyBorder="1"/>
    <xf numFmtId="0" fontId="0" fillId="5" borderId="10" xfId="0" applyFill="1" applyBorder="1"/>
    <xf numFmtId="0" fontId="0" fillId="5" borderId="11" xfId="0" applyFill="1" applyBorder="1"/>
    <xf numFmtId="0" fontId="0" fillId="10" borderId="4"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3" fillId="10" borderId="0" xfId="1" applyFill="1" applyBorder="1"/>
    <xf numFmtId="0" fontId="0" fillId="10" borderId="6" xfId="0" applyFill="1" applyBorder="1"/>
    <xf numFmtId="0" fontId="0" fillId="10" borderId="7" xfId="0" applyFill="1" applyBorder="1"/>
    <xf numFmtId="0" fontId="0" fillId="10" borderId="7" xfId="0" applyFill="1" applyBorder="1" applyAlignment="1">
      <alignment horizontal="center"/>
    </xf>
    <xf numFmtId="0" fontId="0" fillId="10" borderId="8" xfId="0" applyFill="1" applyBorder="1"/>
    <xf numFmtId="0" fontId="0" fillId="0" borderId="9" xfId="0" applyBorder="1"/>
    <xf numFmtId="0" fontId="0" fillId="0" borderId="10" xfId="0" applyBorder="1"/>
    <xf numFmtId="0" fontId="10" fillId="0" borderId="10" xfId="0" applyFont="1" applyBorder="1"/>
    <xf numFmtId="0" fontId="0" fillId="0" borderId="11" xfId="0" applyBorder="1"/>
    <xf numFmtId="0" fontId="0" fillId="0" borderId="0" xfId="0" applyAlignment="1">
      <alignment vertical="top"/>
    </xf>
    <xf numFmtId="0" fontId="1" fillId="5" borderId="0" xfId="0" applyFont="1" applyFill="1" applyAlignment="1">
      <alignment vertical="top"/>
    </xf>
    <xf numFmtId="0" fontId="1" fillId="7" borderId="0" xfId="0" applyFont="1" applyFill="1" applyAlignment="1">
      <alignment horizontal="center" vertical="top"/>
    </xf>
    <xf numFmtId="0" fontId="1" fillId="7" borderId="0" xfId="0" applyFont="1" applyFill="1" applyAlignment="1">
      <alignment vertical="top"/>
    </xf>
    <xf numFmtId="0" fontId="1" fillId="0" borderId="0" xfId="0" applyFont="1" applyAlignment="1">
      <alignment vertical="top"/>
    </xf>
    <xf numFmtId="0" fontId="1" fillId="7" borderId="0" xfId="0" applyFont="1" applyFill="1" applyAlignment="1">
      <alignment horizontal="center" vertical="top" wrapText="1"/>
    </xf>
    <xf numFmtId="0" fontId="1" fillId="7" borderId="0" xfId="0" applyFont="1" applyFill="1" applyAlignment="1">
      <alignment vertical="top" wrapText="1"/>
    </xf>
    <xf numFmtId="0" fontId="0" fillId="7" borderId="0" xfId="0" applyFill="1" applyAlignment="1">
      <alignment horizontal="center" vertical="top"/>
    </xf>
    <xf numFmtId="0" fontId="0" fillId="7" borderId="0" xfId="0" applyFill="1" applyAlignment="1">
      <alignment vertical="top"/>
    </xf>
    <xf numFmtId="0" fontId="0" fillId="0" borderId="0" xfId="0" applyAlignment="1">
      <alignment horizontal="center" vertical="top"/>
    </xf>
    <xf numFmtId="0" fontId="9" fillId="0" borderId="0" xfId="0" applyFont="1" applyAlignment="1">
      <alignment vertical="top"/>
    </xf>
    <xf numFmtId="0" fontId="3" fillId="0" borderId="0" xfId="1" applyAlignment="1">
      <alignment vertical="top"/>
    </xf>
    <xf numFmtId="0" fontId="14" fillId="0" borderId="0" xfId="0" applyFont="1"/>
    <xf numFmtId="0" fontId="16" fillId="0" borderId="7" xfId="0" applyFont="1" applyBorder="1" applyAlignment="1">
      <alignment vertical="center"/>
    </xf>
    <xf numFmtId="0" fontId="16" fillId="0" borderId="7" xfId="0" applyFont="1" applyBorder="1" applyAlignment="1">
      <alignment horizontal="right" vertical="center"/>
    </xf>
    <xf numFmtId="0" fontId="16" fillId="0" borderId="8" xfId="0" applyFont="1" applyBorder="1" applyAlignment="1">
      <alignment vertical="center"/>
    </xf>
    <xf numFmtId="0" fontId="16" fillId="0" borderId="0" xfId="0" applyFont="1" applyAlignment="1">
      <alignment vertical="center"/>
    </xf>
    <xf numFmtId="0" fontId="16" fillId="0" borderId="0" xfId="0" applyFont="1" applyAlignment="1">
      <alignment horizontal="right" vertical="center"/>
    </xf>
    <xf numFmtId="0" fontId="0" fillId="0" borderId="5" xfId="0" applyBorder="1" applyAlignment="1">
      <alignment vertical="center"/>
    </xf>
    <xf numFmtId="0" fontId="16" fillId="0" borderId="5" xfId="0" applyFont="1" applyBorder="1" applyAlignment="1">
      <alignment vertical="center"/>
    </xf>
    <xf numFmtId="0" fontId="17" fillId="0" borderId="0" xfId="0" applyFont="1" applyAlignment="1">
      <alignment vertical="center"/>
    </xf>
    <xf numFmtId="0" fontId="16" fillId="4" borderId="0" xfId="0" applyFont="1" applyFill="1" applyAlignment="1">
      <alignment vertical="center"/>
    </xf>
    <xf numFmtId="0" fontId="16" fillId="4" borderId="5" xfId="0" applyFont="1" applyFill="1" applyBorder="1" applyAlignment="1">
      <alignment vertical="center"/>
    </xf>
    <xf numFmtId="0" fontId="16" fillId="4" borderId="0" xfId="0" applyFont="1" applyFill="1" applyAlignment="1">
      <alignment horizontal="right" vertical="center"/>
    </xf>
    <xf numFmtId="0" fontId="19" fillId="0" borderId="0" xfId="0" applyFont="1"/>
    <xf numFmtId="0" fontId="3" fillId="10" borderId="7" xfId="1" applyFill="1" applyBorder="1"/>
    <xf numFmtId="0" fontId="0" fillId="8" borderId="6" xfId="0" applyFill="1" applyBorder="1"/>
    <xf numFmtId="0" fontId="0" fillId="8" borderId="7" xfId="0" applyFill="1" applyBorder="1"/>
    <xf numFmtId="0" fontId="0" fillId="8" borderId="8" xfId="0" applyFill="1" applyBorder="1"/>
    <xf numFmtId="0" fontId="7" fillId="0" borderId="0" xfId="0" applyFont="1" applyAlignment="1">
      <alignment vertical="top"/>
    </xf>
    <xf numFmtId="0" fontId="21" fillId="11" borderId="0" xfId="0" applyFont="1" applyFill="1" applyAlignment="1">
      <alignment vertical="center"/>
    </xf>
    <xf numFmtId="0" fontId="21" fillId="11" borderId="5" xfId="0" applyFont="1" applyFill="1" applyBorder="1" applyAlignment="1">
      <alignment vertical="center"/>
    </xf>
    <xf numFmtId="0" fontId="1" fillId="0" borderId="9" xfId="0" applyFont="1" applyBorder="1"/>
    <xf numFmtId="0" fontId="1" fillId="0" borderId="10" xfId="0" applyFont="1" applyBorder="1"/>
    <xf numFmtId="0" fontId="1" fillId="0" borderId="11" xfId="0" applyFont="1" applyBorder="1"/>
    <xf numFmtId="0" fontId="0" fillId="0" borderId="0" xfId="0" applyAlignment="1">
      <alignment horizontal="right"/>
    </xf>
    <xf numFmtId="2" fontId="0" fillId="0" borderId="0" xfId="0" applyNumberFormat="1" applyAlignment="1">
      <alignment horizontal="right"/>
    </xf>
    <xf numFmtId="165" fontId="0" fillId="3" borderId="0" xfId="0" applyNumberFormat="1" applyFill="1"/>
    <xf numFmtId="165" fontId="4" fillId="0" borderId="0" xfId="0" applyNumberFormat="1" applyFont="1" applyAlignment="1">
      <alignment vertical="center"/>
    </xf>
    <xf numFmtId="0" fontId="21" fillId="0" borderId="0" xfId="0" applyFont="1" applyAlignment="1">
      <alignment vertical="center"/>
    </xf>
    <xf numFmtId="0" fontId="1" fillId="3" borderId="0" xfId="0" applyFont="1" applyFill="1" applyAlignment="1">
      <alignment horizontal="right"/>
    </xf>
    <xf numFmtId="165" fontId="0" fillId="0" borderId="0" xfId="0" applyNumberFormat="1"/>
    <xf numFmtId="0" fontId="3" fillId="2" borderId="0" xfId="1" applyFill="1"/>
    <xf numFmtId="0" fontId="1" fillId="0" borderId="0" xfId="0" applyFont="1" applyAlignment="1">
      <alignment vertical="top" wrapText="1"/>
    </xf>
    <xf numFmtId="9" fontId="0" fillId="0" borderId="0" xfId="3" applyFont="1" applyAlignment="1">
      <alignment horizontal="center" vertical="top"/>
    </xf>
    <xf numFmtId="0" fontId="0" fillId="0" borderId="12" xfId="0" applyBorder="1"/>
    <xf numFmtId="0" fontId="0" fillId="0" borderId="1" xfId="0" applyBorder="1" applyAlignment="1">
      <alignment vertical="top"/>
    </xf>
    <xf numFmtId="0" fontId="0" fillId="0" borderId="2" xfId="0" applyBorder="1" applyAlignment="1">
      <alignment horizontal="right" vertical="top"/>
    </xf>
    <xf numFmtId="0" fontId="0" fillId="0" borderId="2" xfId="0" applyBorder="1" applyAlignment="1">
      <alignment vertical="top"/>
    </xf>
    <xf numFmtId="0" fontId="0" fillId="0" borderId="3" xfId="0" applyBorder="1" applyAlignment="1">
      <alignment vertical="top"/>
    </xf>
    <xf numFmtId="0" fontId="0" fillId="0" borderId="4" xfId="0" applyBorder="1" applyAlignment="1">
      <alignment vertical="top"/>
    </xf>
    <xf numFmtId="0" fontId="0" fillId="0" borderId="0" xfId="0" applyAlignment="1">
      <alignment horizontal="right" vertical="top"/>
    </xf>
    <xf numFmtId="0" fontId="0" fillId="0" borderId="5" xfId="0" applyBorder="1" applyAlignment="1">
      <alignment vertical="top"/>
    </xf>
    <xf numFmtId="166" fontId="0" fillId="0" borderId="0" xfId="3" applyNumberFormat="1" applyFont="1" applyBorder="1" applyAlignment="1">
      <alignment vertical="top"/>
    </xf>
    <xf numFmtId="0" fontId="0" fillId="0" borderId="8" xfId="0" applyBorder="1" applyAlignment="1">
      <alignment vertical="top"/>
    </xf>
    <xf numFmtId="0" fontId="0" fillId="7" borderId="4" xfId="0" applyFill="1" applyBorder="1" applyAlignment="1">
      <alignment vertical="top"/>
    </xf>
    <xf numFmtId="0" fontId="1" fillId="7" borderId="0" xfId="0" applyFont="1" applyFill="1" applyAlignment="1">
      <alignment horizontal="right" vertical="top"/>
    </xf>
    <xf numFmtId="0" fontId="14" fillId="7" borderId="4" xfId="0" applyFont="1" applyFill="1" applyBorder="1"/>
    <xf numFmtId="0" fontId="1" fillId="7" borderId="0" xfId="0" applyFont="1" applyFill="1" applyAlignment="1">
      <alignment horizontal="right"/>
    </xf>
    <xf numFmtId="0" fontId="0" fillId="7" borderId="6" xfId="0" applyFill="1" applyBorder="1"/>
    <xf numFmtId="0" fontId="1" fillId="7" borderId="7" xfId="0" applyFont="1" applyFill="1" applyBorder="1" applyAlignment="1">
      <alignment horizontal="right"/>
    </xf>
    <xf numFmtId="0" fontId="1" fillId="7" borderId="7" xfId="0" applyFont="1" applyFill="1" applyBorder="1"/>
    <xf numFmtId="0" fontId="1" fillId="3" borderId="0" xfId="0" applyFont="1" applyFill="1" applyAlignment="1">
      <alignment horizontal="center" vertical="top"/>
    </xf>
    <xf numFmtId="0" fontId="1" fillId="3" borderId="0" xfId="0" applyFont="1" applyFill="1" applyAlignment="1">
      <alignment vertical="top" wrapText="1"/>
    </xf>
    <xf numFmtId="9" fontId="0" fillId="0" borderId="0" xfId="3" applyFont="1" applyFill="1" applyAlignment="1">
      <alignment vertical="top"/>
    </xf>
    <xf numFmtId="9" fontId="0" fillId="0" borderId="0" xfId="0" applyNumberFormat="1" applyAlignment="1">
      <alignment vertical="top"/>
    </xf>
    <xf numFmtId="0" fontId="24" fillId="0" borderId="0" xfId="2" applyFont="1" applyAlignment="1">
      <alignment horizontal="center"/>
    </xf>
    <xf numFmtId="167" fontId="24" fillId="0" borderId="0" xfId="0" applyNumberFormat="1" applyFont="1" applyAlignment="1">
      <alignment horizontal="center"/>
    </xf>
    <xf numFmtId="0" fontId="25" fillId="0" borderId="0" xfId="0" applyFont="1"/>
    <xf numFmtId="0" fontId="23" fillId="0" borderId="1" xfId="0" applyFont="1" applyBorder="1"/>
    <xf numFmtId="0" fontId="24" fillId="0" borderId="2" xfId="0" applyFont="1" applyBorder="1"/>
    <xf numFmtId="0" fontId="26" fillId="0" borderId="2" xfId="0" applyFont="1" applyBorder="1"/>
    <xf numFmtId="0" fontId="26" fillId="0" borderId="3" xfId="0" applyFont="1" applyBorder="1"/>
    <xf numFmtId="0" fontId="24" fillId="0" borderId="4" xfId="2" applyFont="1" applyBorder="1" applyAlignment="1">
      <alignment horizontal="right"/>
    </xf>
    <xf numFmtId="0" fontId="25" fillId="0" borderId="5" xfId="0" applyFont="1" applyBorder="1"/>
    <xf numFmtId="0" fontId="24" fillId="0" borderId="6" xfId="2" applyFont="1" applyBorder="1" applyAlignment="1">
      <alignment horizontal="right"/>
    </xf>
    <xf numFmtId="0" fontId="24" fillId="0" borderId="7" xfId="2" applyFont="1" applyBorder="1" applyAlignment="1">
      <alignment horizontal="center"/>
    </xf>
    <xf numFmtId="167" fontId="24" fillId="0" borderId="7" xfId="0" applyNumberFormat="1" applyFont="1" applyBorder="1" applyAlignment="1">
      <alignment horizontal="center"/>
    </xf>
    <xf numFmtId="0" fontId="25" fillId="0" borderId="7" xfId="0" applyFont="1" applyBorder="1"/>
    <xf numFmtId="0" fontId="25" fillId="0" borderId="8" xfId="0" applyFont="1" applyBorder="1"/>
    <xf numFmtId="0" fontId="0" fillId="0" borderId="13" xfId="0" applyBorder="1"/>
    <xf numFmtId="0" fontId="1" fillId="0" borderId="13" xfId="0" applyFont="1" applyBorder="1" applyAlignment="1">
      <alignment vertical="top"/>
    </xf>
    <xf numFmtId="0" fontId="1" fillId="0" borderId="13" xfId="0" applyFont="1" applyBorder="1" applyAlignment="1">
      <alignment vertical="top" wrapText="1"/>
    </xf>
    <xf numFmtId="0" fontId="0" fillId="0" borderId="13" xfId="0" applyBorder="1" applyAlignment="1">
      <alignment vertical="top"/>
    </xf>
    <xf numFmtId="167" fontId="0" fillId="7" borderId="0" xfId="0" applyNumberFormat="1" applyFill="1" applyAlignment="1">
      <alignment vertical="top"/>
    </xf>
    <xf numFmtId="167" fontId="0" fillId="0" borderId="0" xfId="0" applyNumberFormat="1"/>
    <xf numFmtId="0" fontId="0" fillId="0" borderId="0" xfId="0" applyFill="1"/>
    <xf numFmtId="0" fontId="0" fillId="0" borderId="0" xfId="0" applyFill="1" applyAlignment="1">
      <alignment wrapText="1"/>
    </xf>
    <xf numFmtId="0" fontId="3" fillId="0" borderId="0" xfId="1" applyFill="1"/>
    <xf numFmtId="0" fontId="1" fillId="0" borderId="0" xfId="0" applyFont="1" applyFill="1"/>
    <xf numFmtId="0" fontId="1" fillId="0" borderId="0" xfId="0" applyFont="1" applyFill="1" applyAlignment="1">
      <alignment wrapText="1"/>
    </xf>
    <xf numFmtId="0" fontId="8" fillId="0" borderId="0" xfId="0" applyFont="1" applyFill="1"/>
    <xf numFmtId="0" fontId="1" fillId="5" borderId="0" xfId="0" applyFont="1" applyFill="1" applyAlignment="1"/>
    <xf numFmtId="0" fontId="0" fillId="0" borderId="0" xfId="0" applyAlignment="1"/>
    <xf numFmtId="0" fontId="1" fillId="7" borderId="0" xfId="0" applyFont="1" applyFill="1" applyAlignment="1">
      <alignment horizontal="center" vertical="center"/>
    </xf>
    <xf numFmtId="0" fontId="0" fillId="0" borderId="0" xfId="0" applyFont="1" applyFill="1" applyAlignment="1">
      <alignment horizontal="center" vertical="center"/>
    </xf>
    <xf numFmtId="0" fontId="1" fillId="7" borderId="0" xfId="0" applyFont="1" applyFill="1" applyAlignment="1"/>
    <xf numFmtId="0" fontId="0" fillId="0" borderId="0" xfId="0" applyBorder="1" applyAlignment="1">
      <alignment horizontal="center"/>
    </xf>
    <xf numFmtId="0" fontId="0" fillId="0" borderId="0" xfId="0" applyBorder="1"/>
    <xf numFmtId="0" fontId="0" fillId="7" borderId="0" xfId="0" applyFill="1" applyAlignment="1">
      <alignment horizontal="right" vertical="top"/>
    </xf>
    <xf numFmtId="0" fontId="1" fillId="3" borderId="0" xfId="0" applyFont="1" applyFill="1" applyAlignment="1"/>
    <xf numFmtId="0" fontId="0" fillId="3" borderId="0" xfId="0" applyFill="1" applyAlignment="1"/>
    <xf numFmtId="164" fontId="1" fillId="3" borderId="0" xfId="0" applyNumberFormat="1" applyFont="1" applyFill="1"/>
    <xf numFmtId="165" fontId="1" fillId="3" borderId="0" xfId="0" applyNumberFormat="1" applyFont="1" applyFill="1"/>
    <xf numFmtId="9" fontId="2" fillId="0" borderId="0" xfId="3" applyFont="1" applyAlignment="1">
      <alignment vertical="center"/>
    </xf>
    <xf numFmtId="9" fontId="0" fillId="0" borderId="0" xfId="3" applyFont="1" applyAlignment="1"/>
    <xf numFmtId="0" fontId="0" fillId="12" borderId="0" xfId="0" applyFill="1"/>
    <xf numFmtId="0" fontId="0" fillId="13" borderId="0" xfId="0" applyFill="1"/>
    <xf numFmtId="0" fontId="0" fillId="14" borderId="15" xfId="0" applyFill="1" applyBorder="1"/>
    <xf numFmtId="0" fontId="0" fillId="14" borderId="16" xfId="0" applyFill="1" applyBorder="1"/>
    <xf numFmtId="0" fontId="27" fillId="14" borderId="14" xfId="0" applyFont="1" applyFill="1" applyBorder="1" applyAlignment="1">
      <alignment horizontal="center"/>
    </xf>
    <xf numFmtId="0" fontId="1" fillId="0" borderId="0" xfId="0" quotePrefix="1" applyFont="1"/>
    <xf numFmtId="0" fontId="0" fillId="15" borderId="0" xfId="0" applyFill="1"/>
    <xf numFmtId="0" fontId="28" fillId="0" borderId="0" xfId="0" applyFont="1"/>
    <xf numFmtId="0" fontId="28" fillId="0" borderId="0" xfId="0" applyFont="1" applyAlignment="1">
      <alignment vertical="center"/>
    </xf>
    <xf numFmtId="0" fontId="0" fillId="2" borderId="0" xfId="0" quotePrefix="1" applyFill="1"/>
    <xf numFmtId="0" fontId="0" fillId="0" borderId="0" xfId="0" applyBorder="1" applyAlignment="1">
      <alignment horizontal="left"/>
    </xf>
    <xf numFmtId="0" fontId="0" fillId="0" borderId="0" xfId="0" applyBorder="1" applyAlignment="1">
      <alignment horizontal="right"/>
    </xf>
    <xf numFmtId="0" fontId="0" fillId="0" borderId="0" xfId="0" applyFill="1" applyBorder="1" applyAlignment="1">
      <alignment horizontal="left"/>
    </xf>
    <xf numFmtId="0" fontId="22" fillId="7" borderId="0" xfId="0" applyNumberFormat="1" applyFont="1" applyFill="1" applyAlignment="1">
      <alignment horizontal="center"/>
    </xf>
    <xf numFmtId="0" fontId="1" fillId="3" borderId="0" xfId="0" applyFont="1" applyFill="1" applyAlignment="1">
      <alignment horizontal="left"/>
    </xf>
    <xf numFmtId="0" fontId="1" fillId="0" borderId="0" xfId="0" applyFont="1" applyFill="1" applyAlignment="1">
      <alignment horizontal="left" vertical="center"/>
    </xf>
    <xf numFmtId="0" fontId="0" fillId="0" borderId="0" xfId="0" applyFill="1" applyBorder="1"/>
    <xf numFmtId="2" fontId="0" fillId="0" borderId="0" xfId="5" applyNumberFormat="1" applyFont="1"/>
    <xf numFmtId="0" fontId="22" fillId="16" borderId="0" xfId="0" applyFont="1" applyFill="1"/>
    <xf numFmtId="0" fontId="16" fillId="0" borderId="0" xfId="0" applyFont="1" applyAlignment="1">
      <alignment horizontal="left" vertical="center"/>
    </xf>
    <xf numFmtId="0" fontId="29" fillId="16" borderId="0" xfId="2" applyFont="1" applyFill="1" applyAlignment="1">
      <alignment horizontal="right"/>
    </xf>
    <xf numFmtId="0" fontId="30" fillId="8" borderId="17" xfId="4" applyFont="1" applyFill="1" applyBorder="1" applyAlignment="1">
      <alignment horizontal="center" vertical="center" wrapText="1"/>
    </xf>
    <xf numFmtId="3" fontId="29" fillId="16" borderId="18" xfId="0" applyNumberFormat="1" applyFont="1" applyFill="1" applyBorder="1" applyAlignment="1">
      <alignment horizontal="center"/>
    </xf>
    <xf numFmtId="168" fontId="29" fillId="16" borderId="18" xfId="0" applyNumberFormat="1" applyFont="1" applyFill="1" applyBorder="1" applyAlignment="1">
      <alignment horizontal="center"/>
    </xf>
    <xf numFmtId="169" fontId="29" fillId="16" borderId="18" xfId="0" applyNumberFormat="1" applyFont="1" applyFill="1" applyBorder="1" applyAlignment="1">
      <alignment horizontal="center"/>
    </xf>
    <xf numFmtId="3" fontId="31" fillId="16" borderId="18" xfId="0" applyNumberFormat="1" applyFont="1" applyFill="1" applyBorder="1" applyAlignment="1">
      <alignment horizontal="center"/>
    </xf>
    <xf numFmtId="4" fontId="29" fillId="16" borderId="18" xfId="0" applyNumberFormat="1" applyFont="1" applyFill="1" applyBorder="1" applyAlignment="1">
      <alignment horizontal="center"/>
    </xf>
    <xf numFmtId="168" fontId="0" fillId="0" borderId="0" xfId="0" applyNumberFormat="1"/>
    <xf numFmtId="0" fontId="0" fillId="0" borderId="19" xfId="0" applyBorder="1"/>
    <xf numFmtId="0" fontId="0" fillId="0" borderId="20" xfId="0" applyBorder="1"/>
    <xf numFmtId="0" fontId="0" fillId="0" borderId="21" xfId="0" applyBorder="1"/>
    <xf numFmtId="0" fontId="0" fillId="0" borderId="4" xfId="0" applyBorder="1"/>
    <xf numFmtId="0" fontId="0" fillId="0" borderId="5" xfId="0" applyBorder="1"/>
    <xf numFmtId="0" fontId="0" fillId="0" borderId="6" xfId="0" applyBorder="1"/>
    <xf numFmtId="0" fontId="0" fillId="0" borderId="8" xfId="0" applyBorder="1"/>
    <xf numFmtId="0" fontId="0" fillId="0" borderId="7" xfId="0" applyBorder="1"/>
    <xf numFmtId="0" fontId="0" fillId="17" borderId="0" xfId="0" applyFill="1"/>
    <xf numFmtId="0" fontId="0" fillId="18" borderId="0" xfId="0" applyFill="1"/>
    <xf numFmtId="0" fontId="0" fillId="18" borderId="0" xfId="0" applyFill="1" applyAlignment="1">
      <alignment horizontal="left"/>
    </xf>
    <xf numFmtId="0" fontId="0" fillId="19" borderId="1" xfId="0" applyFill="1" applyBorder="1"/>
    <xf numFmtId="0" fontId="0" fillId="19" borderId="3" xfId="0" applyFill="1" applyBorder="1"/>
    <xf numFmtId="0" fontId="0" fillId="19" borderId="2" xfId="0" applyFill="1" applyBorder="1"/>
    <xf numFmtId="0" fontId="0" fillId="20" borderId="17" xfId="0" applyFill="1" applyBorder="1"/>
    <xf numFmtId="0" fontId="32" fillId="0" borderId="0" xfId="0" applyFont="1"/>
    <xf numFmtId="0" fontId="0" fillId="20" borderId="17" xfId="0" applyFill="1" applyBorder="1" applyAlignment="1">
      <alignment horizontal="center" vertical="center"/>
    </xf>
  </cellXfs>
  <cellStyles count="6">
    <cellStyle name="Comma" xfId="5" builtinId="3"/>
    <cellStyle name="Hyperlink" xfId="1" builtinId="8"/>
    <cellStyle name="Normal" xfId="0" builtinId="0"/>
    <cellStyle name="Normal 2" xfId="4" xr:uid="{00000000-0005-0000-0000-000002000000}"/>
    <cellStyle name="Normal 3 2" xfId="2" xr:uid="{00000000-0005-0000-0000-00000300000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263225</xdr:colOff>
      <xdr:row>101</xdr:row>
      <xdr:rowOff>160991</xdr:rowOff>
    </xdr:from>
    <xdr:to>
      <xdr:col>12</xdr:col>
      <xdr:colOff>174614</xdr:colOff>
      <xdr:row>121</xdr:row>
      <xdr:rowOff>130884</xdr:rowOff>
    </xdr:to>
    <xdr:pic>
      <xdr:nvPicPr>
        <xdr:cNvPr id="2" name="Picture 1">
          <a:extLst>
            <a:ext uri="{FF2B5EF4-FFF2-40B4-BE49-F238E27FC236}">
              <a16:creationId xmlns:a16="http://schemas.microsoft.com/office/drawing/2014/main" id="{C50DC4F7-DDA8-DC58-FC1C-9F861D61DB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3107" y="19597595"/>
          <a:ext cx="8836875" cy="355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558389</xdr:colOff>
      <xdr:row>101</xdr:row>
      <xdr:rowOff>97042</xdr:rowOff>
    </xdr:from>
    <xdr:to>
      <xdr:col>5</xdr:col>
      <xdr:colOff>388621</xdr:colOff>
      <xdr:row>105</xdr:row>
      <xdr:rowOff>22411</xdr:rowOff>
    </xdr:to>
    <xdr:sp macro="" textlink="">
      <xdr:nvSpPr>
        <xdr:cNvPr id="3" name="Rectangle 2">
          <a:extLst>
            <a:ext uri="{FF2B5EF4-FFF2-40B4-BE49-F238E27FC236}">
              <a16:creationId xmlns:a16="http://schemas.microsoft.com/office/drawing/2014/main" id="{B359B574-6E82-4492-881E-40BC9CE08A95}"/>
            </a:ext>
          </a:extLst>
        </xdr:cNvPr>
        <xdr:cNvSpPr/>
      </xdr:nvSpPr>
      <xdr:spPr>
        <a:xfrm>
          <a:off x="3068507" y="19539248"/>
          <a:ext cx="1511114" cy="642545"/>
        </a:xfrm>
        <a:prstGeom prst="rect">
          <a:avLst/>
        </a:prstGeom>
        <a:solidFill>
          <a:schemeClr val="accent4">
            <a:lumMod val="20000"/>
            <a:lumOff val="80000"/>
            <a:alpha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b-NO" sz="1100"/>
        </a:p>
      </xdr:txBody>
    </xdr:sp>
    <xdr:clientData/>
  </xdr:twoCellAnchor>
  <xdr:twoCellAnchor>
    <xdr:from>
      <xdr:col>6</xdr:col>
      <xdr:colOff>321161</xdr:colOff>
      <xdr:row>101</xdr:row>
      <xdr:rowOff>97042</xdr:rowOff>
    </xdr:from>
    <xdr:to>
      <xdr:col>8</xdr:col>
      <xdr:colOff>401508</xdr:colOff>
      <xdr:row>104</xdr:row>
      <xdr:rowOff>56029</xdr:rowOff>
    </xdr:to>
    <xdr:sp macro="" textlink="">
      <xdr:nvSpPr>
        <xdr:cNvPr id="4" name="Rectangle 3">
          <a:extLst>
            <a:ext uri="{FF2B5EF4-FFF2-40B4-BE49-F238E27FC236}">
              <a16:creationId xmlns:a16="http://schemas.microsoft.com/office/drawing/2014/main" id="{DA8B55EA-45A3-45F7-A041-31F8E1322EC3}"/>
            </a:ext>
          </a:extLst>
        </xdr:cNvPr>
        <xdr:cNvSpPr/>
      </xdr:nvSpPr>
      <xdr:spPr>
        <a:xfrm>
          <a:off x="5274161" y="19539248"/>
          <a:ext cx="1503494" cy="496869"/>
        </a:xfrm>
        <a:prstGeom prst="rect">
          <a:avLst/>
        </a:prstGeom>
        <a:solidFill>
          <a:schemeClr val="accent4">
            <a:lumMod val="20000"/>
            <a:lumOff val="80000"/>
            <a:alpha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b-NO" sz="1100"/>
        </a:p>
      </xdr:txBody>
    </xdr:sp>
    <xdr:clientData/>
  </xdr:twoCellAnchor>
  <xdr:twoCellAnchor>
    <xdr:from>
      <xdr:col>10</xdr:col>
      <xdr:colOff>130660</xdr:colOff>
      <xdr:row>101</xdr:row>
      <xdr:rowOff>97043</xdr:rowOff>
    </xdr:from>
    <xdr:to>
      <xdr:col>11</xdr:col>
      <xdr:colOff>778921</xdr:colOff>
      <xdr:row>104</xdr:row>
      <xdr:rowOff>134471</xdr:rowOff>
    </xdr:to>
    <xdr:sp macro="" textlink="">
      <xdr:nvSpPr>
        <xdr:cNvPr id="5" name="Rectangle 4">
          <a:extLst>
            <a:ext uri="{FF2B5EF4-FFF2-40B4-BE49-F238E27FC236}">
              <a16:creationId xmlns:a16="http://schemas.microsoft.com/office/drawing/2014/main" id="{536B4E8D-9FA4-499E-8430-C16725FDBD9F}"/>
            </a:ext>
          </a:extLst>
        </xdr:cNvPr>
        <xdr:cNvSpPr/>
      </xdr:nvSpPr>
      <xdr:spPr>
        <a:xfrm>
          <a:off x="8165278" y="19539249"/>
          <a:ext cx="1511114" cy="575310"/>
        </a:xfrm>
        <a:prstGeom prst="rect">
          <a:avLst/>
        </a:prstGeom>
        <a:solidFill>
          <a:schemeClr val="accent4">
            <a:lumMod val="20000"/>
            <a:lumOff val="80000"/>
            <a:alpha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b-NO"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xdr:colOff>
      <xdr:row>98</xdr:row>
      <xdr:rowOff>100965</xdr:rowOff>
    </xdr:from>
    <xdr:to>
      <xdr:col>15</xdr:col>
      <xdr:colOff>17563</xdr:colOff>
      <xdr:row>120</xdr:row>
      <xdr:rowOff>18562</xdr:rowOff>
    </xdr:to>
    <xdr:pic>
      <xdr:nvPicPr>
        <xdr:cNvPr id="2" name="Picture 1">
          <a:extLst>
            <a:ext uri="{FF2B5EF4-FFF2-40B4-BE49-F238E27FC236}">
              <a16:creationId xmlns:a16="http://schemas.microsoft.com/office/drawing/2014/main" id="{AB9423BD-2887-0956-CED9-C1DBF13040E9}"/>
            </a:ext>
          </a:extLst>
        </xdr:cNvPr>
        <xdr:cNvPicPr>
          <a:picLocks noChangeAspect="1"/>
        </xdr:cNvPicPr>
      </xdr:nvPicPr>
      <xdr:blipFill>
        <a:blip xmlns:r="http://schemas.openxmlformats.org/officeDocument/2006/relationships" r:embed="rId1"/>
        <a:stretch>
          <a:fillRect/>
        </a:stretch>
      </xdr:blipFill>
      <xdr:spPr>
        <a:xfrm>
          <a:off x="643890" y="18789015"/>
          <a:ext cx="11889523" cy="3906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336176</xdr:colOff>
      <xdr:row>105</xdr:row>
      <xdr:rowOff>26895</xdr:rowOff>
    </xdr:from>
    <xdr:to>
      <xdr:col>35</xdr:col>
      <xdr:colOff>9068</xdr:colOff>
      <xdr:row>133</xdr:row>
      <xdr:rowOff>123074</xdr:rowOff>
    </xdr:to>
    <xdr:pic>
      <xdr:nvPicPr>
        <xdr:cNvPr id="2" name="Picture 1">
          <a:extLst>
            <a:ext uri="{FF2B5EF4-FFF2-40B4-BE49-F238E27FC236}">
              <a16:creationId xmlns:a16="http://schemas.microsoft.com/office/drawing/2014/main" id="{0F62FDC0-4B70-88A7-D57E-60EF81C383BC}"/>
            </a:ext>
          </a:extLst>
        </xdr:cNvPr>
        <xdr:cNvPicPr>
          <a:picLocks noChangeAspect="1"/>
        </xdr:cNvPicPr>
      </xdr:nvPicPr>
      <xdr:blipFill>
        <a:blip xmlns:r="http://schemas.openxmlformats.org/officeDocument/2006/relationships" r:embed="rId1"/>
        <a:stretch>
          <a:fillRect/>
        </a:stretch>
      </xdr:blipFill>
      <xdr:spPr>
        <a:xfrm>
          <a:off x="18005611" y="20080942"/>
          <a:ext cx="8144539" cy="5125379"/>
        </a:xfrm>
        <a:prstGeom prst="rect">
          <a:avLst/>
        </a:prstGeom>
      </xdr:spPr>
    </xdr:pic>
    <xdr:clientData/>
  </xdr:twoCellAnchor>
  <xdr:twoCellAnchor>
    <xdr:from>
      <xdr:col>25</xdr:col>
      <xdr:colOff>281717</xdr:colOff>
      <xdr:row>122</xdr:row>
      <xdr:rowOff>99844</xdr:rowOff>
    </xdr:from>
    <xdr:to>
      <xdr:col>30</xdr:col>
      <xdr:colOff>333936</xdr:colOff>
      <xdr:row>125</xdr:row>
      <xdr:rowOff>62753</xdr:rowOff>
    </xdr:to>
    <xdr:sp macro="" textlink="">
      <xdr:nvSpPr>
        <xdr:cNvPr id="3" name="Rectangle 2">
          <a:extLst>
            <a:ext uri="{FF2B5EF4-FFF2-40B4-BE49-F238E27FC236}">
              <a16:creationId xmlns:a16="http://schemas.microsoft.com/office/drawing/2014/main" id="{2E9CB5DA-671A-A5ED-76C1-DA6F1C7AF8E3}"/>
            </a:ext>
          </a:extLst>
        </xdr:cNvPr>
        <xdr:cNvSpPr/>
      </xdr:nvSpPr>
      <xdr:spPr>
        <a:xfrm>
          <a:off x="19833741" y="23210856"/>
          <a:ext cx="3503630" cy="50079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b-NO" sz="1100"/>
        </a:p>
      </xdr:txBody>
    </xdr:sp>
    <xdr:clientData/>
  </xdr:twoCellAnchor>
  <xdr:twoCellAnchor>
    <xdr:from>
      <xdr:col>25</xdr:col>
      <xdr:colOff>217619</xdr:colOff>
      <xdr:row>128</xdr:row>
      <xdr:rowOff>13334</xdr:rowOff>
    </xdr:from>
    <xdr:to>
      <xdr:col>30</xdr:col>
      <xdr:colOff>256503</xdr:colOff>
      <xdr:row>132</xdr:row>
      <xdr:rowOff>102758</xdr:rowOff>
    </xdr:to>
    <xdr:sp macro="" textlink="">
      <xdr:nvSpPr>
        <xdr:cNvPr id="4" name="Rectangle 3">
          <a:extLst>
            <a:ext uri="{FF2B5EF4-FFF2-40B4-BE49-F238E27FC236}">
              <a16:creationId xmlns:a16="http://schemas.microsoft.com/office/drawing/2014/main" id="{C45DE7FB-C614-435D-810C-816E58015A2F}"/>
            </a:ext>
          </a:extLst>
        </xdr:cNvPr>
        <xdr:cNvSpPr/>
      </xdr:nvSpPr>
      <xdr:spPr>
        <a:xfrm>
          <a:off x="19769643" y="24200110"/>
          <a:ext cx="3490295" cy="806601"/>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b-NO"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360493</xdr:colOff>
      <xdr:row>105</xdr:row>
      <xdr:rowOff>56030</xdr:rowOff>
    </xdr:from>
    <xdr:to>
      <xdr:col>14</xdr:col>
      <xdr:colOff>742799</xdr:colOff>
      <xdr:row>124</xdr:row>
      <xdr:rowOff>152299</xdr:rowOff>
    </xdr:to>
    <xdr:pic>
      <xdr:nvPicPr>
        <xdr:cNvPr id="4" name="Picture 3">
          <a:extLst>
            <a:ext uri="{FF2B5EF4-FFF2-40B4-BE49-F238E27FC236}">
              <a16:creationId xmlns:a16="http://schemas.microsoft.com/office/drawing/2014/main" id="{5193EE62-DF35-BA54-48E6-A5DDAF0313C3}"/>
            </a:ext>
          </a:extLst>
        </xdr:cNvPr>
        <xdr:cNvPicPr>
          <a:picLocks noChangeAspect="1"/>
        </xdr:cNvPicPr>
      </xdr:nvPicPr>
      <xdr:blipFill>
        <a:blip xmlns:r="http://schemas.openxmlformats.org/officeDocument/2006/relationships" r:embed="rId1"/>
        <a:stretch>
          <a:fillRect/>
        </a:stretch>
      </xdr:blipFill>
      <xdr:spPr>
        <a:xfrm>
          <a:off x="2870611" y="23879736"/>
          <a:ext cx="9276190" cy="3502857"/>
        </a:xfrm>
        <a:prstGeom prst="rect">
          <a:avLst/>
        </a:prstGeom>
      </xdr:spPr>
    </xdr:pic>
    <xdr:clientData/>
  </xdr:twoCellAnchor>
  <xdr:twoCellAnchor>
    <xdr:from>
      <xdr:col>7</xdr:col>
      <xdr:colOff>444650</xdr:colOff>
      <xdr:row>110</xdr:row>
      <xdr:rowOff>134471</xdr:rowOff>
    </xdr:from>
    <xdr:to>
      <xdr:col>9</xdr:col>
      <xdr:colOff>491154</xdr:colOff>
      <xdr:row>121</xdr:row>
      <xdr:rowOff>115869</xdr:rowOff>
    </xdr:to>
    <xdr:sp macro="" textlink="">
      <xdr:nvSpPr>
        <xdr:cNvPr id="5" name="Rectangle 4">
          <a:extLst>
            <a:ext uri="{FF2B5EF4-FFF2-40B4-BE49-F238E27FC236}">
              <a16:creationId xmlns:a16="http://schemas.microsoft.com/office/drawing/2014/main" id="{B81D3157-802F-297A-E301-65D266702E82}"/>
            </a:ext>
          </a:extLst>
        </xdr:cNvPr>
        <xdr:cNvSpPr/>
      </xdr:nvSpPr>
      <xdr:spPr>
        <a:xfrm>
          <a:off x="6025179" y="21078265"/>
          <a:ext cx="1637740" cy="1953633"/>
        </a:xfrm>
        <a:prstGeom prst="rect">
          <a:avLst/>
        </a:prstGeom>
        <a:noFill/>
        <a:ln w="57150"/>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nb-NO" sz="1100"/>
        </a:p>
      </xdr:txBody>
    </xdr:sp>
    <xdr:clientData/>
  </xdr:twoCellAnchor>
  <xdr:twoCellAnchor>
    <xdr:from>
      <xdr:col>4</xdr:col>
      <xdr:colOff>676162</xdr:colOff>
      <xdr:row>110</xdr:row>
      <xdr:rowOff>134471</xdr:rowOff>
    </xdr:from>
    <xdr:to>
      <xdr:col>5</xdr:col>
      <xdr:colOff>737907</xdr:colOff>
      <xdr:row>121</xdr:row>
      <xdr:rowOff>115869</xdr:rowOff>
    </xdr:to>
    <xdr:sp macro="" textlink="">
      <xdr:nvSpPr>
        <xdr:cNvPr id="6" name="Rectangle 5">
          <a:extLst>
            <a:ext uri="{FF2B5EF4-FFF2-40B4-BE49-F238E27FC236}">
              <a16:creationId xmlns:a16="http://schemas.microsoft.com/office/drawing/2014/main" id="{07F579FF-7ED4-4673-A831-E01F116497EC}"/>
            </a:ext>
          </a:extLst>
        </xdr:cNvPr>
        <xdr:cNvSpPr/>
      </xdr:nvSpPr>
      <xdr:spPr>
        <a:xfrm>
          <a:off x="3186280" y="24854647"/>
          <a:ext cx="1742627" cy="1953634"/>
        </a:xfrm>
        <a:prstGeom prst="rect">
          <a:avLst/>
        </a:prstGeom>
        <a:noFill/>
        <a:ln w="57150"/>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nb-NO"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26670</xdr:colOff>
      <xdr:row>82</xdr:row>
      <xdr:rowOff>171450</xdr:rowOff>
    </xdr:from>
    <xdr:to>
      <xdr:col>31</xdr:col>
      <xdr:colOff>302606</xdr:colOff>
      <xdr:row>93</xdr:row>
      <xdr:rowOff>172824</xdr:rowOff>
    </xdr:to>
    <xdr:pic>
      <xdr:nvPicPr>
        <xdr:cNvPr id="2" name="Picture 1">
          <a:extLst>
            <a:ext uri="{FF2B5EF4-FFF2-40B4-BE49-F238E27FC236}">
              <a16:creationId xmlns:a16="http://schemas.microsoft.com/office/drawing/2014/main" id="{E55BB3DE-E19D-43D7-BA2B-A6A6E5D7DD07}"/>
            </a:ext>
          </a:extLst>
        </xdr:cNvPr>
        <xdr:cNvPicPr>
          <a:picLocks noChangeAspect="1"/>
        </xdr:cNvPicPr>
      </xdr:nvPicPr>
      <xdr:blipFill>
        <a:blip xmlns:r="http://schemas.openxmlformats.org/officeDocument/2006/relationships" r:embed="rId1"/>
        <a:stretch>
          <a:fillRect/>
        </a:stretch>
      </xdr:blipFill>
      <xdr:spPr>
        <a:xfrm>
          <a:off x="16419195" y="15440025"/>
          <a:ext cx="8848436" cy="1978764"/>
        </a:xfrm>
        <a:prstGeom prst="rect">
          <a:avLst/>
        </a:prstGeom>
      </xdr:spPr>
    </xdr:pic>
    <xdr:clientData/>
  </xdr:twoCellAnchor>
  <xdr:twoCellAnchor editAs="oneCell">
    <xdr:from>
      <xdr:col>1</xdr:col>
      <xdr:colOff>24765</xdr:colOff>
      <xdr:row>123</xdr:row>
      <xdr:rowOff>150495</xdr:rowOff>
    </xdr:from>
    <xdr:to>
      <xdr:col>11</xdr:col>
      <xdr:colOff>550545</xdr:colOff>
      <xdr:row>146</xdr:row>
      <xdr:rowOff>92278</xdr:rowOff>
    </xdr:to>
    <xdr:pic>
      <xdr:nvPicPr>
        <xdr:cNvPr id="4" name="Picture 3">
          <a:extLst>
            <a:ext uri="{FF2B5EF4-FFF2-40B4-BE49-F238E27FC236}">
              <a16:creationId xmlns:a16="http://schemas.microsoft.com/office/drawing/2014/main" id="{0DAD1358-BF98-A46D-F53B-B819583A162C}"/>
            </a:ext>
          </a:extLst>
        </xdr:cNvPr>
        <xdr:cNvPicPr>
          <a:picLocks noChangeAspect="1"/>
        </xdr:cNvPicPr>
      </xdr:nvPicPr>
      <xdr:blipFill>
        <a:blip xmlns:r="http://schemas.openxmlformats.org/officeDocument/2006/relationships" r:embed="rId2"/>
        <a:stretch>
          <a:fillRect/>
        </a:stretch>
      </xdr:blipFill>
      <xdr:spPr>
        <a:xfrm>
          <a:off x="653415" y="23410545"/>
          <a:ext cx="8671560" cy="4098493"/>
        </a:xfrm>
        <a:prstGeom prst="rect">
          <a:avLst/>
        </a:prstGeom>
      </xdr:spPr>
    </xdr:pic>
    <xdr:clientData/>
  </xdr:twoCellAnchor>
  <xdr:twoCellAnchor editAs="oneCell">
    <xdr:from>
      <xdr:col>17</xdr:col>
      <xdr:colOff>849630</xdr:colOff>
      <xdr:row>97</xdr:row>
      <xdr:rowOff>182880</xdr:rowOff>
    </xdr:from>
    <xdr:to>
      <xdr:col>29</xdr:col>
      <xdr:colOff>244800</xdr:colOff>
      <xdr:row>126</xdr:row>
      <xdr:rowOff>79362</xdr:rowOff>
    </xdr:to>
    <xdr:pic>
      <xdr:nvPicPr>
        <xdr:cNvPr id="7" name="Picture 6">
          <a:extLst>
            <a:ext uri="{FF2B5EF4-FFF2-40B4-BE49-F238E27FC236}">
              <a16:creationId xmlns:a16="http://schemas.microsoft.com/office/drawing/2014/main" id="{D0A3BC07-8C43-E1B5-5048-1B87CCE39E1A}"/>
            </a:ext>
          </a:extLst>
        </xdr:cNvPr>
        <xdr:cNvPicPr>
          <a:picLocks noChangeAspect="1"/>
        </xdr:cNvPicPr>
      </xdr:nvPicPr>
      <xdr:blipFill>
        <a:blip xmlns:r="http://schemas.openxmlformats.org/officeDocument/2006/relationships" r:embed="rId3"/>
        <a:stretch>
          <a:fillRect/>
        </a:stretch>
      </xdr:blipFill>
      <xdr:spPr>
        <a:xfrm>
          <a:off x="15118080" y="18709005"/>
          <a:ext cx="7567620" cy="5173332"/>
        </a:xfrm>
        <a:prstGeom prst="rect">
          <a:avLst/>
        </a:prstGeom>
      </xdr:spPr>
    </xdr:pic>
    <xdr:clientData/>
  </xdr:twoCellAnchor>
  <xdr:twoCellAnchor editAs="oneCell">
    <xdr:from>
      <xdr:col>1</xdr:col>
      <xdr:colOff>72390</xdr:colOff>
      <xdr:row>107</xdr:row>
      <xdr:rowOff>57150</xdr:rowOff>
    </xdr:from>
    <xdr:to>
      <xdr:col>11</xdr:col>
      <xdr:colOff>94227</xdr:colOff>
      <xdr:row>122</xdr:row>
      <xdr:rowOff>22524</xdr:rowOff>
    </xdr:to>
    <xdr:pic>
      <xdr:nvPicPr>
        <xdr:cNvPr id="9" name="Picture 8">
          <a:extLst>
            <a:ext uri="{FF2B5EF4-FFF2-40B4-BE49-F238E27FC236}">
              <a16:creationId xmlns:a16="http://schemas.microsoft.com/office/drawing/2014/main" id="{36338A6E-65D5-92D8-7D0A-C026BA3A7174}"/>
            </a:ext>
          </a:extLst>
        </xdr:cNvPr>
        <xdr:cNvPicPr>
          <a:picLocks noChangeAspect="1"/>
        </xdr:cNvPicPr>
      </xdr:nvPicPr>
      <xdr:blipFill>
        <a:blip xmlns:r="http://schemas.openxmlformats.org/officeDocument/2006/relationships" r:embed="rId4"/>
        <a:stretch>
          <a:fillRect/>
        </a:stretch>
      </xdr:blipFill>
      <xdr:spPr>
        <a:xfrm>
          <a:off x="701040" y="20421600"/>
          <a:ext cx="8167617" cy="2679999"/>
        </a:xfrm>
        <a:prstGeom prst="rect">
          <a:avLst/>
        </a:prstGeom>
      </xdr:spPr>
    </xdr:pic>
    <xdr:clientData/>
  </xdr:twoCellAnchor>
  <xdr:twoCellAnchor>
    <xdr:from>
      <xdr:col>25</xdr:col>
      <xdr:colOff>438150</xdr:colOff>
      <xdr:row>124</xdr:row>
      <xdr:rowOff>150495</xdr:rowOff>
    </xdr:from>
    <xdr:to>
      <xdr:col>26</xdr:col>
      <xdr:colOff>377190</xdr:colOff>
      <xdr:row>126</xdr:row>
      <xdr:rowOff>95250</xdr:rowOff>
    </xdr:to>
    <xdr:sp macro="" textlink="">
      <xdr:nvSpPr>
        <xdr:cNvPr id="10" name="Oval 9">
          <a:extLst>
            <a:ext uri="{FF2B5EF4-FFF2-40B4-BE49-F238E27FC236}">
              <a16:creationId xmlns:a16="http://schemas.microsoft.com/office/drawing/2014/main" id="{FFC13A4E-D094-E3AA-7100-B872C6508E9A}"/>
            </a:ext>
          </a:extLst>
        </xdr:cNvPr>
        <xdr:cNvSpPr/>
      </xdr:nvSpPr>
      <xdr:spPr>
        <a:xfrm>
          <a:off x="20069175" y="23591520"/>
          <a:ext cx="872490" cy="306705"/>
        </a:xfrm>
        <a:prstGeom prst="ellipse">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215265</xdr:colOff>
      <xdr:row>101</xdr:row>
      <xdr:rowOff>38100</xdr:rowOff>
    </xdr:from>
    <xdr:to>
      <xdr:col>11</xdr:col>
      <xdr:colOff>627633</xdr:colOff>
      <xdr:row>118</xdr:row>
      <xdr:rowOff>1525</xdr:rowOff>
    </xdr:to>
    <xdr:pic>
      <xdr:nvPicPr>
        <xdr:cNvPr id="2" name="Picture 1">
          <a:extLst>
            <a:ext uri="{FF2B5EF4-FFF2-40B4-BE49-F238E27FC236}">
              <a16:creationId xmlns:a16="http://schemas.microsoft.com/office/drawing/2014/main" id="{AE83B237-9CA5-7ECF-2FF7-8D02C83D231B}"/>
            </a:ext>
          </a:extLst>
        </xdr:cNvPr>
        <xdr:cNvPicPr>
          <a:picLocks noChangeAspect="1"/>
        </xdr:cNvPicPr>
      </xdr:nvPicPr>
      <xdr:blipFill>
        <a:blip xmlns:r="http://schemas.openxmlformats.org/officeDocument/2006/relationships" r:embed="rId1"/>
        <a:stretch>
          <a:fillRect/>
        </a:stretch>
      </xdr:blipFill>
      <xdr:spPr>
        <a:xfrm>
          <a:off x="1472565" y="19278600"/>
          <a:ext cx="8140953" cy="304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533400</xdr:colOff>
      <xdr:row>96</xdr:row>
      <xdr:rowOff>57150</xdr:rowOff>
    </xdr:from>
    <xdr:to>
      <xdr:col>6</xdr:col>
      <xdr:colOff>250954</xdr:colOff>
      <xdr:row>105</xdr:row>
      <xdr:rowOff>95040</xdr:rowOff>
    </xdr:to>
    <xdr:pic>
      <xdr:nvPicPr>
        <xdr:cNvPr id="2" name="Picture 1">
          <a:extLst>
            <a:ext uri="{FF2B5EF4-FFF2-40B4-BE49-F238E27FC236}">
              <a16:creationId xmlns:a16="http://schemas.microsoft.com/office/drawing/2014/main" id="{87D26E83-2D3F-0EB2-D96F-24079C806A5C}"/>
            </a:ext>
          </a:extLst>
        </xdr:cNvPr>
        <xdr:cNvPicPr>
          <a:picLocks noChangeAspect="1"/>
        </xdr:cNvPicPr>
      </xdr:nvPicPr>
      <xdr:blipFill>
        <a:blip xmlns:r="http://schemas.openxmlformats.org/officeDocument/2006/relationships" r:embed="rId1"/>
        <a:stretch>
          <a:fillRect/>
        </a:stretch>
      </xdr:blipFill>
      <xdr:spPr>
        <a:xfrm>
          <a:off x="1162050" y="18640425"/>
          <a:ext cx="4051429" cy="167619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en.wikipedia.org/wiki/Energy_content_of_biofuel" TargetMode="External"/><Relationship Id="rId3" Type="http://schemas.openxmlformats.org/officeDocument/2006/relationships/hyperlink" Target="https://www.worldenergydata.org/world-electricity-generation/" TargetMode="External"/><Relationship Id="rId7" Type="http://schemas.openxmlformats.org/officeDocument/2006/relationships/hyperlink" Target="https://en.wikipedia.org/wiki/Energy_content_of_biofuel" TargetMode="External"/><Relationship Id="rId2" Type="http://schemas.openxmlformats.org/officeDocument/2006/relationships/hyperlink" Target="https://www.researchgate.net/figure/Greenhouse-gas-emissions-by-economic-sectors-2010_fig1_327161641" TargetMode="External"/><Relationship Id="rId1" Type="http://schemas.openxmlformats.org/officeDocument/2006/relationships/hyperlink" Target="https://en.wikipedia.org/wiki/Energy_content_of_biofuel" TargetMode="External"/><Relationship Id="rId6" Type="http://schemas.openxmlformats.org/officeDocument/2006/relationships/hyperlink" Target="https://en.wikipedia.org/wiki/Energy_content_of_biofuel" TargetMode="External"/><Relationship Id="rId5" Type="http://schemas.openxmlformats.org/officeDocument/2006/relationships/hyperlink" Target="https://en.wikipedia.org/wiki/Energy_content_of_biofuel" TargetMode="External"/><Relationship Id="rId10" Type="http://schemas.openxmlformats.org/officeDocument/2006/relationships/printerSettings" Target="../printerSettings/printerSettings3.bin"/><Relationship Id="rId4" Type="http://schemas.openxmlformats.org/officeDocument/2006/relationships/hyperlink" Target="https://en.wikipedia.org/wiki/Energy_content_of_biofuel" TargetMode="External"/><Relationship Id="rId9" Type="http://schemas.openxmlformats.org/officeDocument/2006/relationships/hyperlink" Target="https://www.claverton-energy.com/wordpress/wp-content/uploads/2012/08/the_energy_and_fuel_data_sheet1.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doi.org/10.1016/j.jclepro.2017.03.118" TargetMode="External"/><Relationship Id="rId1" Type="http://schemas.openxmlformats.org/officeDocument/2006/relationships/hyperlink" Target="https://doi.org/10.1016/j.jclepro.2017.03.118"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international-aluminium.org/resource/life-cycle-inventory-data-and-environmental-metrics/" TargetMode="External"/><Relationship Id="rId2" Type="http://schemas.openxmlformats.org/officeDocument/2006/relationships/hyperlink" Target="https://link.springer.com/article/10.1007/s11367-015-1003-7" TargetMode="External"/><Relationship Id="rId1" Type="http://schemas.openxmlformats.org/officeDocument/2006/relationships/hyperlink" Target="https://onlinelibrary.wiley.com/doi/full/10.1111/jiec.12268" TargetMode="External"/><Relationship Id="rId5" Type="http://schemas.openxmlformats.org/officeDocument/2006/relationships/printerSettings" Target="../printerSettings/printerSettings12.bin"/><Relationship Id="rId4" Type="http://schemas.openxmlformats.org/officeDocument/2006/relationships/hyperlink" Target="https://onlinelibrary.wiley.com/doi/full/10.1111/jiec.12268"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doi.org/10.1111/jiec.13112" TargetMode="External"/><Relationship Id="rId2" Type="http://schemas.openxmlformats.org/officeDocument/2006/relationships/hyperlink" Target="https://doi.org/10.1111/jiec.13112" TargetMode="External"/><Relationship Id="rId1" Type="http://schemas.openxmlformats.org/officeDocument/2006/relationships/hyperlink" Target="https://doi.org/10.1016/j.enpol.2010.09.022" TargetMode="External"/><Relationship Id="rId5" Type="http://schemas.openxmlformats.org/officeDocument/2006/relationships/drawing" Target="../drawings/drawing5.xm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7.bin"/><Relationship Id="rId1" Type="http://schemas.openxmlformats.org/officeDocument/2006/relationships/hyperlink" Target="http://www.inference.org.uk/sustainable/LCA/elcd/external_docs/eps_31116f05-fabd-11da-974d-0800200c9a66.pdf"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8.bin"/><Relationship Id="rId1" Type="http://schemas.openxmlformats.org/officeDocument/2006/relationships/hyperlink" Target="https://doi.org/10.1016/j.clce.2022.10005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G23"/>
  <sheetViews>
    <sheetView workbookViewId="0"/>
  </sheetViews>
  <sheetFormatPr defaultColWidth="11.5546875" defaultRowHeight="14.4"/>
  <cols>
    <col min="3" max="3" width="23.109375" bestFit="1" customWidth="1"/>
  </cols>
  <sheetData>
    <row r="2" spans="2:7">
      <c r="B2" s="1" t="s">
        <v>0</v>
      </c>
    </row>
    <row r="5" spans="2:7">
      <c r="B5" s="1" t="s">
        <v>1</v>
      </c>
    </row>
    <row r="6" spans="2:7">
      <c r="C6" t="s">
        <v>2</v>
      </c>
      <c r="F6" t="s">
        <v>3</v>
      </c>
    </row>
    <row r="7" spans="2:7">
      <c r="C7" t="s">
        <v>4</v>
      </c>
      <c r="F7" t="s">
        <v>5</v>
      </c>
    </row>
    <row r="10" spans="2:7" ht="18">
      <c r="B10" s="186" t="s">
        <v>626</v>
      </c>
      <c r="C10" s="184"/>
      <c r="D10" s="184"/>
      <c r="E10" s="184"/>
      <c r="F10" s="184"/>
      <c r="G10" s="185" t="s">
        <v>673</v>
      </c>
    </row>
    <row r="11" spans="2:7">
      <c r="C11" s="1" t="s">
        <v>627</v>
      </c>
      <c r="D11" s="182" t="s">
        <v>628</v>
      </c>
      <c r="E11" s="182"/>
      <c r="F11" s="182"/>
      <c r="G11" t="s">
        <v>674</v>
      </c>
    </row>
    <row r="12" spans="2:7">
      <c r="C12" s="1" t="s">
        <v>130</v>
      </c>
      <c r="D12" s="182" t="s">
        <v>628</v>
      </c>
      <c r="E12" s="182"/>
      <c r="F12" s="182"/>
      <c r="G12" t="s">
        <v>674</v>
      </c>
    </row>
    <row r="13" spans="2:7">
      <c r="C13" s="1" t="s">
        <v>633</v>
      </c>
      <c r="D13" s="182" t="s">
        <v>628</v>
      </c>
      <c r="E13" s="182"/>
      <c r="F13" s="182"/>
      <c r="G13" t="s">
        <v>674</v>
      </c>
    </row>
    <row r="14" spans="2:7">
      <c r="C14" s="1" t="s">
        <v>630</v>
      </c>
      <c r="D14" s="182" t="s">
        <v>628</v>
      </c>
      <c r="E14" s="182"/>
      <c r="F14" s="182"/>
      <c r="G14" t="s">
        <v>674</v>
      </c>
    </row>
    <row r="15" spans="2:7">
      <c r="C15" s="1" t="s">
        <v>120</v>
      </c>
      <c r="D15" s="182" t="s">
        <v>628</v>
      </c>
      <c r="E15" s="182"/>
      <c r="F15" s="182"/>
      <c r="G15" t="s">
        <v>674</v>
      </c>
    </row>
    <row r="16" spans="2:7">
      <c r="C16" s="1" t="s">
        <v>115</v>
      </c>
      <c r="D16" s="182" t="s">
        <v>628</v>
      </c>
      <c r="E16" s="182"/>
      <c r="F16" s="182"/>
      <c r="G16" t="s">
        <v>674</v>
      </c>
    </row>
    <row r="17" spans="3:7">
      <c r="C17" s="1" t="s">
        <v>631</v>
      </c>
      <c r="D17" s="182" t="s">
        <v>628</v>
      </c>
      <c r="E17" s="182"/>
      <c r="F17" s="182"/>
      <c r="G17" t="s">
        <v>674</v>
      </c>
    </row>
    <row r="18" spans="3:7">
      <c r="C18" s="1" t="s">
        <v>632</v>
      </c>
      <c r="D18" s="182" t="s">
        <v>628</v>
      </c>
      <c r="E18" s="182"/>
      <c r="F18" s="182"/>
      <c r="G18" t="s">
        <v>674</v>
      </c>
    </row>
    <row r="19" spans="3:7">
      <c r="C19" s="1" t="s">
        <v>81</v>
      </c>
      <c r="D19" s="183" t="s">
        <v>656</v>
      </c>
      <c r="E19" s="183"/>
      <c r="F19" s="183"/>
      <c r="G19" t="s">
        <v>674</v>
      </c>
    </row>
    <row r="20" spans="3:7">
      <c r="C20" s="1" t="s">
        <v>105</v>
      </c>
      <c r="D20" s="188" t="s">
        <v>656</v>
      </c>
      <c r="E20" s="188"/>
      <c r="F20" s="188"/>
      <c r="G20" t="s">
        <v>675</v>
      </c>
    </row>
    <row r="21" spans="3:7">
      <c r="C21" s="1" t="s">
        <v>634</v>
      </c>
      <c r="D21" s="188" t="s">
        <v>656</v>
      </c>
      <c r="E21" s="188"/>
      <c r="F21" s="188"/>
      <c r="G21" t="s">
        <v>675</v>
      </c>
    </row>
    <row r="22" spans="3:7">
      <c r="C22" s="1" t="s">
        <v>125</v>
      </c>
      <c r="D22" s="188" t="s">
        <v>656</v>
      </c>
      <c r="E22" s="188"/>
      <c r="F22" s="188"/>
      <c r="G22" t="s">
        <v>675</v>
      </c>
    </row>
    <row r="23" spans="3:7">
      <c r="C23" s="1" t="s">
        <v>134</v>
      </c>
      <c r="D23" s="188" t="s">
        <v>656</v>
      </c>
      <c r="E23" s="188"/>
      <c r="F23" s="188"/>
      <c r="G23" t="s">
        <v>675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P90"/>
  <sheetViews>
    <sheetView topLeftCell="A3" workbookViewId="0">
      <selection activeCell="B31" sqref="B31"/>
    </sheetView>
  </sheetViews>
  <sheetFormatPr defaultColWidth="9.109375" defaultRowHeight="14.4"/>
  <cols>
    <col min="1" max="1" width="29.109375" bestFit="1" customWidth="1"/>
    <col min="2" max="2" width="31.88671875" customWidth="1"/>
    <col min="3" max="3" width="32.88671875" customWidth="1"/>
    <col min="4" max="4" width="53" customWidth="1"/>
    <col min="5" max="5" width="11.6640625" customWidth="1"/>
    <col min="6" max="6" width="12.5546875" bestFit="1" customWidth="1"/>
    <col min="7" max="7" width="28.6640625" customWidth="1"/>
    <col min="8" max="8" width="22.5546875" customWidth="1"/>
    <col min="9" max="9" width="20.33203125" customWidth="1"/>
    <col min="10" max="10" width="20.44140625" customWidth="1"/>
    <col min="11" max="11" width="18.33203125" customWidth="1"/>
    <col min="12" max="13" width="28.33203125" customWidth="1"/>
    <col min="14" max="14" width="27.5546875" customWidth="1"/>
    <col min="15" max="15" width="27.77734375" customWidth="1"/>
    <col min="16" max="16" width="28.21875" customWidth="1"/>
  </cols>
  <sheetData>
    <row r="3" spans="1:16" s="32" customFormat="1" ht="57.6">
      <c r="A3" s="34" t="s">
        <v>6</v>
      </c>
      <c r="B3" s="34" t="s">
        <v>7</v>
      </c>
      <c r="C3" s="34" t="s">
        <v>678</v>
      </c>
      <c r="D3" s="34" t="s">
        <v>8</v>
      </c>
      <c r="E3" s="34" t="s">
        <v>9</v>
      </c>
      <c r="F3" s="34" t="s">
        <v>10</v>
      </c>
      <c r="G3" s="34" t="s">
        <v>11</v>
      </c>
      <c r="H3" s="34" t="s">
        <v>12</v>
      </c>
      <c r="I3" s="34" t="s">
        <v>13</v>
      </c>
      <c r="J3" s="34" t="s">
        <v>686</v>
      </c>
      <c r="K3" s="34" t="s">
        <v>15</v>
      </c>
      <c r="L3" s="35" t="s">
        <v>16</v>
      </c>
      <c r="M3" s="35" t="s">
        <v>17</v>
      </c>
      <c r="N3" s="35" t="s">
        <v>18</v>
      </c>
      <c r="O3" s="35" t="s">
        <v>731</v>
      </c>
      <c r="P3" s="35" t="s">
        <v>733</v>
      </c>
    </row>
    <row r="4" spans="1:16">
      <c r="B4" s="1" t="s">
        <v>19</v>
      </c>
      <c r="G4" s="36"/>
    </row>
    <row r="5" spans="1:16">
      <c r="C5" t="s">
        <v>20</v>
      </c>
      <c r="D5" t="s">
        <v>21</v>
      </c>
      <c r="E5" t="s">
        <v>22</v>
      </c>
      <c r="F5" t="s">
        <v>23</v>
      </c>
      <c r="G5" s="36" t="s">
        <v>24</v>
      </c>
      <c r="I5">
        <v>0.52</v>
      </c>
      <c r="J5">
        <v>7.8799999999999999E-3</v>
      </c>
      <c r="K5">
        <v>3.46E-3</v>
      </c>
      <c r="L5">
        <v>0.54700000000000004</v>
      </c>
      <c r="M5">
        <v>0.40300000000000002</v>
      </c>
      <c r="N5">
        <v>6.5000000000000002E-2</v>
      </c>
    </row>
    <row r="6" spans="1:16">
      <c r="C6" t="s">
        <v>25</v>
      </c>
      <c r="D6" t="s">
        <v>26</v>
      </c>
      <c r="E6" t="s">
        <v>22</v>
      </c>
      <c r="F6" t="s">
        <v>23</v>
      </c>
      <c r="G6" s="36" t="s">
        <v>27</v>
      </c>
      <c r="I6">
        <v>1.9099999999999999E-2</v>
      </c>
      <c r="J6">
        <v>1.24E-3</v>
      </c>
      <c r="K6">
        <v>2.1000000000000001E-4</v>
      </c>
      <c r="L6">
        <v>6.9000000000000006E-2</v>
      </c>
      <c r="M6">
        <v>8.6999999999999994E-3</v>
      </c>
      <c r="N6">
        <v>2.29E-2</v>
      </c>
    </row>
    <row r="7" spans="1:16">
      <c r="C7" t="s">
        <v>28</v>
      </c>
      <c r="D7" t="s">
        <v>29</v>
      </c>
      <c r="E7" t="s">
        <v>22</v>
      </c>
      <c r="F7" t="s">
        <v>23</v>
      </c>
      <c r="G7" s="36" t="s">
        <v>30</v>
      </c>
      <c r="I7">
        <v>0.111</v>
      </c>
      <c r="J7">
        <v>1.34E-3</v>
      </c>
      <c r="K7">
        <v>2.7499999999999998E-3</v>
      </c>
      <c r="L7">
        <v>0.19700000000000001</v>
      </c>
      <c r="M7">
        <v>5.2499999999999998E-2</v>
      </c>
      <c r="N7">
        <v>0.109</v>
      </c>
    </row>
    <row r="8" spans="1:16">
      <c r="C8" t="s">
        <v>31</v>
      </c>
      <c r="D8" t="s">
        <v>32</v>
      </c>
      <c r="E8" t="s">
        <v>22</v>
      </c>
      <c r="F8" t="s">
        <v>23</v>
      </c>
      <c r="G8" s="36" t="s">
        <v>33</v>
      </c>
      <c r="I8">
        <v>0.43</v>
      </c>
      <c r="J8">
        <v>2.0000000000000001E-4</v>
      </c>
      <c r="K8">
        <v>6.4999999999999997E-4</v>
      </c>
      <c r="L8">
        <v>0.1888</v>
      </c>
      <c r="M8">
        <v>0.16800000000000001</v>
      </c>
      <c r="N8">
        <v>7.1999999999999998E-3</v>
      </c>
    </row>
    <row r="9" spans="1:16">
      <c r="C9" t="s">
        <v>34</v>
      </c>
      <c r="D9" t="s">
        <v>35</v>
      </c>
      <c r="E9" t="s">
        <v>22</v>
      </c>
      <c r="F9" t="s">
        <v>23</v>
      </c>
      <c r="G9" s="36" t="s">
        <v>36</v>
      </c>
      <c r="I9">
        <v>1.2254400000000001</v>
      </c>
      <c r="J9">
        <v>1.92E-3</v>
      </c>
      <c r="K9">
        <v>2.5899999999999999E-3</v>
      </c>
      <c r="L9">
        <v>1.3129999999999999</v>
      </c>
      <c r="M9">
        <v>1.2649999999999999</v>
      </c>
      <c r="N9">
        <v>9.9000000000000008E-3</v>
      </c>
    </row>
    <row r="10" spans="1:16">
      <c r="C10" t="s">
        <v>37</v>
      </c>
      <c r="D10" t="s">
        <v>38</v>
      </c>
      <c r="E10" t="s">
        <v>39</v>
      </c>
      <c r="F10" t="s">
        <v>40</v>
      </c>
      <c r="G10" s="36" t="s">
        <v>41</v>
      </c>
      <c r="H10" t="s">
        <v>42</v>
      </c>
      <c r="I10">
        <v>1.282</v>
      </c>
      <c r="J10">
        <v>6.7000000000000002E-3</v>
      </c>
      <c r="K10">
        <v>4.3E-3</v>
      </c>
      <c r="L10">
        <v>1.6819999999999999</v>
      </c>
      <c r="M10">
        <v>1.4079999999999999</v>
      </c>
      <c r="N10">
        <v>6.7599999999999993E-2</v>
      </c>
    </row>
    <row r="11" spans="1:16">
      <c r="C11" t="s">
        <v>43</v>
      </c>
      <c r="D11" t="s">
        <v>44</v>
      </c>
      <c r="E11" t="s">
        <v>39</v>
      </c>
      <c r="F11" t="s">
        <v>40</v>
      </c>
      <c r="G11" s="36" t="s">
        <v>45</v>
      </c>
      <c r="H11" t="s">
        <v>42</v>
      </c>
      <c r="I11">
        <v>0.629</v>
      </c>
      <c r="J11">
        <v>5.7000000000000002E-3</v>
      </c>
      <c r="K11">
        <v>5.9000000000000003E-4</v>
      </c>
      <c r="L11">
        <v>1.367</v>
      </c>
      <c r="M11">
        <v>1.2</v>
      </c>
      <c r="N11">
        <v>9.0999999999999998E-2</v>
      </c>
    </row>
    <row r="12" spans="1:16">
      <c r="G12" s="36"/>
    </row>
    <row r="13" spans="1:16">
      <c r="B13" s="1" t="s">
        <v>46</v>
      </c>
      <c r="G13" s="36"/>
    </row>
    <row r="14" spans="1:16">
      <c r="B14" t="s">
        <v>47</v>
      </c>
      <c r="C14" t="s">
        <v>48</v>
      </c>
      <c r="D14" t="s">
        <v>49</v>
      </c>
      <c r="E14" t="s">
        <v>50</v>
      </c>
      <c r="F14" t="s">
        <v>40</v>
      </c>
      <c r="G14" s="36" t="s">
        <v>51</v>
      </c>
      <c r="H14" t="s">
        <v>52</v>
      </c>
      <c r="I14">
        <v>253</v>
      </c>
      <c r="J14">
        <v>15.6</v>
      </c>
      <c r="K14">
        <v>2.2000000000000002</v>
      </c>
      <c r="L14">
        <v>2372</v>
      </c>
      <c r="M14">
        <v>54.3</v>
      </c>
      <c r="N14">
        <v>24.02</v>
      </c>
    </row>
    <row r="15" spans="1:16">
      <c r="A15" t="s">
        <v>680</v>
      </c>
      <c r="B15" t="s">
        <v>683</v>
      </c>
      <c r="C15" t="s">
        <v>682</v>
      </c>
      <c r="D15" t="s">
        <v>685</v>
      </c>
      <c r="E15" t="s">
        <v>39</v>
      </c>
      <c r="F15" t="s">
        <v>40</v>
      </c>
      <c r="G15" s="36" t="s">
        <v>684</v>
      </c>
      <c r="H15" t="s">
        <v>689</v>
      </c>
      <c r="I15">
        <v>2.1549999999999998</v>
      </c>
      <c r="J15">
        <v>1.2699999999999999E-2</v>
      </c>
      <c r="K15">
        <v>1.133E-2</v>
      </c>
      <c r="L15">
        <v>5.44</v>
      </c>
      <c r="M15">
        <v>1.018</v>
      </c>
      <c r="N15">
        <v>3.6280000000000001</v>
      </c>
    </row>
    <row r="16" spans="1:16">
      <c r="A16" t="s">
        <v>681</v>
      </c>
      <c r="B16" t="s">
        <v>53</v>
      </c>
      <c r="C16" t="s">
        <v>54</v>
      </c>
      <c r="D16" t="s">
        <v>55</v>
      </c>
      <c r="E16" t="s">
        <v>39</v>
      </c>
      <c r="F16" t="s">
        <v>56</v>
      </c>
      <c r="G16" s="36" t="s">
        <v>57</v>
      </c>
      <c r="H16" t="s">
        <v>58</v>
      </c>
      <c r="I16">
        <v>2.0950000000000002</v>
      </c>
      <c r="J16">
        <v>2.4E-2</v>
      </c>
      <c r="K16">
        <v>1.2999999999999999E-2</v>
      </c>
      <c r="L16">
        <v>5.27</v>
      </c>
      <c r="M16">
        <v>0.98</v>
      </c>
      <c r="N16">
        <v>3.35</v>
      </c>
    </row>
    <row r="17" spans="1:16">
      <c r="B17" t="s">
        <v>59</v>
      </c>
      <c r="C17" t="s">
        <v>60</v>
      </c>
      <c r="D17" t="s">
        <v>61</v>
      </c>
      <c r="E17" t="s">
        <v>39</v>
      </c>
      <c r="F17" t="s">
        <v>56</v>
      </c>
      <c r="G17" s="36" t="s">
        <v>62</v>
      </c>
      <c r="H17" t="s">
        <v>63</v>
      </c>
      <c r="I17">
        <v>0.55000000000000004</v>
      </c>
      <c r="J17">
        <v>1.2999999999999999E-2</v>
      </c>
      <c r="K17">
        <v>9.9000000000000008E-3</v>
      </c>
      <c r="L17">
        <v>0.85</v>
      </c>
      <c r="M17">
        <v>0.247</v>
      </c>
      <c r="N17">
        <v>0.192</v>
      </c>
    </row>
    <row r="18" spans="1:16" ht="14.7" customHeight="1">
      <c r="A18" t="s">
        <v>64</v>
      </c>
      <c r="B18" t="s">
        <v>65</v>
      </c>
      <c r="C18" t="s">
        <v>66</v>
      </c>
      <c r="D18" t="s">
        <v>67</v>
      </c>
      <c r="E18" t="s">
        <v>39</v>
      </c>
      <c r="F18" t="s">
        <v>40</v>
      </c>
      <c r="G18" s="36" t="s">
        <v>68</v>
      </c>
      <c r="H18" t="s">
        <v>69</v>
      </c>
      <c r="I18">
        <v>20.8</v>
      </c>
      <c r="J18">
        <v>0.05</v>
      </c>
      <c r="K18">
        <v>4.7E-2</v>
      </c>
      <c r="L18">
        <v>35.6</v>
      </c>
      <c r="M18">
        <v>10.3</v>
      </c>
      <c r="N18">
        <v>14.2</v>
      </c>
    </row>
    <row r="19" spans="1:16">
      <c r="B19" t="s">
        <v>70</v>
      </c>
      <c r="C19" t="s">
        <v>71</v>
      </c>
      <c r="D19" t="s">
        <v>72</v>
      </c>
      <c r="E19" t="s">
        <v>39</v>
      </c>
      <c r="F19" t="s">
        <v>40</v>
      </c>
      <c r="G19" s="36" t="s">
        <v>73</v>
      </c>
      <c r="H19" t="s">
        <v>74</v>
      </c>
      <c r="I19">
        <v>0.81</v>
      </c>
      <c r="J19">
        <v>1.9E-2</v>
      </c>
      <c r="K19">
        <v>1.7000000000000001E-2</v>
      </c>
      <c r="L19">
        <v>3.06</v>
      </c>
      <c r="M19">
        <v>0.28999999999999998</v>
      </c>
      <c r="N19">
        <v>2.46</v>
      </c>
    </row>
    <row r="20" spans="1:16">
      <c r="A20" t="s">
        <v>75</v>
      </c>
      <c r="B20" t="s">
        <v>76</v>
      </c>
      <c r="C20" t="s">
        <v>77</v>
      </c>
      <c r="D20" t="s">
        <v>78</v>
      </c>
      <c r="E20" t="s">
        <v>39</v>
      </c>
      <c r="F20" t="s">
        <v>40</v>
      </c>
      <c r="G20" s="36" t="s">
        <v>79</v>
      </c>
      <c r="H20" t="s">
        <v>80</v>
      </c>
      <c r="I20">
        <v>6.65</v>
      </c>
      <c r="J20">
        <v>0.23300000000000001</v>
      </c>
      <c r="K20">
        <v>0.21</v>
      </c>
      <c r="L20">
        <v>172</v>
      </c>
      <c r="M20">
        <v>3.03</v>
      </c>
      <c r="N20">
        <v>166</v>
      </c>
    </row>
    <row r="21" spans="1:16">
      <c r="A21" t="s">
        <v>81</v>
      </c>
      <c r="B21" t="s">
        <v>82</v>
      </c>
      <c r="C21" t="s">
        <v>83</v>
      </c>
      <c r="D21" t="s">
        <v>84</v>
      </c>
      <c r="E21" t="s">
        <v>39</v>
      </c>
      <c r="F21" t="s">
        <v>40</v>
      </c>
      <c r="G21" s="36" t="s">
        <v>85</v>
      </c>
      <c r="I21">
        <v>2.323</v>
      </c>
      <c r="J21">
        <v>1.4E-2</v>
      </c>
      <c r="K21">
        <v>4.6300000000000001E-2</v>
      </c>
      <c r="L21">
        <v>2.964</v>
      </c>
      <c r="M21">
        <v>1.8240000000000001</v>
      </c>
      <c r="N21">
        <v>0.23699999999999999</v>
      </c>
    </row>
    <row r="22" spans="1:16">
      <c r="B22" t="s">
        <v>87</v>
      </c>
      <c r="C22" t="s">
        <v>88</v>
      </c>
      <c r="D22" t="s">
        <v>89</v>
      </c>
      <c r="E22" t="s">
        <v>50</v>
      </c>
      <c r="F22" t="s">
        <v>56</v>
      </c>
      <c r="G22" s="36" t="s">
        <v>90</v>
      </c>
      <c r="I22">
        <v>53.7</v>
      </c>
      <c r="J22">
        <v>705</v>
      </c>
      <c r="K22">
        <v>0.51</v>
      </c>
      <c r="L22">
        <v>1058</v>
      </c>
      <c r="M22">
        <v>24.4</v>
      </c>
      <c r="N22">
        <v>7.17</v>
      </c>
    </row>
    <row r="23" spans="1:16">
      <c r="A23" t="s">
        <v>86</v>
      </c>
      <c r="B23" t="s">
        <v>720</v>
      </c>
      <c r="C23" t="s">
        <v>719</v>
      </c>
      <c r="D23" t="s">
        <v>721</v>
      </c>
      <c r="E23" t="s">
        <v>50</v>
      </c>
      <c r="F23" t="s">
        <v>40</v>
      </c>
      <c r="G23" s="36" t="s">
        <v>718</v>
      </c>
      <c r="I23">
        <v>193.8</v>
      </c>
      <c r="J23">
        <v>2216</v>
      </c>
      <c r="K23">
        <v>1.7769999999999999</v>
      </c>
      <c r="L23">
        <v>1402.4</v>
      </c>
      <c r="M23">
        <v>86.73</v>
      </c>
      <c r="N23">
        <v>20.257999999999999</v>
      </c>
      <c r="P23">
        <v>1217</v>
      </c>
    </row>
    <row r="24" spans="1:16">
      <c r="B24" t="s">
        <v>91</v>
      </c>
      <c r="C24" t="s">
        <v>92</v>
      </c>
      <c r="D24" t="s">
        <v>93</v>
      </c>
      <c r="E24" t="s">
        <v>50</v>
      </c>
      <c r="F24" t="s">
        <v>56</v>
      </c>
      <c r="G24" s="36" t="s">
        <v>94</v>
      </c>
      <c r="I24">
        <v>302</v>
      </c>
      <c r="J24">
        <v>228</v>
      </c>
      <c r="K24">
        <v>9</v>
      </c>
      <c r="L24">
        <v>629</v>
      </c>
      <c r="M24">
        <v>175</v>
      </c>
      <c r="N24">
        <v>56</v>
      </c>
    </row>
    <row r="25" spans="1:16">
      <c r="B25" t="s">
        <v>95</v>
      </c>
      <c r="C25" t="s">
        <v>96</v>
      </c>
      <c r="D25" t="s">
        <v>97</v>
      </c>
      <c r="E25" t="s">
        <v>39</v>
      </c>
      <c r="F25" t="s">
        <v>40</v>
      </c>
      <c r="G25" s="36" t="s">
        <v>98</v>
      </c>
      <c r="H25" t="s">
        <v>99</v>
      </c>
      <c r="I25">
        <v>8.91</v>
      </c>
      <c r="J25">
        <v>7.37</v>
      </c>
      <c r="K25">
        <v>5.65</v>
      </c>
      <c r="L25">
        <v>9.5299999999999994</v>
      </c>
      <c r="M25">
        <v>2.93</v>
      </c>
      <c r="N25">
        <v>1.1499999999999999</v>
      </c>
    </row>
    <row r="26" spans="1:16">
      <c r="B26" t="s">
        <v>100</v>
      </c>
      <c r="C26" t="s">
        <v>101</v>
      </c>
      <c r="D26" t="s">
        <v>102</v>
      </c>
      <c r="E26" t="s">
        <v>39</v>
      </c>
      <c r="F26" t="s">
        <v>40</v>
      </c>
      <c r="G26" s="36" t="s">
        <v>103</v>
      </c>
      <c r="H26" t="s">
        <v>104</v>
      </c>
      <c r="I26">
        <v>5.39</v>
      </c>
      <c r="J26">
        <v>0.17</v>
      </c>
      <c r="K26">
        <v>6.7000000000000004E-2</v>
      </c>
      <c r="L26">
        <v>7.2</v>
      </c>
      <c r="M26">
        <v>2.9</v>
      </c>
      <c r="N26">
        <v>1.07</v>
      </c>
    </row>
    <row r="27" spans="1:16">
      <c r="A27" t="s">
        <v>105</v>
      </c>
      <c r="B27" t="s">
        <v>106</v>
      </c>
      <c r="C27" t="s">
        <v>107</v>
      </c>
      <c r="D27" t="s">
        <v>108</v>
      </c>
      <c r="E27" t="s">
        <v>39</v>
      </c>
      <c r="F27" t="s">
        <v>56</v>
      </c>
      <c r="G27" s="36" t="s">
        <v>109</v>
      </c>
      <c r="I27">
        <v>0.97</v>
      </c>
      <c r="J27">
        <v>2.4E-2</v>
      </c>
      <c r="K27">
        <v>5.7999999999999996E-3</v>
      </c>
      <c r="L27">
        <v>1.7</v>
      </c>
      <c r="M27">
        <v>0.28399999999999997</v>
      </c>
      <c r="N27">
        <v>0.10299999999999999</v>
      </c>
    </row>
    <row r="28" spans="1:16">
      <c r="A28" t="s">
        <v>110</v>
      </c>
      <c r="B28" t="s">
        <v>111</v>
      </c>
      <c r="C28" t="s">
        <v>112</v>
      </c>
      <c r="D28" t="s">
        <v>113</v>
      </c>
      <c r="E28" t="s">
        <v>39</v>
      </c>
      <c r="F28" t="s">
        <v>56</v>
      </c>
      <c r="G28" s="36" t="s">
        <v>114</v>
      </c>
      <c r="I28">
        <v>0.24</v>
      </c>
      <c r="J28">
        <v>4.1999999999999997E-3</v>
      </c>
      <c r="K28">
        <v>5.9999999999999995E-4</v>
      </c>
      <c r="L28">
        <v>1.51</v>
      </c>
      <c r="M28">
        <v>6.3E-2</v>
      </c>
      <c r="N28">
        <v>2.4299999999999999E-2</v>
      </c>
    </row>
    <row r="29" spans="1:16">
      <c r="A29" t="s">
        <v>115</v>
      </c>
      <c r="B29" t="s">
        <v>116</v>
      </c>
      <c r="C29" t="s">
        <v>117</v>
      </c>
      <c r="D29" t="s">
        <v>118</v>
      </c>
      <c r="E29" t="s">
        <v>39</v>
      </c>
      <c r="F29" t="s">
        <v>40</v>
      </c>
      <c r="G29" s="36" t="s">
        <v>119</v>
      </c>
      <c r="I29">
        <v>5.23</v>
      </c>
      <c r="J29">
        <v>0.12</v>
      </c>
      <c r="K29">
        <v>0.05</v>
      </c>
      <c r="L29">
        <v>9.6999999999999993</v>
      </c>
      <c r="M29">
        <v>2.2999999999999998</v>
      </c>
      <c r="N29">
        <v>4.91</v>
      </c>
    </row>
    <row r="30" spans="1:16">
      <c r="A30" t="s">
        <v>120</v>
      </c>
      <c r="B30" t="s">
        <v>121</v>
      </c>
      <c r="C30" t="s">
        <v>122</v>
      </c>
      <c r="D30" t="s">
        <v>123</v>
      </c>
      <c r="E30" t="s">
        <v>39</v>
      </c>
      <c r="F30" t="s">
        <v>40</v>
      </c>
      <c r="G30" s="36" t="s">
        <v>124</v>
      </c>
      <c r="I30">
        <v>1.76</v>
      </c>
      <c r="J30">
        <v>1.4E-2</v>
      </c>
      <c r="K30">
        <v>8.3000000000000001E-3</v>
      </c>
      <c r="L30">
        <v>4</v>
      </c>
      <c r="M30">
        <v>0.87</v>
      </c>
      <c r="N30">
        <v>2.42</v>
      </c>
    </row>
    <row r="31" spans="1:16">
      <c r="A31" t="s">
        <v>125</v>
      </c>
      <c r="B31" t="s">
        <v>126</v>
      </c>
      <c r="C31" t="s">
        <v>127</v>
      </c>
      <c r="D31" t="s">
        <v>128</v>
      </c>
      <c r="E31" t="s">
        <v>39</v>
      </c>
      <c r="F31" t="s">
        <v>40</v>
      </c>
      <c r="G31" s="36" t="s">
        <v>129</v>
      </c>
      <c r="I31">
        <v>0.71</v>
      </c>
      <c r="J31">
        <v>1.84</v>
      </c>
      <c r="K31">
        <v>1.0999999999999999E-2</v>
      </c>
      <c r="L31">
        <v>2.85</v>
      </c>
      <c r="M31">
        <v>0.34</v>
      </c>
      <c r="N31">
        <v>0.08</v>
      </c>
    </row>
    <row r="32" spans="1:16">
      <c r="A32" t="s">
        <v>130</v>
      </c>
      <c r="B32" t="s">
        <v>131</v>
      </c>
      <c r="C32" t="s">
        <v>132</v>
      </c>
      <c r="D32" t="s">
        <v>133</v>
      </c>
      <c r="E32" t="s">
        <v>39</v>
      </c>
      <c r="F32" t="s">
        <v>40</v>
      </c>
      <c r="G32" s="36" t="s">
        <v>730</v>
      </c>
      <c r="I32">
        <v>0.84899999999999998</v>
      </c>
      <c r="J32">
        <v>9.4800000000000006E-3</v>
      </c>
      <c r="K32">
        <v>1.4E-3</v>
      </c>
      <c r="L32">
        <v>1.7270000000000001</v>
      </c>
      <c r="M32">
        <v>0.13</v>
      </c>
      <c r="N32">
        <v>0.06</v>
      </c>
      <c r="O32">
        <v>1.534</v>
      </c>
    </row>
    <row r="33" spans="1:15">
      <c r="A33" t="s">
        <v>134</v>
      </c>
      <c r="B33" t="s">
        <v>135</v>
      </c>
      <c r="C33" t="s">
        <v>136</v>
      </c>
      <c r="D33" t="s">
        <v>137</v>
      </c>
      <c r="E33" t="s">
        <v>39</v>
      </c>
      <c r="F33" t="s">
        <v>40</v>
      </c>
      <c r="G33" s="36" t="s">
        <v>138</v>
      </c>
      <c r="I33">
        <v>2.7</v>
      </c>
      <c r="J33">
        <v>-3.5999999999999997E-2</v>
      </c>
      <c r="K33">
        <v>8.5000000000000006E-2</v>
      </c>
      <c r="L33">
        <v>22.6</v>
      </c>
      <c r="M33">
        <v>1.36</v>
      </c>
      <c r="N33">
        <v>20.3</v>
      </c>
    </row>
    <row r="34" spans="1:15">
      <c r="A34" t="s">
        <v>139</v>
      </c>
      <c r="B34" t="s">
        <v>140</v>
      </c>
      <c r="C34" t="s">
        <v>141</v>
      </c>
      <c r="D34" t="s">
        <v>142</v>
      </c>
      <c r="E34" t="s">
        <v>39</v>
      </c>
      <c r="F34" t="s">
        <v>40</v>
      </c>
      <c r="G34" s="36" t="s">
        <v>732</v>
      </c>
      <c r="I34">
        <v>1.18E-2</v>
      </c>
      <c r="J34">
        <v>4.0000000000000001E-3</v>
      </c>
      <c r="K34">
        <v>1.1000000000000001E-3</v>
      </c>
      <c r="L34">
        <v>1.03</v>
      </c>
      <c r="M34">
        <v>4.5999999999999999E-3</v>
      </c>
      <c r="N34">
        <v>1.9E-3</v>
      </c>
      <c r="O34">
        <v>1.022</v>
      </c>
    </row>
    <row r="35" spans="1:15">
      <c r="A35" t="s">
        <v>143</v>
      </c>
      <c r="B35" t="s">
        <v>144</v>
      </c>
      <c r="C35" t="s">
        <v>145</v>
      </c>
      <c r="D35" t="s">
        <v>146</v>
      </c>
      <c r="E35" t="s">
        <v>39</v>
      </c>
      <c r="F35" t="s">
        <v>40</v>
      </c>
      <c r="G35" s="36" t="s">
        <v>147</v>
      </c>
      <c r="I35">
        <v>4.74</v>
      </c>
      <c r="J35">
        <v>2.4E-2</v>
      </c>
      <c r="K35">
        <v>7.2999999999999995E-2</v>
      </c>
      <c r="L35">
        <v>2.72</v>
      </c>
      <c r="M35">
        <v>2.41</v>
      </c>
      <c r="N35">
        <v>0.04</v>
      </c>
    </row>
    <row r="36" spans="1:15">
      <c r="G36" s="36"/>
    </row>
    <row r="37" spans="1:15">
      <c r="B37" s="1" t="s">
        <v>148</v>
      </c>
      <c r="G37" s="36"/>
    </row>
    <row r="38" spans="1:15">
      <c r="C38" t="s">
        <v>149</v>
      </c>
      <c r="D38" t="s">
        <v>150</v>
      </c>
      <c r="E38" t="s">
        <v>39</v>
      </c>
      <c r="F38" t="s">
        <v>40</v>
      </c>
      <c r="G38" s="36" t="s">
        <v>151</v>
      </c>
      <c r="H38" t="s">
        <v>152</v>
      </c>
      <c r="I38">
        <v>7</v>
      </c>
      <c r="J38">
        <v>9.2999999999999999E-2</v>
      </c>
      <c r="K38">
        <v>6.8000000000000005E-2</v>
      </c>
      <c r="L38">
        <v>12.56</v>
      </c>
      <c r="M38">
        <v>3.13</v>
      </c>
      <c r="N38">
        <v>6.77</v>
      </c>
    </row>
    <row r="39" spans="1:15">
      <c r="C39" t="s">
        <v>153</v>
      </c>
      <c r="D39" t="s">
        <v>154</v>
      </c>
      <c r="E39" t="s">
        <v>39</v>
      </c>
      <c r="F39" t="s">
        <v>40</v>
      </c>
      <c r="G39" s="36" t="s">
        <v>155</v>
      </c>
      <c r="H39" t="s">
        <v>152</v>
      </c>
      <c r="I39">
        <f t="shared" ref="I39:N39" si="0">2/3*I40+1/3*I41</f>
        <v>10.7</v>
      </c>
      <c r="J39">
        <f t="shared" si="0"/>
        <v>0.11866666666666666</v>
      </c>
      <c r="K39">
        <f t="shared" si="0"/>
        <v>0.38266666666666665</v>
      </c>
      <c r="L39">
        <f t="shared" si="0"/>
        <v>38.346666666666664</v>
      </c>
      <c r="M39">
        <f t="shared" si="0"/>
        <v>4.76</v>
      </c>
      <c r="N39">
        <f t="shared" si="0"/>
        <v>26.206666666666663</v>
      </c>
    </row>
    <row r="40" spans="1:15">
      <c r="D40" s="37" t="s">
        <v>156</v>
      </c>
      <c r="E40" s="37" t="s">
        <v>39</v>
      </c>
      <c r="F40" s="37" t="s">
        <v>40</v>
      </c>
      <c r="G40" s="38" t="s">
        <v>157</v>
      </c>
      <c r="H40" s="37"/>
      <c r="I40" s="37">
        <v>7.65</v>
      </c>
      <c r="J40" s="37">
        <v>8.8999999999999996E-2</v>
      </c>
      <c r="K40" s="37">
        <v>7.3999999999999996E-2</v>
      </c>
      <c r="L40" s="37">
        <v>17.62</v>
      </c>
      <c r="M40" s="37">
        <v>3.36</v>
      </c>
      <c r="N40" s="37">
        <v>9.61</v>
      </c>
    </row>
    <row r="41" spans="1:15">
      <c r="D41" s="37" t="s">
        <v>158</v>
      </c>
      <c r="E41" s="37" t="s">
        <v>39</v>
      </c>
      <c r="F41" s="37" t="s">
        <v>40</v>
      </c>
      <c r="G41" s="38" t="s">
        <v>159</v>
      </c>
      <c r="H41" s="37"/>
      <c r="I41" s="37">
        <v>16.8</v>
      </c>
      <c r="J41" s="37">
        <v>0.17799999999999999</v>
      </c>
      <c r="K41" s="37">
        <v>1</v>
      </c>
      <c r="L41" s="37">
        <v>79.8</v>
      </c>
      <c r="M41" s="37">
        <v>7.56</v>
      </c>
      <c r="N41" s="37">
        <v>59.4</v>
      </c>
    </row>
    <row r="43" spans="1:15">
      <c r="C43" t="s">
        <v>160</v>
      </c>
    </row>
    <row r="44" spans="1:15">
      <c r="G44" s="36"/>
    </row>
    <row r="45" spans="1:15">
      <c r="B45" s="1"/>
      <c r="G45" s="36"/>
    </row>
    <row r="46" spans="1:15">
      <c r="G46" s="36"/>
    </row>
    <row r="47" spans="1:15">
      <c r="G47" s="36"/>
    </row>
    <row r="48" spans="1:15">
      <c r="G48" s="36"/>
    </row>
    <row r="49" spans="7:7">
      <c r="G49" s="36"/>
    </row>
    <row r="50" spans="7:7">
      <c r="G50" s="36"/>
    </row>
    <row r="51" spans="7:7">
      <c r="G51" s="36"/>
    </row>
    <row r="52" spans="7:7">
      <c r="G52" s="36"/>
    </row>
    <row r="53" spans="7:7">
      <c r="G53" s="36"/>
    </row>
    <row r="54" spans="7:7">
      <c r="G54" s="36"/>
    </row>
    <row r="55" spans="7:7">
      <c r="G55" s="36"/>
    </row>
    <row r="56" spans="7:7">
      <c r="G56" s="36"/>
    </row>
    <row r="57" spans="7:7">
      <c r="G57" s="36"/>
    </row>
    <row r="58" spans="7:7">
      <c r="G58" s="36"/>
    </row>
    <row r="59" spans="7:7">
      <c r="G59" s="36"/>
    </row>
    <row r="60" spans="7:7">
      <c r="G60" s="36"/>
    </row>
    <row r="61" spans="7:7">
      <c r="G61" s="36"/>
    </row>
    <row r="62" spans="7:7">
      <c r="G62" s="36"/>
    </row>
    <row r="63" spans="7:7">
      <c r="G63" s="36"/>
    </row>
    <row r="64" spans="7:7">
      <c r="G64" s="36"/>
    </row>
    <row r="65" spans="7:7">
      <c r="G65" s="36"/>
    </row>
    <row r="66" spans="7:7">
      <c r="G66" s="36"/>
    </row>
    <row r="67" spans="7:7">
      <c r="G67" s="36"/>
    </row>
    <row r="68" spans="7:7">
      <c r="G68" s="36"/>
    </row>
    <row r="69" spans="7:7">
      <c r="G69" s="36"/>
    </row>
    <row r="70" spans="7:7">
      <c r="G70" s="36"/>
    </row>
    <row r="71" spans="7:7">
      <c r="G71" s="36"/>
    </row>
    <row r="72" spans="7:7">
      <c r="G72" s="36"/>
    </row>
    <row r="73" spans="7:7">
      <c r="G73" s="36"/>
    </row>
    <row r="74" spans="7:7">
      <c r="G74" s="36"/>
    </row>
    <row r="75" spans="7:7">
      <c r="G75" s="36"/>
    </row>
    <row r="76" spans="7:7">
      <c r="G76" s="36"/>
    </row>
    <row r="77" spans="7:7">
      <c r="G77" s="36"/>
    </row>
    <row r="78" spans="7:7">
      <c r="G78" s="36"/>
    </row>
    <row r="79" spans="7:7">
      <c r="G79" s="36"/>
    </row>
    <row r="80" spans="7:7">
      <c r="G80" s="36"/>
    </row>
    <row r="81" spans="7:7">
      <c r="G81" s="36"/>
    </row>
    <row r="82" spans="7:7">
      <c r="G82" s="36"/>
    </row>
    <row r="83" spans="7:7">
      <c r="G83" s="36"/>
    </row>
    <row r="84" spans="7:7">
      <c r="G84" s="36"/>
    </row>
    <row r="85" spans="7:7">
      <c r="G85" s="36"/>
    </row>
    <row r="86" spans="7:7">
      <c r="G86" s="36"/>
    </row>
    <row r="87" spans="7:7">
      <c r="G87" s="36"/>
    </row>
    <row r="88" spans="7:7">
      <c r="G88" s="36"/>
    </row>
    <row r="89" spans="7:7">
      <c r="G89" s="36"/>
    </row>
    <row r="90" spans="7:7">
      <c r="G90" s="36"/>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E9:S63"/>
  <sheetViews>
    <sheetView tabSelected="1" topLeftCell="A10" workbookViewId="0">
      <selection activeCell="K43" sqref="K43"/>
    </sheetView>
  </sheetViews>
  <sheetFormatPr defaultColWidth="11.5546875" defaultRowHeight="14.4"/>
  <cols>
    <col min="8" max="8" width="11.5546875" style="18"/>
  </cols>
  <sheetData>
    <row r="9" spans="5:16" ht="15" thickBot="1"/>
    <row r="10" spans="5:16" ht="101.4" thickBot="1">
      <c r="E10" s="48" t="s">
        <v>161</v>
      </c>
      <c r="F10" s="49" t="s">
        <v>8</v>
      </c>
      <c r="G10" s="49" t="s">
        <v>9</v>
      </c>
      <c r="H10" s="50" t="s">
        <v>10</v>
      </c>
      <c r="I10" s="49" t="s">
        <v>11</v>
      </c>
      <c r="J10" s="49" t="s">
        <v>12</v>
      </c>
      <c r="K10" s="49" t="s">
        <v>13</v>
      </c>
      <c r="L10" s="49" t="s">
        <v>14</v>
      </c>
      <c r="M10" s="49" t="s">
        <v>15</v>
      </c>
      <c r="N10" s="51" t="s">
        <v>16</v>
      </c>
      <c r="O10" s="51" t="s">
        <v>17</v>
      </c>
      <c r="P10" s="52" t="s">
        <v>18</v>
      </c>
    </row>
    <row r="11" spans="5:16" ht="15" thickBot="1">
      <c r="E11" s="60" t="s">
        <v>162</v>
      </c>
      <c r="F11" s="61"/>
      <c r="G11" s="61"/>
      <c r="H11" s="61"/>
      <c r="I11" s="61"/>
      <c r="J11" s="61"/>
      <c r="K11" s="61"/>
      <c r="L11" s="61"/>
      <c r="M11" s="61"/>
      <c r="N11" s="61"/>
      <c r="O11" s="61"/>
      <c r="P11" s="62"/>
    </row>
    <row r="12" spans="5:16">
      <c r="E12" s="63" t="s">
        <v>163</v>
      </c>
      <c r="F12" s="64"/>
      <c r="G12" s="64"/>
      <c r="H12" s="65"/>
      <c r="I12" s="64"/>
      <c r="J12" s="64"/>
      <c r="K12" s="64"/>
      <c r="L12" s="64"/>
      <c r="M12" s="64"/>
      <c r="N12" s="64"/>
      <c r="O12" s="64"/>
      <c r="P12" s="66"/>
    </row>
    <row r="13" spans="5:16">
      <c r="E13" s="63"/>
      <c r="F13" s="64" t="s">
        <v>38</v>
      </c>
      <c r="G13" s="64" t="s">
        <v>39</v>
      </c>
      <c r="H13" s="65" t="s">
        <v>40</v>
      </c>
      <c r="I13" s="64" t="s">
        <v>41</v>
      </c>
      <c r="J13" s="64" t="s">
        <v>164</v>
      </c>
      <c r="K13" s="64">
        <v>1.282</v>
      </c>
      <c r="L13" s="64">
        <v>6.7000000000000002E-3</v>
      </c>
      <c r="M13" s="64">
        <v>4.3E-3</v>
      </c>
      <c r="N13" s="64">
        <v>1.6819999999999999</v>
      </c>
      <c r="O13" s="64">
        <v>1.4079999999999999</v>
      </c>
      <c r="P13" s="66">
        <v>6.7599999999999993E-2</v>
      </c>
    </row>
    <row r="14" spans="5:16">
      <c r="E14" s="63"/>
      <c r="F14" s="64" t="s">
        <v>165</v>
      </c>
      <c r="G14" s="64"/>
      <c r="H14" s="65">
        <f>3.6*H15</f>
        <v>252</v>
      </c>
      <c r="I14" s="64" t="s">
        <v>166</v>
      </c>
      <c r="J14" s="64"/>
      <c r="K14" s="64"/>
      <c r="L14" s="64"/>
      <c r="M14" s="64"/>
      <c r="N14" s="64"/>
      <c r="O14" s="64"/>
      <c r="P14" s="66"/>
    </row>
    <row r="15" spans="5:16">
      <c r="E15" s="63"/>
      <c r="F15" s="64" t="s">
        <v>167</v>
      </c>
      <c r="G15" s="64"/>
      <c r="H15" s="65">
        <f>0.07*1000</f>
        <v>70</v>
      </c>
      <c r="I15" s="64" t="s">
        <v>168</v>
      </c>
      <c r="J15" s="64"/>
      <c r="K15" s="64" t="s">
        <v>169</v>
      </c>
      <c r="L15" s="64"/>
      <c r="M15" s="64"/>
      <c r="N15" s="64"/>
      <c r="O15" s="64"/>
      <c r="P15" s="66"/>
    </row>
    <row r="16" spans="5:16">
      <c r="E16" s="63"/>
      <c r="F16" s="64" t="s">
        <v>170</v>
      </c>
      <c r="G16" s="64" t="s">
        <v>171</v>
      </c>
      <c r="H16" s="65">
        <v>50</v>
      </c>
      <c r="I16" s="64" t="s">
        <v>172</v>
      </c>
      <c r="J16" s="64"/>
      <c r="K16" s="67" t="s">
        <v>173</v>
      </c>
      <c r="L16" s="64"/>
      <c r="M16" s="64"/>
      <c r="N16" s="64"/>
      <c r="O16" s="64"/>
      <c r="P16" s="66"/>
    </row>
    <row r="17" spans="5:19">
      <c r="E17" s="63" t="s">
        <v>174</v>
      </c>
      <c r="F17" s="64"/>
      <c r="G17" s="64"/>
      <c r="H17" s="65"/>
      <c r="I17" s="64"/>
      <c r="J17" s="64"/>
      <c r="K17" s="64"/>
      <c r="L17" s="64"/>
      <c r="M17" s="64"/>
      <c r="N17" s="64"/>
      <c r="O17" s="64"/>
      <c r="P17" s="66"/>
    </row>
    <row r="18" spans="5:19">
      <c r="E18" s="63"/>
      <c r="F18" s="64" t="s">
        <v>175</v>
      </c>
      <c r="G18" s="64"/>
      <c r="H18" s="65">
        <v>21500</v>
      </c>
      <c r="I18" s="64" t="s">
        <v>176</v>
      </c>
      <c r="J18" s="64"/>
      <c r="K18" s="67" t="s">
        <v>177</v>
      </c>
      <c r="L18" s="64"/>
      <c r="M18" s="64"/>
      <c r="N18" s="64"/>
      <c r="O18" s="64"/>
      <c r="P18" s="66"/>
    </row>
    <row r="19" spans="5:19">
      <c r="E19" s="63"/>
      <c r="F19" s="64" t="s">
        <v>178</v>
      </c>
      <c r="G19" s="64"/>
      <c r="H19" s="65">
        <v>12.25</v>
      </c>
      <c r="I19" s="64" t="s">
        <v>179</v>
      </c>
      <c r="J19" s="64"/>
      <c r="K19" s="67" t="s">
        <v>180</v>
      </c>
      <c r="L19" s="64"/>
      <c r="M19" s="64"/>
      <c r="N19" s="64"/>
      <c r="O19" s="64"/>
      <c r="P19" s="66"/>
    </row>
    <row r="20" spans="5:19">
      <c r="E20" s="63"/>
      <c r="F20" s="64" t="s">
        <v>165</v>
      </c>
      <c r="G20" s="64"/>
      <c r="H20" s="65">
        <f>H19/H18*1000000</f>
        <v>569.76744186046506</v>
      </c>
      <c r="I20" s="64" t="s">
        <v>166</v>
      </c>
      <c r="J20" s="64"/>
      <c r="K20" s="64"/>
      <c r="L20" s="64"/>
      <c r="M20" s="64"/>
      <c r="N20" s="64"/>
      <c r="O20" s="64"/>
      <c r="P20" s="66"/>
    </row>
    <row r="21" spans="5:19">
      <c r="E21" s="63"/>
      <c r="F21" s="64" t="s">
        <v>167</v>
      </c>
      <c r="G21" s="64"/>
      <c r="H21" s="65">
        <f>H20/3.6</f>
        <v>158.26873385012917</v>
      </c>
      <c r="I21" s="64" t="s">
        <v>168</v>
      </c>
      <c r="J21" s="64"/>
      <c r="K21" s="64"/>
      <c r="L21" s="64"/>
      <c r="M21" s="64"/>
      <c r="N21" s="64"/>
      <c r="O21" s="64"/>
      <c r="P21" s="66"/>
    </row>
    <row r="22" spans="5:19">
      <c r="E22" s="63" t="s">
        <v>181</v>
      </c>
      <c r="F22" s="64"/>
      <c r="G22" s="64"/>
      <c r="H22" s="65"/>
      <c r="I22" s="64"/>
      <c r="J22" s="64"/>
      <c r="K22" s="65"/>
      <c r="L22" s="64"/>
      <c r="M22" s="64"/>
      <c r="N22" s="64"/>
      <c r="O22" s="64"/>
      <c r="P22" s="66"/>
    </row>
    <row r="23" spans="5:19">
      <c r="E23" s="63"/>
      <c r="F23" s="64" t="s">
        <v>182</v>
      </c>
      <c r="G23" s="64" t="s">
        <v>39</v>
      </c>
      <c r="H23" s="65" t="s">
        <v>40</v>
      </c>
      <c r="I23" s="64"/>
      <c r="J23" s="64"/>
      <c r="K23" s="53">
        <v>0.31878000000000001</v>
      </c>
      <c r="L23" s="54">
        <v>2.4039999999999999E-2</v>
      </c>
      <c r="M23" s="54">
        <v>2.2655000000000002E-3</v>
      </c>
      <c r="N23" s="54">
        <v>0</v>
      </c>
      <c r="O23" s="54">
        <v>0</v>
      </c>
      <c r="P23" s="55">
        <v>0</v>
      </c>
      <c r="Q23" s="8" t="s">
        <v>183</v>
      </c>
      <c r="S23" s="8" t="s">
        <v>184</v>
      </c>
    </row>
    <row r="24" spans="5:19">
      <c r="E24" s="63"/>
      <c r="F24" s="64" t="s">
        <v>165</v>
      </c>
      <c r="G24" s="64"/>
      <c r="H24" s="65">
        <f>3.6*H25</f>
        <v>396</v>
      </c>
      <c r="I24" s="64" t="s">
        <v>166</v>
      </c>
      <c r="J24" s="64"/>
      <c r="K24" s="64"/>
      <c r="L24" s="64"/>
      <c r="M24" s="64"/>
      <c r="N24" s="64"/>
      <c r="O24" s="64"/>
      <c r="P24" s="66"/>
      <c r="Q24" t="s">
        <v>185</v>
      </c>
    </row>
    <row r="25" spans="5:19">
      <c r="E25" s="63"/>
      <c r="F25" s="64" t="s">
        <v>167</v>
      </c>
      <c r="G25" s="64"/>
      <c r="H25" s="65">
        <f>0.11*1000</f>
        <v>110</v>
      </c>
      <c r="I25" s="64" t="s">
        <v>168</v>
      </c>
      <c r="J25" s="64"/>
      <c r="K25" s="64" t="s">
        <v>169</v>
      </c>
      <c r="L25" s="64"/>
      <c r="M25" s="64"/>
      <c r="N25" s="64"/>
      <c r="O25" s="64"/>
      <c r="P25" s="66"/>
    </row>
    <row r="26" spans="5:19">
      <c r="E26" s="63"/>
      <c r="F26" s="64" t="s">
        <v>186</v>
      </c>
      <c r="G26" s="64"/>
      <c r="H26" s="65">
        <v>33.5</v>
      </c>
      <c r="I26" s="64" t="s">
        <v>172</v>
      </c>
      <c r="J26" s="64"/>
      <c r="K26" s="67" t="s">
        <v>173</v>
      </c>
      <c r="L26" s="64"/>
      <c r="M26" s="64"/>
      <c r="N26" s="64"/>
      <c r="O26" s="64"/>
      <c r="P26" s="66"/>
    </row>
    <row r="27" spans="5:19">
      <c r="E27" s="63" t="s">
        <v>187</v>
      </c>
      <c r="F27" s="64"/>
      <c r="G27" s="64"/>
      <c r="H27" s="65"/>
      <c r="I27" s="64"/>
      <c r="J27" s="64"/>
      <c r="K27" s="64"/>
      <c r="L27" s="64"/>
      <c r="M27" s="64"/>
      <c r="N27" s="64"/>
      <c r="O27" s="64"/>
      <c r="P27" s="66"/>
    </row>
    <row r="28" spans="5:19">
      <c r="E28" s="63"/>
      <c r="F28" s="64" t="s">
        <v>188</v>
      </c>
      <c r="G28" s="64" t="s">
        <v>39</v>
      </c>
      <c r="H28" s="65" t="s">
        <v>40</v>
      </c>
      <c r="I28" s="64"/>
      <c r="J28" s="64"/>
      <c r="K28" s="54">
        <v>0.46995999999999999</v>
      </c>
      <c r="L28" s="54">
        <v>6.8723999999999999E-3</v>
      </c>
      <c r="M28" s="54">
        <v>1.5552000000000001E-3</v>
      </c>
      <c r="N28" s="54">
        <v>0</v>
      </c>
      <c r="O28" s="54">
        <v>0</v>
      </c>
      <c r="P28" s="55">
        <v>0</v>
      </c>
      <c r="Q28" t="s">
        <v>189</v>
      </c>
      <c r="S28" t="s">
        <v>190</v>
      </c>
    </row>
    <row r="29" spans="5:19">
      <c r="E29" s="63"/>
      <c r="F29" s="64" t="s">
        <v>165</v>
      </c>
      <c r="G29" s="64"/>
      <c r="H29" s="65">
        <f>H30*3.6</f>
        <v>252</v>
      </c>
      <c r="I29" s="64" t="s">
        <v>166</v>
      </c>
      <c r="J29" s="64"/>
      <c r="K29" s="64"/>
      <c r="L29" s="64"/>
      <c r="M29" s="64"/>
      <c r="N29" s="64"/>
      <c r="O29" s="64"/>
      <c r="P29" s="66"/>
      <c r="Q29" t="s">
        <v>185</v>
      </c>
    </row>
    <row r="30" spans="5:19">
      <c r="E30" s="63"/>
      <c r="F30" s="64" t="s">
        <v>167</v>
      </c>
      <c r="G30" s="64"/>
      <c r="H30" s="65">
        <f>0.07*1000</f>
        <v>70</v>
      </c>
      <c r="I30" s="64" t="s">
        <v>168</v>
      </c>
      <c r="J30" s="64"/>
      <c r="K30" s="64" t="s">
        <v>169</v>
      </c>
      <c r="L30" s="64"/>
      <c r="M30" s="64"/>
      <c r="N30" s="64"/>
      <c r="O30" s="64"/>
      <c r="P30" s="66"/>
    </row>
    <row r="31" spans="5:19">
      <c r="E31" s="63"/>
      <c r="F31" s="64" t="s">
        <v>186</v>
      </c>
      <c r="G31" s="64"/>
      <c r="H31" s="65">
        <v>48.1</v>
      </c>
      <c r="I31" s="64" t="s">
        <v>172</v>
      </c>
      <c r="J31" s="64"/>
      <c r="K31" s="67" t="s">
        <v>173</v>
      </c>
      <c r="L31" s="64"/>
      <c r="M31" s="64"/>
      <c r="N31" s="64"/>
      <c r="O31" s="64"/>
      <c r="P31" s="66"/>
    </row>
    <row r="32" spans="5:19">
      <c r="E32" s="63"/>
      <c r="F32" s="64" t="s">
        <v>191</v>
      </c>
      <c r="G32" s="64"/>
      <c r="H32" s="65">
        <v>40.299999999999997</v>
      </c>
      <c r="I32" s="64" t="s">
        <v>192</v>
      </c>
      <c r="J32" s="64"/>
      <c r="K32" s="67" t="s">
        <v>173</v>
      </c>
      <c r="L32" s="64"/>
      <c r="M32" s="64"/>
      <c r="N32" s="64"/>
      <c r="O32" s="64"/>
      <c r="P32" s="66"/>
    </row>
    <row r="33" spans="5:19">
      <c r="E33" s="63" t="s">
        <v>193</v>
      </c>
      <c r="F33" s="64"/>
      <c r="G33" s="64"/>
      <c r="H33" s="65"/>
      <c r="I33" s="64"/>
      <c r="J33" s="64"/>
      <c r="K33" s="64"/>
      <c r="L33" s="64"/>
      <c r="M33" s="64"/>
      <c r="N33" s="64"/>
      <c r="O33" s="64"/>
      <c r="P33" s="66"/>
    </row>
    <row r="34" spans="5:19">
      <c r="E34" s="63"/>
      <c r="F34" s="64" t="s">
        <v>194</v>
      </c>
      <c r="G34" s="64" t="s">
        <v>39</v>
      </c>
      <c r="H34" s="65" t="s">
        <v>40</v>
      </c>
      <c r="I34" s="64"/>
      <c r="J34" s="64"/>
      <c r="K34" s="64">
        <v>0.629</v>
      </c>
      <c r="L34" s="64">
        <v>5.7000000000000002E-3</v>
      </c>
      <c r="M34" s="64">
        <v>5.9000000000000003E-4</v>
      </c>
      <c r="N34" s="64">
        <v>1.367</v>
      </c>
      <c r="O34" s="64">
        <v>1.2</v>
      </c>
      <c r="P34" s="66">
        <v>9.0999999999999998E-2</v>
      </c>
    </row>
    <row r="35" spans="5:19">
      <c r="E35" s="63"/>
      <c r="F35" s="64" t="s">
        <v>165</v>
      </c>
      <c r="G35" s="64"/>
      <c r="H35" s="65">
        <f>H36*3.6</f>
        <v>252</v>
      </c>
      <c r="I35" s="64" t="s">
        <v>166</v>
      </c>
      <c r="J35" s="64"/>
      <c r="K35" s="64"/>
      <c r="L35" s="64"/>
      <c r="M35" s="64"/>
      <c r="N35" s="64"/>
      <c r="O35" s="64"/>
      <c r="P35" s="66"/>
    </row>
    <row r="36" spans="5:19">
      <c r="E36" s="63"/>
      <c r="F36" s="64" t="s">
        <v>167</v>
      </c>
      <c r="G36" s="64"/>
      <c r="H36" s="65">
        <f>0.07*1000</f>
        <v>70</v>
      </c>
      <c r="I36" s="64" t="s">
        <v>168</v>
      </c>
      <c r="J36" s="64"/>
      <c r="K36" s="64" t="s">
        <v>169</v>
      </c>
      <c r="L36" s="64"/>
      <c r="M36" s="64"/>
      <c r="N36" s="64"/>
      <c r="O36" s="64"/>
      <c r="P36" s="66"/>
    </row>
    <row r="37" spans="5:19">
      <c r="E37" s="63"/>
      <c r="F37" s="64" t="s">
        <v>186</v>
      </c>
      <c r="G37" s="64"/>
      <c r="H37" s="65">
        <v>48.3</v>
      </c>
      <c r="I37" s="64" t="s">
        <v>172</v>
      </c>
      <c r="J37" s="64"/>
      <c r="K37" s="67" t="s">
        <v>173</v>
      </c>
      <c r="L37" s="64"/>
      <c r="M37" s="64"/>
      <c r="N37" s="64"/>
      <c r="O37" s="64"/>
      <c r="P37" s="66"/>
    </row>
    <row r="38" spans="5:19">
      <c r="E38" s="63"/>
      <c r="F38" s="64" t="s">
        <v>191</v>
      </c>
      <c r="G38" s="64"/>
      <c r="H38" s="65">
        <v>34.799999999999997</v>
      </c>
      <c r="I38" s="64" t="s">
        <v>192</v>
      </c>
      <c r="J38" s="64"/>
      <c r="K38" s="67" t="s">
        <v>173</v>
      </c>
      <c r="L38" s="64"/>
      <c r="M38" s="64"/>
      <c r="N38" s="64"/>
      <c r="O38" s="64"/>
      <c r="P38" s="66"/>
    </row>
    <row r="39" spans="5:19">
      <c r="E39" s="63" t="s">
        <v>195</v>
      </c>
      <c r="F39" s="64"/>
      <c r="G39" s="64"/>
      <c r="H39" s="65"/>
      <c r="I39" s="64"/>
      <c r="J39" s="64"/>
      <c r="K39" s="67"/>
      <c r="L39" s="64"/>
      <c r="M39" s="64"/>
      <c r="N39" s="64"/>
      <c r="O39" s="64"/>
      <c r="P39" s="66"/>
    </row>
    <row r="40" spans="5:19">
      <c r="E40" s="63"/>
      <c r="F40" s="64" t="s">
        <v>195</v>
      </c>
      <c r="G40" s="64" t="s">
        <v>39</v>
      </c>
      <c r="H40" s="65" t="s">
        <v>40</v>
      </c>
      <c r="I40" s="64"/>
      <c r="J40" s="64"/>
      <c r="K40" s="54">
        <v>0.35217999999999999</v>
      </c>
      <c r="L40" s="54">
        <v>5.8314999999999999E-3</v>
      </c>
      <c r="M40" s="54">
        <v>1.1795E-3</v>
      </c>
      <c r="N40" s="54">
        <v>0</v>
      </c>
      <c r="O40" s="54">
        <v>0</v>
      </c>
      <c r="P40" s="55">
        <v>0</v>
      </c>
      <c r="Q40" t="s">
        <v>196</v>
      </c>
      <c r="S40" t="s">
        <v>197</v>
      </c>
    </row>
    <row r="41" spans="5:19">
      <c r="E41" s="63"/>
      <c r="F41" s="64" t="s">
        <v>165</v>
      </c>
      <c r="G41" s="64"/>
      <c r="H41" s="65">
        <f>H42*3.6</f>
        <v>252</v>
      </c>
      <c r="I41" s="64" t="s">
        <v>166</v>
      </c>
      <c r="J41" s="64"/>
      <c r="K41" s="64"/>
      <c r="L41" s="64"/>
      <c r="M41" s="64"/>
      <c r="N41" s="64"/>
      <c r="O41" s="64"/>
      <c r="P41" s="66"/>
      <c r="Q41" t="s">
        <v>185</v>
      </c>
    </row>
    <row r="42" spans="5:19">
      <c r="E42" s="63"/>
      <c r="F42" s="64" t="s">
        <v>167</v>
      </c>
      <c r="G42" s="64"/>
      <c r="H42" s="65">
        <f>0.07*1000</f>
        <v>70</v>
      </c>
      <c r="I42" s="64" t="s">
        <v>168</v>
      </c>
      <c r="J42" s="64"/>
      <c r="K42" s="64" t="s">
        <v>169</v>
      </c>
      <c r="L42" s="64"/>
      <c r="M42" s="64"/>
      <c r="N42" s="64"/>
      <c r="O42" s="64"/>
      <c r="P42" s="66"/>
    </row>
    <row r="43" spans="5:19" ht="15" thickBot="1">
      <c r="E43" s="68"/>
      <c r="F43" s="69" t="s">
        <v>186</v>
      </c>
      <c r="G43" s="69"/>
      <c r="H43" s="70">
        <v>44</v>
      </c>
      <c r="I43" s="69" t="s">
        <v>172</v>
      </c>
      <c r="J43" s="69"/>
      <c r="K43" s="101" t="s">
        <v>198</v>
      </c>
      <c r="L43" s="69"/>
      <c r="M43" s="69"/>
      <c r="N43" s="69"/>
      <c r="O43" s="69"/>
      <c r="P43" s="71"/>
    </row>
    <row r="44" spans="5:19">
      <c r="E44" s="8" t="s">
        <v>199</v>
      </c>
      <c r="F44" s="8"/>
      <c r="G44" s="8"/>
      <c r="H44" s="17"/>
      <c r="I44" s="8"/>
      <c r="J44" s="8"/>
      <c r="K44" s="8"/>
      <c r="L44" s="8"/>
      <c r="M44" s="8"/>
      <c r="N44" s="8"/>
      <c r="O44" s="8"/>
      <c r="P44" s="8"/>
    </row>
    <row r="45" spans="5:19">
      <c r="E45" s="8"/>
      <c r="F45" s="8"/>
      <c r="G45" s="8"/>
      <c r="H45" s="17"/>
      <c r="I45" s="8"/>
      <c r="J45" s="8"/>
      <c r="K45" s="8"/>
      <c r="L45" s="8"/>
      <c r="M45" s="8"/>
      <c r="N45" s="8"/>
      <c r="O45" s="8"/>
      <c r="P45" s="8"/>
    </row>
    <row r="46" spans="5:19">
      <c r="E46" s="8" t="s">
        <v>200</v>
      </c>
      <c r="F46" s="8" t="s">
        <v>201</v>
      </c>
      <c r="G46" s="8" t="s">
        <v>39</v>
      </c>
      <c r="H46" s="17" t="s">
        <v>40</v>
      </c>
      <c r="I46" s="8"/>
      <c r="J46" s="8"/>
      <c r="K46" s="8"/>
      <c r="L46" s="8"/>
      <c r="M46" s="8"/>
      <c r="N46" s="8"/>
      <c r="O46" s="8"/>
      <c r="P46" s="8"/>
    </row>
    <row r="47" spans="5:19">
      <c r="E47" s="8"/>
      <c r="F47" s="8" t="s">
        <v>186</v>
      </c>
      <c r="G47" s="8" t="s">
        <v>171</v>
      </c>
      <c r="H47" s="17">
        <v>131</v>
      </c>
      <c r="I47" s="8" t="s">
        <v>172</v>
      </c>
      <c r="J47" s="8"/>
      <c r="K47" s="8" t="s">
        <v>173</v>
      </c>
      <c r="L47" s="8"/>
      <c r="M47" s="8"/>
      <c r="N47" s="8"/>
      <c r="O47" s="8"/>
      <c r="P47" s="8"/>
    </row>
    <row r="48" spans="5:19">
      <c r="E48" s="8"/>
      <c r="F48" s="8"/>
      <c r="G48" s="8"/>
      <c r="H48" s="17"/>
      <c r="I48" s="8"/>
      <c r="J48" s="8"/>
      <c r="K48" s="8"/>
      <c r="L48" s="8"/>
      <c r="M48" s="8"/>
      <c r="N48" s="8"/>
      <c r="O48" s="8"/>
      <c r="P48" s="8"/>
    </row>
    <row r="49" spans="5:16">
      <c r="E49" s="8" t="s">
        <v>202</v>
      </c>
      <c r="F49" s="8" t="s">
        <v>203</v>
      </c>
      <c r="G49" s="8" t="s">
        <v>204</v>
      </c>
      <c r="H49" s="17" t="s">
        <v>40</v>
      </c>
      <c r="I49" s="8"/>
      <c r="J49" s="8"/>
      <c r="K49" s="8"/>
      <c r="L49" s="8"/>
      <c r="M49" s="8"/>
      <c r="N49" s="8"/>
      <c r="O49" s="8"/>
      <c r="P49" s="8"/>
    </row>
    <row r="50" spans="5:16">
      <c r="E50" s="8"/>
      <c r="F50" s="8" t="s">
        <v>165</v>
      </c>
      <c r="G50" s="8"/>
      <c r="H50" s="17">
        <f>H51*3.6</f>
        <v>403.2</v>
      </c>
      <c r="I50" s="8" t="s">
        <v>166</v>
      </c>
      <c r="J50" s="8"/>
      <c r="K50" s="8"/>
      <c r="L50" s="8"/>
      <c r="M50" s="8"/>
      <c r="N50" s="8"/>
      <c r="O50" s="8"/>
      <c r="P50" s="8"/>
    </row>
    <row r="51" spans="5:16">
      <c r="E51" s="8"/>
      <c r="F51" s="8" t="s">
        <v>167</v>
      </c>
      <c r="G51" s="8"/>
      <c r="H51" s="17">
        <f>(112000/1000000)*1000</f>
        <v>112</v>
      </c>
      <c r="I51" s="8" t="s">
        <v>168</v>
      </c>
      <c r="J51" s="8"/>
      <c r="K51" s="8" t="s">
        <v>205</v>
      </c>
      <c r="L51" s="8"/>
      <c r="M51" s="8"/>
      <c r="N51" s="8"/>
      <c r="O51" s="8"/>
      <c r="P51" s="8"/>
    </row>
    <row r="52" spans="5:16">
      <c r="E52" s="8"/>
      <c r="F52" s="8" t="s">
        <v>186</v>
      </c>
      <c r="G52" s="8" t="s">
        <v>171</v>
      </c>
      <c r="H52" s="17">
        <v>18.5</v>
      </c>
      <c r="I52" s="8" t="s">
        <v>172</v>
      </c>
      <c r="J52" s="8"/>
      <c r="K52" s="8" t="s">
        <v>173</v>
      </c>
      <c r="L52" s="8"/>
      <c r="M52" s="8"/>
      <c r="N52" s="8"/>
      <c r="O52" s="8"/>
      <c r="P52" s="8"/>
    </row>
    <row r="53" spans="5:16">
      <c r="E53" s="8"/>
      <c r="F53" s="8"/>
      <c r="G53" s="8"/>
      <c r="H53" s="17"/>
      <c r="I53" s="8"/>
      <c r="J53" s="8"/>
      <c r="K53" s="8"/>
      <c r="L53" s="8"/>
      <c r="M53" s="8"/>
      <c r="N53" s="8"/>
      <c r="O53" s="8"/>
      <c r="P53" s="8"/>
    </row>
    <row r="54" spans="5:16">
      <c r="E54" s="8"/>
      <c r="F54" s="8"/>
      <c r="G54" s="8"/>
      <c r="H54" s="17"/>
      <c r="I54" s="8"/>
      <c r="J54" s="8"/>
      <c r="K54" s="8"/>
      <c r="L54" s="8"/>
      <c r="M54" s="8"/>
      <c r="N54" s="8"/>
      <c r="O54" s="8"/>
      <c r="P54" s="8"/>
    </row>
    <row r="55" spans="5:16">
      <c r="E55" s="8"/>
      <c r="F55" s="8"/>
      <c r="G55" s="8"/>
      <c r="H55" s="17"/>
      <c r="I55" s="8"/>
      <c r="J55" s="8"/>
      <c r="K55" s="8"/>
      <c r="L55" s="8"/>
      <c r="M55" s="8"/>
      <c r="N55" s="8"/>
      <c r="O55" s="8"/>
      <c r="P55" s="8"/>
    </row>
    <row r="56" spans="5:16">
      <c r="E56" s="8"/>
      <c r="F56" s="8"/>
      <c r="G56" s="8"/>
      <c r="H56" s="17"/>
      <c r="I56" s="8"/>
      <c r="J56" s="8"/>
      <c r="K56" s="8"/>
      <c r="L56" s="8"/>
      <c r="M56" s="8"/>
      <c r="N56" s="8"/>
      <c r="O56" s="8"/>
      <c r="P56" s="8"/>
    </row>
    <row r="57" spans="5:16">
      <c r="E57" s="8"/>
      <c r="F57" s="8"/>
      <c r="G57" s="8"/>
      <c r="H57" s="17"/>
      <c r="I57" s="8"/>
      <c r="J57" s="8"/>
      <c r="K57" s="8"/>
      <c r="L57" s="8"/>
      <c r="M57" s="8"/>
      <c r="N57" s="8"/>
      <c r="O57" s="8"/>
      <c r="P57" s="8"/>
    </row>
    <row r="58" spans="5:16">
      <c r="E58" s="8"/>
      <c r="F58" s="8"/>
      <c r="G58" s="8"/>
      <c r="H58" s="17"/>
      <c r="I58" s="8"/>
      <c r="J58" s="8"/>
      <c r="K58" s="8"/>
      <c r="L58" s="8"/>
      <c r="M58" s="8"/>
      <c r="N58" s="8"/>
      <c r="O58" s="8"/>
      <c r="P58" s="8"/>
    </row>
    <row r="62" spans="5:16">
      <c r="E62" t="s">
        <v>615</v>
      </c>
    </row>
    <row r="63" spans="5:16">
      <c r="E63" s="112" t="s">
        <v>515</v>
      </c>
      <c r="F63">
        <v>0.68</v>
      </c>
      <c r="G63" t="s">
        <v>516</v>
      </c>
    </row>
  </sheetData>
  <hyperlinks>
    <hyperlink ref="K16" r:id="rId1" xr:uid="{00000000-0004-0000-0200-000000000000}"/>
    <hyperlink ref="K19" r:id="rId2" xr:uid="{00000000-0004-0000-0200-000001000000}"/>
    <hyperlink ref="K18" r:id="rId3" xr:uid="{00000000-0004-0000-0200-000002000000}"/>
    <hyperlink ref="K26" r:id="rId4" xr:uid="{00000000-0004-0000-0200-000003000000}"/>
    <hyperlink ref="K31" r:id="rId5" xr:uid="{00000000-0004-0000-0200-000004000000}"/>
    <hyperlink ref="K32" r:id="rId6" xr:uid="{00000000-0004-0000-0200-000005000000}"/>
    <hyperlink ref="K37" r:id="rId7" xr:uid="{00000000-0004-0000-0200-000006000000}"/>
    <hyperlink ref="K38" r:id="rId8" xr:uid="{00000000-0004-0000-0200-000007000000}"/>
    <hyperlink ref="K43" r:id="rId9" xr:uid="{11053BCB-003C-4CE5-978A-5EC9F8D71126}"/>
  </hyperlinks>
  <pageMargins left="0.7" right="0.7" top="0.78740157499999996" bottom="0.78740157499999996" header="0.3" footer="0.3"/>
  <pageSetup paperSize="9" orientation="portrait"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AA201"/>
  <sheetViews>
    <sheetView workbookViewId="0"/>
  </sheetViews>
  <sheetFormatPr defaultColWidth="9.109375" defaultRowHeight="14.4"/>
  <cols>
    <col min="5" max="5" width="24.5546875" customWidth="1"/>
    <col min="6" max="6" width="11.109375" customWidth="1"/>
    <col min="8" max="8" width="11.6640625" style="18" customWidth="1"/>
    <col min="9" max="9" width="11.6640625" customWidth="1"/>
    <col min="11" max="11" width="12.6640625" customWidth="1"/>
    <col min="12" max="12" width="13.33203125" customWidth="1"/>
    <col min="13" max="13" width="13.5546875" customWidth="1"/>
    <col min="14" max="14" width="12.88671875" customWidth="1"/>
    <col min="15" max="15" width="15.44140625" customWidth="1"/>
    <col min="16" max="16" width="15.88671875" customWidth="1"/>
    <col min="18" max="18" width="12.6640625" customWidth="1"/>
    <col min="22" max="22" width="10.5546875" customWidth="1"/>
    <col min="26" max="26" width="13.6640625" customWidth="1"/>
  </cols>
  <sheetData>
    <row r="2" spans="2:16">
      <c r="B2" s="7" t="s">
        <v>206</v>
      </c>
      <c r="C2" s="8"/>
      <c r="D2" s="4"/>
      <c r="E2" s="4"/>
      <c r="F2" s="4"/>
      <c r="G2" s="4"/>
      <c r="H2" s="43"/>
      <c r="I2" s="4"/>
      <c r="J2" s="4"/>
      <c r="K2" s="4"/>
      <c r="L2" s="4"/>
    </row>
    <row r="3" spans="2:16">
      <c r="D3" s="4"/>
      <c r="E3" s="4"/>
      <c r="F3" s="4"/>
      <c r="G3" s="4"/>
      <c r="H3" s="43"/>
      <c r="I3" s="4"/>
      <c r="J3" s="4"/>
      <c r="K3" s="4"/>
      <c r="L3" s="4"/>
    </row>
    <row r="5" spans="2:16">
      <c r="B5" s="7" t="s">
        <v>207</v>
      </c>
      <c r="C5" s="8"/>
    </row>
    <row r="7" spans="2:16">
      <c r="B7" s="7" t="s">
        <v>208</v>
      </c>
      <c r="C7" s="8"/>
    </row>
    <row r="9" spans="2:16" ht="15" thickBot="1"/>
    <row r="10" spans="2:16"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6" ht="15" thickBot="1">
      <c r="E11" s="72" t="s">
        <v>209</v>
      </c>
      <c r="F11" s="73" t="s">
        <v>137</v>
      </c>
      <c r="G11" s="73" t="s">
        <v>39</v>
      </c>
      <c r="H11" s="73" t="s">
        <v>40</v>
      </c>
      <c r="I11" s="74" t="s">
        <v>138</v>
      </c>
      <c r="J11" s="73"/>
      <c r="K11" s="73">
        <v>2.7</v>
      </c>
      <c r="L11" s="73">
        <v>-3.5999999999999997E-2</v>
      </c>
      <c r="M11" s="73">
        <v>8.5000000000000006E-2</v>
      </c>
      <c r="N11" s="73">
        <v>22.6</v>
      </c>
      <c r="O11" s="73">
        <v>1.36</v>
      </c>
      <c r="P11" s="75">
        <v>20.3</v>
      </c>
    </row>
    <row r="12" spans="2:16">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6">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16">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16">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16">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row>
    <row r="47" spans="2:16">
      <c r="E47" s="7"/>
      <c r="H47" s="44" t="s">
        <v>724</v>
      </c>
      <c r="I47" s="44" t="s">
        <v>725</v>
      </c>
      <c r="J47" s="44" t="s">
        <v>726</v>
      </c>
      <c r="K47" s="44" t="s">
        <v>727</v>
      </c>
      <c r="L47" s="44" t="s">
        <v>728</v>
      </c>
      <c r="M47" s="44" t="s">
        <v>729</v>
      </c>
    </row>
    <row r="48" spans="2:16">
      <c r="E48" s="7" t="s">
        <v>212</v>
      </c>
      <c r="H48" s="44" t="s">
        <v>213</v>
      </c>
      <c r="I48" s="44" t="s">
        <v>213</v>
      </c>
      <c r="J48" s="44" t="s">
        <v>213</v>
      </c>
      <c r="K48" s="44" t="s">
        <v>213</v>
      </c>
      <c r="L48" s="44" t="s">
        <v>213</v>
      </c>
      <c r="M48" s="44" t="s">
        <v>213</v>
      </c>
    </row>
    <row r="49" spans="2:13">
      <c r="E49" s="7">
        <v>2010</v>
      </c>
      <c r="H49" s="44"/>
      <c r="I49" s="44"/>
      <c r="J49" s="44"/>
      <c r="K49" s="44"/>
      <c r="L49" s="44"/>
      <c r="M49" s="44"/>
    </row>
    <row r="50" spans="2:13">
      <c r="E50" s="7">
        <v>2020</v>
      </c>
      <c r="H50" s="44"/>
      <c r="I50" s="44"/>
      <c r="J50" s="44"/>
      <c r="K50" s="44"/>
      <c r="L50" s="44"/>
      <c r="M50" s="44"/>
    </row>
    <row r="51" spans="2:13">
      <c r="E51" s="7">
        <v>2030</v>
      </c>
      <c r="H51" s="44"/>
      <c r="I51" s="44"/>
      <c r="J51" s="44"/>
      <c r="K51" s="44"/>
      <c r="L51" s="44"/>
      <c r="M51" s="44"/>
    </row>
    <row r="52" spans="2:13">
      <c r="E52" s="7">
        <v>2040</v>
      </c>
      <c r="H52" s="44"/>
      <c r="I52" s="44"/>
      <c r="J52" s="44"/>
      <c r="K52" s="44"/>
      <c r="L52" s="44"/>
      <c r="M52" s="44"/>
    </row>
    <row r="53" spans="2:13">
      <c r="E53" s="7">
        <v>2050</v>
      </c>
      <c r="H53" s="44"/>
      <c r="I53" s="44"/>
      <c r="J53" s="44"/>
      <c r="K53" s="44"/>
      <c r="L53" s="44"/>
      <c r="M53" s="44"/>
    </row>
    <row r="55" spans="2:13">
      <c r="B55" s="9" t="s">
        <v>214</v>
      </c>
      <c r="C55" s="10"/>
    </row>
    <row r="57" spans="2:13">
      <c r="E57" s="7"/>
      <c r="H57" s="45" t="s">
        <v>215</v>
      </c>
      <c r="J57" s="1" t="s">
        <v>14</v>
      </c>
    </row>
    <row r="58" spans="2:13">
      <c r="E58" s="7" t="s">
        <v>212</v>
      </c>
      <c r="H58" s="45" t="s">
        <v>216</v>
      </c>
    </row>
    <row r="59" spans="2:13">
      <c r="E59" s="7">
        <v>2010</v>
      </c>
      <c r="H59" s="45"/>
    </row>
    <row r="60" spans="2:13">
      <c r="E60" s="7">
        <v>2020</v>
      </c>
      <c r="H60" s="45"/>
    </row>
    <row r="61" spans="2:13">
      <c r="E61" s="7">
        <v>2030</v>
      </c>
      <c r="H61" s="45"/>
    </row>
    <row r="62" spans="2:13">
      <c r="E62" s="7">
        <v>2040</v>
      </c>
      <c r="H62" s="45"/>
    </row>
    <row r="63" spans="2:13">
      <c r="E63" s="7">
        <v>2050</v>
      </c>
      <c r="H63" s="45"/>
    </row>
    <row r="65" spans="2:17">
      <c r="B65" s="2" t="s">
        <v>217</v>
      </c>
      <c r="C65" s="4"/>
    </row>
    <row r="67" spans="2:17">
      <c r="E67" s="7"/>
      <c r="H67" s="46" t="s">
        <v>218</v>
      </c>
      <c r="J67" s="1" t="s">
        <v>15</v>
      </c>
    </row>
    <row r="68" spans="2:17">
      <c r="E68" s="7" t="s">
        <v>212</v>
      </c>
      <c r="H68" s="46" t="s">
        <v>219</v>
      </c>
    </row>
    <row r="69" spans="2:17">
      <c r="E69" s="7">
        <v>2010</v>
      </c>
      <c r="H69" s="46"/>
    </row>
    <row r="70" spans="2:17">
      <c r="E70" s="7">
        <v>2020</v>
      </c>
      <c r="H70" s="46"/>
    </row>
    <row r="71" spans="2:17">
      <c r="E71" s="7">
        <v>2030</v>
      </c>
      <c r="H71" s="46"/>
    </row>
    <row r="72" spans="2:17">
      <c r="E72" s="7">
        <v>2040</v>
      </c>
      <c r="H72" s="46"/>
    </row>
    <row r="73" spans="2:17">
      <c r="E73" s="7">
        <v>2050</v>
      </c>
      <c r="H73" s="46"/>
    </row>
    <row r="75" spans="2:17">
      <c r="B75" s="3" t="s">
        <v>629</v>
      </c>
      <c r="C75" s="12"/>
    </row>
    <row r="76" spans="2:17">
      <c r="B76" s="3"/>
      <c r="C76" s="12"/>
    </row>
    <row r="77" spans="2:17">
      <c r="H77" s="23" t="s">
        <v>220</v>
      </c>
      <c r="J77" s="3" t="s">
        <v>221</v>
      </c>
      <c r="L77" t="s">
        <v>224</v>
      </c>
    </row>
    <row r="78" spans="2:17" ht="28.8">
      <c r="E78" s="7"/>
      <c r="H78" s="47" t="s">
        <v>222</v>
      </c>
      <c r="J78" s="21" t="s">
        <v>222</v>
      </c>
      <c r="M78" s="3" t="s">
        <v>223</v>
      </c>
    </row>
    <row r="79" spans="2:17" ht="28.8">
      <c r="E79" s="7" t="s">
        <v>212</v>
      </c>
      <c r="H79" s="23" t="s">
        <v>223</v>
      </c>
      <c r="J79" s="21" t="s">
        <v>223</v>
      </c>
      <c r="Q79" s="27"/>
    </row>
    <row r="80" spans="2:17">
      <c r="E80" s="7">
        <v>2010</v>
      </c>
      <c r="H80" s="23"/>
      <c r="J80" s="3"/>
    </row>
    <row r="81" spans="2:27">
      <c r="E81" s="7">
        <v>2020</v>
      </c>
      <c r="H81" s="23"/>
      <c r="J81" s="3"/>
    </row>
    <row r="82" spans="2:27">
      <c r="E82" s="7">
        <v>2030</v>
      </c>
      <c r="H82" s="23"/>
      <c r="J82" s="3"/>
    </row>
    <row r="83" spans="2:27">
      <c r="E83" s="7">
        <v>2040</v>
      </c>
      <c r="H83" s="23"/>
      <c r="J83" s="3"/>
    </row>
    <row r="84" spans="2:27">
      <c r="E84" s="7">
        <v>2050</v>
      </c>
      <c r="H84" s="23"/>
      <c r="J84" s="3"/>
    </row>
    <row r="86" spans="2:27">
      <c r="B86" s="11" t="s">
        <v>225</v>
      </c>
      <c r="C86" s="13"/>
    </row>
    <row r="87" spans="2:27">
      <c r="O87" s="80" t="s">
        <v>227</v>
      </c>
      <c r="P87" s="76"/>
      <c r="Q87" s="76"/>
      <c r="R87" s="76"/>
      <c r="S87" s="76"/>
      <c r="T87" s="76"/>
      <c r="U87" s="76" t="s">
        <v>228</v>
      </c>
      <c r="V87" s="76"/>
      <c r="W87" s="76"/>
      <c r="X87" s="76"/>
      <c r="Y87" s="76"/>
      <c r="Z87" s="76"/>
      <c r="AA87" s="76"/>
    </row>
    <row r="88" spans="2:27" s="76" customFormat="1" ht="20.399999999999999" customHeight="1">
      <c r="E88" s="77"/>
      <c r="H88" s="78" t="s">
        <v>174</v>
      </c>
      <c r="I88" s="79" t="s">
        <v>163</v>
      </c>
      <c r="J88" s="79" t="s">
        <v>229</v>
      </c>
      <c r="K88" s="79" t="s">
        <v>230</v>
      </c>
      <c r="L88" s="79" t="s">
        <v>181</v>
      </c>
      <c r="M88" s="79" t="s">
        <v>231</v>
      </c>
      <c r="N88" s="76" t="s">
        <v>199</v>
      </c>
      <c r="O88" s="82" t="s">
        <v>232</v>
      </c>
      <c r="P88" s="82" t="s">
        <v>163</v>
      </c>
      <c r="Q88" s="82" t="s">
        <v>229</v>
      </c>
      <c r="R88" s="82" t="s">
        <v>230</v>
      </c>
      <c r="S88" s="79" t="s">
        <v>231</v>
      </c>
      <c r="U88" s="82" t="s">
        <v>174</v>
      </c>
      <c r="V88" s="82" t="s">
        <v>163</v>
      </c>
      <c r="W88" s="82" t="s">
        <v>229</v>
      </c>
      <c r="X88" s="82" t="s">
        <v>230</v>
      </c>
      <c r="Y88" s="82" t="s">
        <v>195</v>
      </c>
      <c r="Z88" s="82" t="s">
        <v>181</v>
      </c>
    </row>
    <row r="89" spans="2:27" s="76" customFormat="1">
      <c r="E89" s="77" t="s">
        <v>212</v>
      </c>
      <c r="H89" s="81" t="s">
        <v>171</v>
      </c>
      <c r="I89" s="82" t="s">
        <v>171</v>
      </c>
      <c r="J89" s="82" t="s">
        <v>171</v>
      </c>
      <c r="K89" s="82" t="s">
        <v>171</v>
      </c>
      <c r="L89" s="82" t="s">
        <v>171</v>
      </c>
      <c r="M89" s="82" t="s">
        <v>171</v>
      </c>
      <c r="O89" s="82" t="s">
        <v>171</v>
      </c>
      <c r="P89" s="82" t="s">
        <v>171</v>
      </c>
      <c r="Q89" s="82" t="s">
        <v>171</v>
      </c>
      <c r="R89" s="82" t="s">
        <v>171</v>
      </c>
      <c r="S89" s="82" t="s">
        <v>171</v>
      </c>
      <c r="U89" s="82" t="s">
        <v>171</v>
      </c>
      <c r="V89" s="82" t="s">
        <v>171</v>
      </c>
      <c r="W89" s="82" t="s">
        <v>171</v>
      </c>
      <c r="X89" s="82" t="s">
        <v>171</v>
      </c>
      <c r="Y89" s="82" t="s">
        <v>172</v>
      </c>
      <c r="Z89" s="82" t="s">
        <v>233</v>
      </c>
    </row>
    <row r="90" spans="2:27" s="76" customFormat="1">
      <c r="E90" s="77">
        <v>2010</v>
      </c>
      <c r="H90" s="83"/>
      <c r="I90" s="83"/>
      <c r="J90" s="84"/>
      <c r="K90" s="84"/>
      <c r="L90" s="84"/>
      <c r="M90" s="84"/>
      <c r="O90" s="85"/>
    </row>
    <row r="91" spans="2:27" s="76" customFormat="1">
      <c r="E91" s="77">
        <v>2020</v>
      </c>
      <c r="H91" s="83">
        <v>0</v>
      </c>
      <c r="I91" s="83">
        <v>0</v>
      </c>
      <c r="J91" s="84">
        <v>0</v>
      </c>
      <c r="K91" s="84"/>
      <c r="L91" s="84"/>
      <c r="M91" s="84"/>
    </row>
    <row r="92" spans="2:27" s="76" customFormat="1">
      <c r="E92" s="77">
        <v>2030</v>
      </c>
      <c r="H92" s="83">
        <v>0</v>
      </c>
      <c r="I92" s="83">
        <v>0</v>
      </c>
      <c r="J92" s="84">
        <v>0</v>
      </c>
      <c r="K92" s="84"/>
      <c r="L92" s="84"/>
      <c r="M92" s="84"/>
      <c r="O92" s="105"/>
    </row>
    <row r="93" spans="2:27" s="76" customFormat="1">
      <c r="E93" s="77">
        <v>2040</v>
      </c>
      <c r="H93" s="83">
        <v>0</v>
      </c>
      <c r="I93" s="83">
        <v>0</v>
      </c>
      <c r="J93" s="84">
        <v>0</v>
      </c>
      <c r="K93" s="84"/>
      <c r="L93" s="84"/>
      <c r="M93" s="84"/>
    </row>
    <row r="94" spans="2:27" s="76" customFormat="1">
      <c r="E94" s="77">
        <v>2050</v>
      </c>
      <c r="H94" s="83">
        <v>0</v>
      </c>
      <c r="I94" s="83">
        <v>0</v>
      </c>
      <c r="J94" s="84">
        <v>0</v>
      </c>
      <c r="K94" s="84"/>
      <c r="L94" s="84"/>
      <c r="M94" s="84"/>
    </row>
    <row r="95" spans="2:27" s="76" customFormat="1">
      <c r="H95" s="85"/>
    </row>
    <row r="96" spans="2:27" s="76" customFormat="1">
      <c r="H96" s="85"/>
    </row>
    <row r="97" spans="2:18" s="76" customFormat="1">
      <c r="H97" s="85"/>
    </row>
    <row r="98" spans="2:18" s="76" customFormat="1" ht="15">
      <c r="H98" s="85"/>
      <c r="N98" s="86"/>
    </row>
    <row r="99" spans="2:18" s="76" customFormat="1">
      <c r="H99" s="85"/>
    </row>
    <row r="100" spans="2:18" s="76" customFormat="1">
      <c r="H100" s="85"/>
      <c r="N100" s="87"/>
    </row>
    <row r="101" spans="2:18" s="76" customFormat="1">
      <c r="H101" s="85"/>
    </row>
    <row r="102" spans="2:18" s="76" customFormat="1">
      <c r="H102" s="85"/>
    </row>
    <row r="103" spans="2:18" s="76" customFormat="1">
      <c r="H103" s="85"/>
    </row>
    <row r="104" spans="2:18" s="76" customFormat="1">
      <c r="H104" s="85"/>
      <c r="O104" s="85"/>
      <c r="P104" s="85"/>
      <c r="Q104" s="85"/>
      <c r="R104" s="85"/>
    </row>
    <row r="105" spans="2:18">
      <c r="B105" s="88"/>
    </row>
    <row r="106" spans="2:18">
      <c r="B106" s="100"/>
    </row>
    <row r="107" spans="2:18">
      <c r="B107" s="88"/>
    </row>
    <row r="109" spans="2:18">
      <c r="B109" s="96"/>
      <c r="L109" s="96"/>
    </row>
    <row r="110" spans="2:18">
      <c r="B110" s="92"/>
      <c r="C110" s="93"/>
      <c r="D110" s="92"/>
      <c r="L110" s="92"/>
      <c r="M110" s="92"/>
      <c r="N110" s="92"/>
    </row>
    <row r="111" spans="2:18">
      <c r="B111" s="92"/>
      <c r="C111" s="93"/>
      <c r="D111" s="92"/>
      <c r="L111" s="115"/>
      <c r="M111" s="115"/>
      <c r="N111" s="115"/>
    </row>
    <row r="112" spans="2:18">
      <c r="B112" s="92"/>
      <c r="C112" s="93"/>
      <c r="D112" s="92"/>
      <c r="L112" s="92"/>
      <c r="M112" s="92"/>
      <c r="N112" s="92"/>
    </row>
    <row r="113" spans="2:14">
      <c r="B113" s="92"/>
      <c r="C113" s="93"/>
      <c r="D113" s="92"/>
      <c r="L113" s="92"/>
      <c r="M113" s="92"/>
      <c r="N113" s="92"/>
    </row>
    <row r="114" spans="2:14">
      <c r="B114" s="92"/>
      <c r="C114" s="93"/>
      <c r="D114" s="92"/>
      <c r="L114" s="92"/>
      <c r="M114" s="92"/>
      <c r="N114" s="92"/>
    </row>
    <row r="115" spans="2:14">
      <c r="B115" s="92"/>
      <c r="C115" s="93"/>
      <c r="D115" s="92"/>
      <c r="L115" s="92"/>
      <c r="M115" s="92"/>
      <c r="N115" s="92"/>
    </row>
    <row r="116" spans="2:14">
      <c r="B116" s="92"/>
      <c r="C116" s="93"/>
      <c r="D116" s="92"/>
      <c r="L116" s="92"/>
      <c r="M116" s="92"/>
      <c r="N116" s="92"/>
    </row>
    <row r="117" spans="2:14">
      <c r="B117" s="92"/>
      <c r="C117" s="93"/>
      <c r="D117" s="92"/>
      <c r="L117" s="92"/>
      <c r="M117" s="92"/>
      <c r="N117" s="92"/>
    </row>
    <row r="118" spans="2:14">
      <c r="B118" s="92"/>
      <c r="C118" s="93"/>
      <c r="D118" s="92"/>
      <c r="L118" s="92"/>
      <c r="M118" s="92"/>
      <c r="N118" s="92"/>
    </row>
    <row r="119" spans="2:14">
      <c r="B119" s="92"/>
      <c r="C119" s="93"/>
      <c r="D119" s="92"/>
      <c r="L119" s="92"/>
      <c r="M119" s="92"/>
      <c r="N119" s="92"/>
    </row>
    <row r="120" spans="2:14">
      <c r="B120" s="92"/>
      <c r="C120" s="93"/>
      <c r="D120" s="92"/>
      <c r="L120" s="92"/>
      <c r="M120" s="92"/>
      <c r="N120" s="92"/>
    </row>
    <row r="121" spans="2:14">
      <c r="B121" s="92"/>
      <c r="C121" s="93"/>
      <c r="D121" s="92"/>
      <c r="L121" s="92"/>
      <c r="M121" s="92"/>
      <c r="N121" s="92"/>
    </row>
    <row r="122" spans="2:14">
      <c r="B122" s="92"/>
      <c r="C122" s="93"/>
      <c r="D122" s="92"/>
      <c r="L122" s="92"/>
      <c r="M122" s="92"/>
      <c r="N122" s="92"/>
    </row>
    <row r="123" spans="2:14">
      <c r="B123" s="92"/>
      <c r="C123" s="93"/>
      <c r="D123" s="92"/>
      <c r="L123" s="92"/>
      <c r="M123" s="92"/>
      <c r="N123" s="92"/>
    </row>
    <row r="124" spans="2:14">
      <c r="B124" s="92"/>
      <c r="C124" s="93"/>
      <c r="D124" s="92"/>
      <c r="L124" s="92"/>
      <c r="M124" s="92"/>
      <c r="N124" s="92"/>
    </row>
    <row r="125" spans="2:14">
      <c r="B125" s="92"/>
      <c r="C125" s="93"/>
      <c r="D125" s="92"/>
      <c r="L125" s="92"/>
      <c r="M125" s="92"/>
      <c r="N125" s="92"/>
    </row>
    <row r="126" spans="2:14">
      <c r="B126" s="92"/>
      <c r="C126" s="93"/>
      <c r="D126" s="92"/>
      <c r="L126" s="92"/>
      <c r="M126" s="92"/>
      <c r="N126" s="92"/>
    </row>
    <row r="127" spans="2:14">
      <c r="B127" s="92"/>
      <c r="C127" s="93"/>
      <c r="D127" s="92"/>
      <c r="L127" s="92"/>
      <c r="M127" s="92"/>
      <c r="N127" s="92"/>
    </row>
    <row r="128" spans="2:14">
      <c r="B128" s="92"/>
      <c r="C128" s="93"/>
      <c r="D128" s="92"/>
      <c r="L128" s="92"/>
      <c r="M128" s="92"/>
      <c r="N128" s="92"/>
    </row>
    <row r="129" spans="2:14">
      <c r="B129" s="92"/>
      <c r="C129" s="93"/>
      <c r="D129" s="92"/>
      <c r="L129" s="92"/>
      <c r="M129" s="92"/>
      <c r="N129" s="92"/>
    </row>
    <row r="130" spans="2:14">
      <c r="B130" s="92"/>
      <c r="C130" s="93"/>
      <c r="D130" s="92"/>
      <c r="L130" s="92"/>
      <c r="M130" s="93"/>
      <c r="N130" s="92"/>
    </row>
    <row r="131" spans="2:14">
      <c r="B131" s="92"/>
      <c r="C131" s="93"/>
      <c r="D131" s="92"/>
      <c r="L131" s="92"/>
      <c r="M131" s="93"/>
      <c r="N131" s="92"/>
    </row>
    <row r="132" spans="2:14">
      <c r="B132" s="92"/>
      <c r="C132" s="93"/>
      <c r="D132" s="92"/>
      <c r="L132" s="92"/>
      <c r="M132" s="92"/>
      <c r="N132" s="92"/>
    </row>
    <row r="133" spans="2:14">
      <c r="B133" s="92"/>
      <c r="C133" s="93"/>
      <c r="D133" s="92"/>
      <c r="L133" s="92"/>
      <c r="M133" s="92"/>
      <c r="N133" s="92"/>
    </row>
    <row r="134" spans="2:14">
      <c r="B134" s="92"/>
      <c r="C134" s="93"/>
      <c r="D134" s="92"/>
      <c r="L134" s="92"/>
      <c r="M134" s="93"/>
      <c r="N134" s="92"/>
    </row>
    <row r="135" spans="2:14">
      <c r="B135" s="92"/>
      <c r="C135" s="93"/>
      <c r="D135" s="92"/>
      <c r="L135" s="92"/>
      <c r="M135" s="92"/>
      <c r="N135" s="92"/>
    </row>
    <row r="136" spans="2:14">
      <c r="B136" s="92"/>
      <c r="C136" s="93"/>
      <c r="D136" s="92"/>
      <c r="L136" s="92"/>
      <c r="M136" s="92"/>
      <c r="N136" s="92"/>
    </row>
    <row r="137" spans="2:14">
      <c r="B137" s="92"/>
      <c r="C137" s="93"/>
      <c r="D137" s="92"/>
      <c r="L137" s="92"/>
      <c r="M137" s="92"/>
      <c r="N137" s="92"/>
    </row>
    <row r="138" spans="2:14">
      <c r="B138" s="92"/>
      <c r="C138" s="93"/>
      <c r="D138" s="92"/>
      <c r="L138" s="92"/>
      <c r="M138" s="92"/>
      <c r="N138" s="92"/>
    </row>
    <row r="139" spans="2:14">
      <c r="B139" s="92"/>
      <c r="C139" s="93"/>
      <c r="D139" s="92"/>
      <c r="L139" s="92"/>
      <c r="M139" s="93"/>
      <c r="N139" s="92"/>
    </row>
    <row r="140" spans="2:14">
      <c r="B140" s="92"/>
      <c r="C140" s="93"/>
      <c r="D140" s="92"/>
      <c r="L140" s="92"/>
      <c r="M140" s="92"/>
      <c r="N140" s="92"/>
    </row>
    <row r="141" spans="2:14">
      <c r="B141" s="92"/>
      <c r="C141" s="93"/>
      <c r="D141" s="92"/>
      <c r="L141" s="92"/>
      <c r="M141" s="92"/>
      <c r="N141" s="92"/>
    </row>
    <row r="142" spans="2:14">
      <c r="B142" s="92"/>
      <c r="C142" s="93"/>
      <c r="D142" s="92"/>
      <c r="L142" s="92"/>
      <c r="M142" s="92"/>
      <c r="N142" s="92"/>
    </row>
    <row r="143" spans="2:14">
      <c r="B143" s="92"/>
      <c r="C143" s="93"/>
      <c r="D143" s="92"/>
      <c r="L143" s="92"/>
      <c r="M143" s="92"/>
      <c r="N143" s="92"/>
    </row>
    <row r="144" spans="2:14">
      <c r="B144" s="92"/>
      <c r="C144" s="93"/>
      <c r="D144" s="92"/>
      <c r="L144" s="92"/>
      <c r="M144" s="92"/>
      <c r="N144" s="92"/>
    </row>
    <row r="145" spans="2:14">
      <c r="B145" s="92"/>
      <c r="C145" s="93"/>
      <c r="D145" s="92"/>
      <c r="L145" s="92"/>
      <c r="M145" s="92"/>
      <c r="N145" s="92"/>
    </row>
    <row r="146" spans="2:14">
      <c r="B146" s="92"/>
      <c r="C146" s="93"/>
      <c r="D146" s="92"/>
      <c r="L146" s="92"/>
      <c r="M146" s="93"/>
      <c r="N146" s="92"/>
    </row>
    <row r="147" spans="2:14">
      <c r="B147" s="92"/>
      <c r="C147" s="93"/>
      <c r="D147" s="92"/>
      <c r="L147" s="92"/>
      <c r="M147" s="92"/>
      <c r="N147" s="92"/>
    </row>
    <row r="148" spans="2:14">
      <c r="B148" s="92"/>
      <c r="C148" s="93"/>
      <c r="D148" s="92"/>
      <c r="L148" s="92"/>
      <c r="M148" s="92"/>
      <c r="N148" s="92"/>
    </row>
    <row r="149" spans="2:14">
      <c r="B149" s="92"/>
      <c r="C149" s="93"/>
      <c r="D149" s="92"/>
      <c r="L149" s="92"/>
      <c r="M149" s="92"/>
      <c r="N149" s="92"/>
    </row>
    <row r="150" spans="2:14">
      <c r="B150" s="92"/>
      <c r="C150" s="93"/>
      <c r="D150" s="92"/>
      <c r="L150" s="92"/>
      <c r="M150" s="92"/>
      <c r="N150" s="92"/>
    </row>
    <row r="151" spans="2:14">
      <c r="B151" s="92"/>
      <c r="C151" s="93"/>
      <c r="D151" s="92"/>
      <c r="L151" s="92"/>
      <c r="M151" s="92"/>
      <c r="N151" s="92"/>
    </row>
    <row r="152" spans="2:14">
      <c r="B152" s="92"/>
      <c r="C152" s="93"/>
      <c r="D152" s="92"/>
      <c r="L152" s="92"/>
      <c r="M152" s="92"/>
      <c r="N152" s="92"/>
    </row>
    <row r="153" spans="2:14">
      <c r="B153" s="92"/>
      <c r="C153" s="93"/>
      <c r="D153" s="92"/>
      <c r="L153" s="92"/>
      <c r="M153" s="92"/>
      <c r="N153" s="92"/>
    </row>
    <row r="154" spans="2:14">
      <c r="B154" s="92"/>
      <c r="C154" s="93"/>
      <c r="D154" s="92"/>
      <c r="L154" s="92"/>
      <c r="M154" s="93"/>
      <c r="N154" s="92"/>
    </row>
    <row r="155" spans="2:14">
      <c r="B155" s="92"/>
      <c r="C155" s="93"/>
      <c r="D155" s="92"/>
      <c r="L155" s="92"/>
      <c r="M155" s="92"/>
      <c r="N155" s="92"/>
    </row>
    <row r="156" spans="2:14">
      <c r="B156" s="92"/>
      <c r="C156" s="93"/>
      <c r="D156" s="92"/>
      <c r="L156" s="92"/>
      <c r="M156" s="92"/>
      <c r="N156" s="92"/>
    </row>
    <row r="157" spans="2:14">
      <c r="B157" s="92"/>
      <c r="C157" s="93"/>
      <c r="D157" s="92"/>
      <c r="L157" s="92"/>
      <c r="M157" s="92"/>
      <c r="N157" s="92"/>
    </row>
    <row r="158" spans="2:14">
      <c r="B158" s="92"/>
      <c r="C158" s="93"/>
      <c r="D158" s="92"/>
      <c r="L158" s="92"/>
      <c r="M158" s="93"/>
      <c r="N158" s="92"/>
    </row>
    <row r="159" spans="2:14">
      <c r="B159" s="30"/>
      <c r="C159" s="30"/>
      <c r="D159" s="30"/>
      <c r="L159" s="92"/>
      <c r="M159" s="93"/>
      <c r="N159" s="92"/>
    </row>
    <row r="160" spans="2:14">
      <c r="L160" s="92"/>
      <c r="M160" s="92"/>
      <c r="N160" s="92"/>
    </row>
    <row r="161" spans="12:14">
      <c r="L161" s="92"/>
      <c r="M161" s="92"/>
      <c r="N161" s="92"/>
    </row>
    <row r="162" spans="12:14">
      <c r="L162" s="92"/>
      <c r="M162" s="92"/>
      <c r="N162" s="92"/>
    </row>
    <row r="163" spans="12:14">
      <c r="L163" s="92"/>
      <c r="M163" s="92"/>
      <c r="N163" s="92"/>
    </row>
    <row r="164" spans="12:14">
      <c r="L164" s="92"/>
      <c r="M164" s="92"/>
      <c r="N164" s="92"/>
    </row>
    <row r="165" spans="12:14">
      <c r="L165" s="92"/>
      <c r="M165" s="93"/>
      <c r="N165" s="92"/>
    </row>
    <row r="166" spans="12:14">
      <c r="L166" s="92"/>
      <c r="M166" s="92"/>
      <c r="N166" s="92"/>
    </row>
    <row r="167" spans="12:14">
      <c r="L167" s="92"/>
      <c r="M167" s="93"/>
      <c r="N167" s="92"/>
    </row>
    <row r="168" spans="12:14">
      <c r="L168" s="92"/>
      <c r="M168" s="92"/>
      <c r="N168" s="92"/>
    </row>
    <row r="169" spans="12:14">
      <c r="L169" s="92"/>
      <c r="M169" s="92"/>
      <c r="N169" s="92"/>
    </row>
    <row r="170" spans="12:14">
      <c r="L170" s="92"/>
      <c r="M170" s="92"/>
      <c r="N170" s="92"/>
    </row>
    <row r="171" spans="12:14">
      <c r="L171" s="92"/>
      <c r="M171" s="92"/>
      <c r="N171" s="92"/>
    </row>
    <row r="172" spans="12:14">
      <c r="L172" s="92"/>
      <c r="M172" s="92"/>
      <c r="N172" s="92"/>
    </row>
    <row r="173" spans="12:14">
      <c r="L173" s="92"/>
      <c r="M173" s="92"/>
      <c r="N173" s="92"/>
    </row>
    <row r="174" spans="12:14">
      <c r="L174" s="92"/>
      <c r="M174" s="92"/>
      <c r="N174" s="92"/>
    </row>
    <row r="175" spans="12:14">
      <c r="L175" s="92"/>
      <c r="M175" s="92"/>
      <c r="N175" s="92"/>
    </row>
    <row r="176" spans="12:14">
      <c r="L176" s="92"/>
      <c r="M176" s="93"/>
      <c r="N176" s="92"/>
    </row>
    <row r="177" spans="12:14">
      <c r="L177" s="92"/>
      <c r="M177" s="92"/>
      <c r="N177" s="92"/>
    </row>
    <row r="178" spans="12:14">
      <c r="L178" s="92"/>
      <c r="M178" s="92"/>
      <c r="N178" s="92"/>
    </row>
    <row r="179" spans="12:14">
      <c r="L179" s="92"/>
      <c r="M179" s="92"/>
      <c r="N179" s="92"/>
    </row>
    <row r="180" spans="12:14">
      <c r="L180" s="92"/>
      <c r="M180" s="92"/>
      <c r="N180" s="92"/>
    </row>
    <row r="181" spans="12:14">
      <c r="L181" s="92"/>
      <c r="M181" s="92"/>
      <c r="N181" s="92"/>
    </row>
    <row r="182" spans="12:14">
      <c r="L182" s="92"/>
      <c r="M182" s="92"/>
      <c r="N182" s="92"/>
    </row>
    <row r="183" spans="12:14">
      <c r="L183" s="92"/>
      <c r="M183" s="92"/>
      <c r="N183" s="92"/>
    </row>
    <row r="184" spans="12:14">
      <c r="L184" s="92"/>
      <c r="M184" s="92"/>
      <c r="N184" s="92"/>
    </row>
    <row r="185" spans="12:14">
      <c r="L185" s="92"/>
      <c r="M185" s="92"/>
      <c r="N185" s="92"/>
    </row>
    <row r="186" spans="12:14">
      <c r="L186" s="92"/>
      <c r="M186" s="92"/>
      <c r="N186" s="92"/>
    </row>
    <row r="187" spans="12:14">
      <c r="L187" s="92"/>
      <c r="M187" s="92"/>
      <c r="N187" s="92"/>
    </row>
    <row r="188" spans="12:14">
      <c r="L188" s="92"/>
      <c r="M188" s="92"/>
      <c r="N188" s="92"/>
    </row>
    <row r="189" spans="12:14">
      <c r="L189" s="92"/>
      <c r="M189" s="92"/>
      <c r="N189" s="92"/>
    </row>
    <row r="190" spans="12:14">
      <c r="L190" s="92"/>
      <c r="M190" s="92"/>
      <c r="N190" s="92"/>
    </row>
    <row r="191" spans="12:14">
      <c r="L191" s="92"/>
      <c r="M191" s="93"/>
      <c r="N191" s="92"/>
    </row>
    <row r="192" spans="12:14">
      <c r="L192" s="92"/>
      <c r="M192" s="93"/>
      <c r="N192" s="92"/>
    </row>
    <row r="193" spans="12:14">
      <c r="L193" s="92"/>
      <c r="M193" s="93"/>
      <c r="N193" s="92"/>
    </row>
    <row r="194" spans="12:14">
      <c r="L194" s="92"/>
      <c r="M194" s="93"/>
      <c r="N194" s="92"/>
    </row>
    <row r="195" spans="12:14">
      <c r="L195" s="92"/>
      <c r="M195" s="92"/>
      <c r="N195" s="92"/>
    </row>
    <row r="196" spans="12:14">
      <c r="L196" s="92"/>
      <c r="M196" s="93"/>
      <c r="N196" s="92"/>
    </row>
    <row r="197" spans="12:14">
      <c r="L197" s="92"/>
      <c r="M197" s="92"/>
      <c r="N197" s="92"/>
    </row>
    <row r="198" spans="12:14">
      <c r="L198" s="92"/>
      <c r="M198" s="92"/>
      <c r="N198" s="92"/>
    </row>
    <row r="199" spans="12:14">
      <c r="L199" s="92"/>
      <c r="M199" s="92"/>
      <c r="N199" s="92"/>
    </row>
    <row r="200" spans="12:14">
      <c r="L200" s="92"/>
      <c r="M200" s="92"/>
      <c r="N200" s="92"/>
    </row>
    <row r="201" spans="12:14">
      <c r="L201" s="92"/>
      <c r="M201" s="92"/>
      <c r="N201" s="9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F7032-4D7F-4981-9AB8-C6F558AB646A}">
  <dimension ref="B1:BL42"/>
  <sheetViews>
    <sheetView workbookViewId="0">
      <selection activeCell="W16" sqref="W16"/>
    </sheetView>
  </sheetViews>
  <sheetFormatPr defaultRowHeight="14.4"/>
  <cols>
    <col min="1" max="1" width="3.109375" customWidth="1"/>
    <col min="3" max="3" width="18.44140625" customWidth="1"/>
  </cols>
  <sheetData>
    <row r="1" spans="2:6" ht="15" thickBot="1"/>
    <row r="2" spans="2:6" ht="15" thickBot="1">
      <c r="B2" s="121" t="s">
        <v>742</v>
      </c>
      <c r="D2" s="218" t="s">
        <v>748</v>
      </c>
      <c r="E2" s="218"/>
      <c r="F2" s="218"/>
    </row>
    <row r="3" spans="2:6">
      <c r="D3" s="218" t="s">
        <v>770</v>
      </c>
      <c r="E3" s="218" t="s">
        <v>771</v>
      </c>
      <c r="F3" s="218" t="s">
        <v>749</v>
      </c>
    </row>
    <row r="4" spans="2:6">
      <c r="C4" s="182" t="s">
        <v>752</v>
      </c>
      <c r="D4">
        <f>Copper!K11</f>
        <v>6.65</v>
      </c>
      <c r="E4">
        <f>Copper!L11</f>
        <v>0.23300000000000001</v>
      </c>
      <c r="F4">
        <f>Copper!M11</f>
        <v>0.21</v>
      </c>
    </row>
    <row r="5" spans="2:6">
      <c r="C5" s="182" t="s">
        <v>753</v>
      </c>
      <c r="D5" cm="1">
        <f t="array" ref="D5:F5">Cement!K11:M11</f>
        <v>0.84899999999999998</v>
      </c>
      <c r="E5">
        <v>9.4800000000000006E-3</v>
      </c>
      <c r="F5">
        <v>1.4E-3</v>
      </c>
    </row>
    <row r="6" spans="2:6">
      <c r="C6" s="182" t="s">
        <v>754</v>
      </c>
      <c r="D6" cm="1">
        <f t="array" ref="D6:F6">Aggregates!K11:M11</f>
        <v>1.18E-2</v>
      </c>
      <c r="E6">
        <v>4.0000000000000001E-3</v>
      </c>
      <c r="F6">
        <v>1.1000000000000001E-3</v>
      </c>
    </row>
    <row r="7" spans="2:6">
      <c r="C7" s="182" t="s">
        <v>755</v>
      </c>
      <c r="D7" cm="1">
        <f t="array" ref="D7:F7">Steel!K11:M11</f>
        <v>2.1549999999999998</v>
      </c>
      <c r="E7">
        <v>1.2699999999999999E-2</v>
      </c>
      <c r="F7">
        <v>1.133E-2</v>
      </c>
    </row>
    <row r="8" spans="2:6">
      <c r="C8" s="182" t="s">
        <v>756</v>
      </c>
      <c r="D8">
        <f>D7</f>
        <v>2.1549999999999998</v>
      </c>
      <c r="E8">
        <f t="shared" ref="E8:F8" si="0">E7</f>
        <v>1.2699999999999999E-2</v>
      </c>
      <c r="F8">
        <f t="shared" si="0"/>
        <v>1.133E-2</v>
      </c>
    </row>
    <row r="9" spans="2:6">
      <c r="C9" s="182" t="s">
        <v>757</v>
      </c>
      <c r="D9">
        <f>D8</f>
        <v>2.1549999999999998</v>
      </c>
      <c r="E9">
        <f t="shared" ref="E9" si="1">E8</f>
        <v>1.2699999999999999E-2</v>
      </c>
      <c r="F9">
        <f t="shared" ref="F9" si="2">F8</f>
        <v>1.133E-2</v>
      </c>
    </row>
    <row r="10" spans="2:6">
      <c r="C10" s="182" t="s">
        <v>758</v>
      </c>
      <c r="D10">
        <f>'Stainless steel'!K11</f>
        <v>5.23</v>
      </c>
      <c r="E10">
        <f>'Stainless steel'!L11</f>
        <v>0.12</v>
      </c>
      <c r="F10">
        <f>'Stainless steel'!M11</f>
        <v>0.05</v>
      </c>
    </row>
    <row r="11" spans="2:6">
      <c r="C11" s="182" t="s">
        <v>759</v>
      </c>
      <c r="D11">
        <f>Aluminium!K11</f>
        <v>20.8</v>
      </c>
      <c r="E11">
        <f>Aluminium!L11</f>
        <v>0.05</v>
      </c>
      <c r="F11">
        <f>Aluminium!M11</f>
        <v>4.7E-2</v>
      </c>
    </row>
    <row r="12" spans="2:6">
      <c r="C12" s="182" t="s">
        <v>760</v>
      </c>
      <c r="D12">
        <f>D11</f>
        <v>20.8</v>
      </c>
      <c r="E12">
        <f t="shared" ref="E12:F12" si="3">E11</f>
        <v>0.05</v>
      </c>
      <c r="F12">
        <f t="shared" si="3"/>
        <v>4.7E-2</v>
      </c>
    </row>
    <row r="13" spans="2:6">
      <c r="C13" s="182" t="s">
        <v>761</v>
      </c>
      <c r="D13" cm="1">
        <f t="array" ref="D13:F13">Wood!K11:M11</f>
        <v>0.29815384615384616</v>
      </c>
      <c r="E13">
        <v>3.4092307692307693</v>
      </c>
      <c r="F13">
        <v>2.7338461538461535E-3</v>
      </c>
    </row>
    <row r="14" spans="2:6">
      <c r="C14" s="182" t="s">
        <v>762</v>
      </c>
      <c r="D14" cm="1">
        <f t="array" ref="D14:F14">Zinc!K11:M11</f>
        <v>2.7</v>
      </c>
      <c r="E14">
        <v>-3.5999999999999997E-2</v>
      </c>
      <c r="F14">
        <v>8.5000000000000006E-2</v>
      </c>
    </row>
    <row r="15" spans="2:6">
      <c r="C15" s="182" t="s">
        <v>763</v>
      </c>
      <c r="D15" cm="1">
        <f t="array" ref="D15:F15">Plastics!K11:M11</f>
        <v>2.323</v>
      </c>
      <c r="E15">
        <v>1.4E-2</v>
      </c>
      <c r="F15">
        <v>4.6300000000000001E-2</v>
      </c>
    </row>
    <row r="16" spans="2:6">
      <c r="C16" s="182" t="s">
        <v>764</v>
      </c>
      <c r="D16" cm="1">
        <f t="array" ref="D16:F16">Glass!K11:M11</f>
        <v>0.97</v>
      </c>
      <c r="E16">
        <v>2.4E-2</v>
      </c>
      <c r="F16">
        <v>5.7999999999999996E-3</v>
      </c>
    </row>
    <row r="17" spans="2:64">
      <c r="C17" s="182" t="s">
        <v>765</v>
      </c>
      <c r="D17" cm="1">
        <f t="array" ref="D17:F17">Insulation!K11:M11</f>
        <v>4.74</v>
      </c>
      <c r="E17">
        <v>2.4E-2</v>
      </c>
      <c r="F17">
        <v>7.2999999999999995E-2</v>
      </c>
    </row>
    <row r="18" spans="2:64">
      <c r="C18" s="182" t="s">
        <v>766</v>
      </c>
      <c r="D18" cm="1">
        <f t="array" ref="D18:F18">'Paper and cardboard'!K11:M11</f>
        <v>0.71</v>
      </c>
      <c r="E18">
        <v>1.84</v>
      </c>
      <c r="F18">
        <v>1.0999999999999999E-2</v>
      </c>
    </row>
    <row r="19" spans="2:64">
      <c r="C19" s="162"/>
    </row>
    <row r="20" spans="2:64" ht="15" thickBot="1"/>
    <row r="21" spans="2:64" ht="15" thickBot="1">
      <c r="B21" s="121" t="s">
        <v>743</v>
      </c>
    </row>
    <row r="22" spans="2:64">
      <c r="C22" s="182" t="s">
        <v>747</v>
      </c>
      <c r="D22" cm="1">
        <f t="array" ref="D22:F22">background!K13:M13</f>
        <v>1.282</v>
      </c>
      <c r="E22">
        <v>6.7000000000000002E-3</v>
      </c>
      <c r="F22">
        <v>4.3E-3</v>
      </c>
    </row>
    <row r="23" spans="2:64">
      <c r="C23" s="182" t="s">
        <v>767</v>
      </c>
      <c r="D23" cm="1">
        <f t="array" ref="D23:F23">background!K23:M23</f>
        <v>0.31878000000000001</v>
      </c>
      <c r="E23">
        <v>2.4039999999999999E-2</v>
      </c>
      <c r="F23">
        <v>2.2655000000000002E-3</v>
      </c>
      <c r="G23" s="225" t="s">
        <v>772</v>
      </c>
    </row>
    <row r="24" spans="2:64">
      <c r="C24" s="182" t="s">
        <v>744</v>
      </c>
      <c r="D24">
        <f>background!K28</f>
        <v>0.46995999999999999</v>
      </c>
      <c r="E24">
        <f>background!L28</f>
        <v>6.8723999999999999E-3</v>
      </c>
      <c r="F24">
        <f>background!M28</f>
        <v>1.5552000000000001E-3</v>
      </c>
      <c r="G24" s="225" t="s">
        <v>772</v>
      </c>
    </row>
    <row r="25" spans="2:64">
      <c r="C25" s="182" t="s">
        <v>745</v>
      </c>
      <c r="D25" cm="1">
        <f t="array" ref="D25:F25">background!K34:M34</f>
        <v>0.629</v>
      </c>
      <c r="E25">
        <v>5.7000000000000002E-3</v>
      </c>
      <c r="F25">
        <v>5.9000000000000003E-4</v>
      </c>
      <c r="G25" s="225"/>
    </row>
    <row r="26" spans="2:64">
      <c r="C26" s="182" t="s">
        <v>768</v>
      </c>
      <c r="D26" cm="1">
        <f t="array" ref="D26:F26">background!K40:M40</f>
        <v>0.35217999999999999</v>
      </c>
      <c r="E26">
        <v>5.8314999999999999E-3</v>
      </c>
      <c r="F26">
        <v>1.1795E-3</v>
      </c>
      <c r="G26" s="225" t="s">
        <v>772</v>
      </c>
    </row>
    <row r="28" spans="2:64" ht="15" thickBot="1"/>
    <row r="29" spans="2:64" ht="15" thickBot="1">
      <c r="B29" s="72" t="s">
        <v>750</v>
      </c>
      <c r="C29" s="75"/>
      <c r="E29" s="219" t="s">
        <v>752</v>
      </c>
      <c r="F29" s="219"/>
      <c r="G29" t="s">
        <v>773</v>
      </c>
      <c r="H29" s="220" t="s">
        <v>753</v>
      </c>
      <c r="I29" s="219"/>
      <c r="J29" t="s">
        <v>773</v>
      </c>
      <c r="K29" s="219" t="s">
        <v>754</v>
      </c>
      <c r="L29" s="219"/>
      <c r="M29" t="s">
        <v>773</v>
      </c>
      <c r="N29" s="219" t="s">
        <v>755</v>
      </c>
      <c r="O29" s="219"/>
      <c r="P29" s="219"/>
      <c r="Q29" t="s">
        <v>773</v>
      </c>
      <c r="R29" s="219" t="s">
        <v>756</v>
      </c>
      <c r="S29" s="219"/>
      <c r="T29" s="219"/>
      <c r="U29" t="s">
        <v>773</v>
      </c>
      <c r="V29" s="219" t="s">
        <v>757</v>
      </c>
      <c r="W29" s="219"/>
      <c r="X29" s="219"/>
      <c r="Y29" t="s">
        <v>773</v>
      </c>
      <c r="Z29" s="219" t="s">
        <v>758</v>
      </c>
      <c r="AA29" s="219"/>
      <c r="AB29" s="219"/>
      <c r="AC29" t="s">
        <v>773</v>
      </c>
      <c r="AD29" s="219" t="s">
        <v>759</v>
      </c>
      <c r="AE29" s="219"/>
      <c r="AF29" s="219"/>
      <c r="AG29" s="219"/>
      <c r="AH29" s="219"/>
      <c r="AI29" t="s">
        <v>773</v>
      </c>
      <c r="AJ29" s="219" t="s">
        <v>760</v>
      </c>
      <c r="AK29" s="219"/>
      <c r="AL29" s="219"/>
      <c r="AM29" s="219"/>
      <c r="AN29" s="219"/>
      <c r="AO29" t="s">
        <v>773</v>
      </c>
      <c r="AP29" s="219" t="s">
        <v>761</v>
      </c>
      <c r="AQ29" s="219"/>
      <c r="AS29" s="219" t="s">
        <v>762</v>
      </c>
      <c r="AT29" s="219"/>
      <c r="AU29" s="219"/>
      <c r="AV29" s="219"/>
      <c r="AW29" s="219"/>
      <c r="AX29" t="s">
        <v>773</v>
      </c>
      <c r="AY29" s="219" t="s">
        <v>763</v>
      </c>
      <c r="AZ29" s="219"/>
      <c r="BA29" s="219"/>
      <c r="BB29" t="s">
        <v>773</v>
      </c>
      <c r="BC29" s="219" t="s">
        <v>764</v>
      </c>
      <c r="BD29" s="219"/>
      <c r="BE29" s="219"/>
      <c r="BF29" t="s">
        <v>773</v>
      </c>
      <c r="BG29" s="219" t="s">
        <v>765</v>
      </c>
      <c r="BH29" s="219"/>
      <c r="BI29" s="219"/>
      <c r="BJ29" t="s">
        <v>773</v>
      </c>
      <c r="BK29" s="219" t="s">
        <v>766</v>
      </c>
      <c r="BL29" s="219"/>
    </row>
    <row r="30" spans="2:64">
      <c r="E30" s="221" t="str">
        <f>Copper!H88</f>
        <v>electricity</v>
      </c>
      <c r="F30" s="222" t="str">
        <f>Copper!I88</f>
        <v>natural gas</v>
      </c>
      <c r="H30" s="221" t="str">
        <f>Cement!H88</f>
        <v>electricity</v>
      </c>
      <c r="I30" s="222" t="str">
        <f>Cement!I88</f>
        <v>natural gas</v>
      </c>
      <c r="K30" s="221" t="str">
        <f>Aggregates!H88</f>
        <v>electricity</v>
      </c>
      <c r="L30" s="222" t="str">
        <f>Aggregates!I88</f>
        <v>diesel</v>
      </c>
      <c r="N30" s="221" t="str">
        <f>Steel!H88</f>
        <v>electricity</v>
      </c>
      <c r="O30" s="223" t="str">
        <f>Steel!I88</f>
        <v>natural gas</v>
      </c>
      <c r="P30" s="222" t="str">
        <f>Steel!J88</f>
        <v>coal, hard coal</v>
      </c>
      <c r="R30" s="221" t="str">
        <f>N30</f>
        <v>electricity</v>
      </c>
      <c r="S30" s="223" t="str">
        <f t="shared" ref="S30:T30" si="4">O30</f>
        <v>natural gas</v>
      </c>
      <c r="T30" s="222" t="str">
        <f t="shared" si="4"/>
        <v>coal, hard coal</v>
      </c>
      <c r="V30" s="221" t="str">
        <f>R30</f>
        <v>electricity</v>
      </c>
      <c r="W30" s="223" t="str">
        <f t="shared" ref="W30:X30" si="5">S30</f>
        <v>natural gas</v>
      </c>
      <c r="X30" s="222" t="str">
        <f t="shared" si="5"/>
        <v>coal, hard coal</v>
      </c>
      <c r="Z30" s="221" t="str">
        <f>'Stainless steel'!H88</f>
        <v>electricity</v>
      </c>
      <c r="AA30" s="223" t="str">
        <f>'Stainless steel'!I88</f>
        <v>natural gas</v>
      </c>
      <c r="AB30" s="222" t="str">
        <f>'Stainless steel'!J88</f>
        <v>coal, hard coal</v>
      </c>
      <c r="AD30" s="221" t="str">
        <f>Aluminium!H88</f>
        <v>electricity</v>
      </c>
      <c r="AE30" s="223" t="str">
        <f>Aluminium!I88</f>
        <v>coal, hard coal</v>
      </c>
      <c r="AF30" s="223" t="str">
        <f>Aluminium!J88</f>
        <v>natural gas</v>
      </c>
      <c r="AG30" s="223" t="str">
        <f>Aluminium!K88</f>
        <v>diesel</v>
      </c>
      <c r="AH30" s="222" t="str">
        <f>Aluminium!L88</f>
        <v>heavy fuel oil</v>
      </c>
      <c r="AJ30" s="221" t="str">
        <f>AD30</f>
        <v>electricity</v>
      </c>
      <c r="AK30" s="223" t="str">
        <f t="shared" ref="AK30:AN30" si="6">AE30</f>
        <v>coal, hard coal</v>
      </c>
      <c r="AL30" s="223" t="str">
        <f t="shared" si="6"/>
        <v>natural gas</v>
      </c>
      <c r="AM30" s="223" t="str">
        <f t="shared" si="6"/>
        <v>diesel</v>
      </c>
      <c r="AN30" s="222" t="str">
        <f t="shared" si="6"/>
        <v>heavy fuel oil</v>
      </c>
      <c r="AP30" s="221" t="str">
        <f>Wood!H88</f>
        <v>electricity</v>
      </c>
      <c r="AQ30" s="222" t="str">
        <f>Wood!I88</f>
        <v>diesel</v>
      </c>
      <c r="AS30" s="221" t="str">
        <f>Zinc!H88</f>
        <v>electricity</v>
      </c>
      <c r="AT30" s="223" t="str">
        <f>Zinc!I88</f>
        <v>natural gas</v>
      </c>
      <c r="AU30" s="223" t="str">
        <f>Zinc!J88</f>
        <v>diesel</v>
      </c>
      <c r="AV30" s="223" t="str">
        <f>Zinc!K88</f>
        <v>gasoline</v>
      </c>
      <c r="AW30" s="222" t="str">
        <f>Zinc!L88</f>
        <v>fuel oil</v>
      </c>
      <c r="AY30" s="221" t="str">
        <f>Plastics!H88</f>
        <v>electricity</v>
      </c>
      <c r="AZ30" s="223" t="str">
        <f>Plastics!I88</f>
        <v>natural gas</v>
      </c>
      <c r="BA30" s="222" t="str">
        <f>Plastics!J88</f>
        <v>diesel</v>
      </c>
      <c r="BC30" s="221" t="str">
        <f>Glass!H88</f>
        <v>electricity</v>
      </c>
      <c r="BD30" s="223" t="str">
        <f>Glass!I88</f>
        <v>natural gas</v>
      </c>
      <c r="BE30" s="222" t="str">
        <f>Glass!J88</f>
        <v>heavy fuel oil</v>
      </c>
      <c r="BG30" s="221" t="str">
        <f>Insulation!H88</f>
        <v>electricity</v>
      </c>
      <c r="BH30" s="223" t="str">
        <f>Insulation!I88</f>
        <v>natural gas</v>
      </c>
      <c r="BI30" s="222" t="str">
        <f>Insulation!J88</f>
        <v>diesel</v>
      </c>
      <c r="BK30" s="221" t="str">
        <f>'Paper and cardboard'!H88</f>
        <v>electricity</v>
      </c>
      <c r="BL30" s="222" t="str">
        <f>'Paper and cardboard'!I88</f>
        <v>natural gas</v>
      </c>
    </row>
    <row r="31" spans="2:64">
      <c r="E31" s="213" t="str">
        <f>Copper!H89</f>
        <v>MJ/kg</v>
      </c>
      <c r="F31" s="214" t="str">
        <f>Copper!I89</f>
        <v>MJ/kg</v>
      </c>
      <c r="H31" s="213" t="str">
        <f>Cement!H89</f>
        <v>MJ/kg</v>
      </c>
      <c r="I31" s="214" t="str">
        <f>Cement!I89</f>
        <v>MJ/kg</v>
      </c>
      <c r="K31" s="213" t="str">
        <f>Aggregates!H89</f>
        <v>MJ/kg</v>
      </c>
      <c r="L31" s="214" t="str">
        <f>Aggregates!I89</f>
        <v>MJ/kg</v>
      </c>
      <c r="N31" s="213" t="str">
        <f>Steel!H89</f>
        <v>MJ/kg</v>
      </c>
      <c r="O31" s="174" t="str">
        <f>Steel!I89</f>
        <v>MJ/kg</v>
      </c>
      <c r="P31" s="214" t="str">
        <f>Steel!J89</f>
        <v>MJ/kg</v>
      </c>
      <c r="R31" s="213" t="str">
        <f t="shared" ref="R31:R36" si="7">N31</f>
        <v>MJ/kg</v>
      </c>
      <c r="S31" s="174" t="str">
        <f t="shared" ref="S31:S36" si="8">O31</f>
        <v>MJ/kg</v>
      </c>
      <c r="T31" s="214" t="str">
        <f t="shared" ref="T31:T36" si="9">P31</f>
        <v>MJ/kg</v>
      </c>
      <c r="V31" s="213" t="str">
        <f t="shared" ref="V31:V36" si="10">R31</f>
        <v>MJ/kg</v>
      </c>
      <c r="W31" s="174" t="str">
        <f t="shared" ref="W31:W36" si="11">S31</f>
        <v>MJ/kg</v>
      </c>
      <c r="X31" s="214" t="str">
        <f t="shared" ref="X31:X36" si="12">T31</f>
        <v>MJ/kg</v>
      </c>
      <c r="Z31" s="213" t="str">
        <f>'Stainless steel'!H89</f>
        <v>MJ/kg</v>
      </c>
      <c r="AA31" s="174" t="str">
        <f>'Stainless steel'!I89</f>
        <v>MJ/kg</v>
      </c>
      <c r="AB31" s="214" t="str">
        <f>'Stainless steel'!J89</f>
        <v>MJ/kg</v>
      </c>
      <c r="AD31" s="213" t="str">
        <f>Aluminium!H89</f>
        <v>MJ/kg</v>
      </c>
      <c r="AE31" s="174" t="str">
        <f>Aluminium!I89</f>
        <v>MJ/kg Al</v>
      </c>
      <c r="AF31" s="174" t="str">
        <f>Aluminium!J89</f>
        <v>MJ/kg</v>
      </c>
      <c r="AG31" s="174" t="str">
        <f>Aluminium!K89</f>
        <v>MJ/kg</v>
      </c>
      <c r="AH31" s="214" t="str">
        <f>Aluminium!L89</f>
        <v>MJ/kg</v>
      </c>
      <c r="AJ31" s="213" t="str">
        <f t="shared" ref="AJ31:AJ36" si="13">AD31</f>
        <v>MJ/kg</v>
      </c>
      <c r="AK31" s="174" t="str">
        <f t="shared" ref="AK31:AK36" si="14">AE31</f>
        <v>MJ/kg Al</v>
      </c>
      <c r="AL31" s="174" t="str">
        <f t="shared" ref="AL31:AL36" si="15">AF31</f>
        <v>MJ/kg</v>
      </c>
      <c r="AM31" s="174" t="str">
        <f t="shared" ref="AM31:AM36" si="16">AG31</f>
        <v>MJ/kg</v>
      </c>
      <c r="AN31" s="214" t="str">
        <f t="shared" ref="AN31:AN36" si="17">AH31</f>
        <v>MJ/kg</v>
      </c>
      <c r="AP31" s="213" t="str">
        <f>Wood!H89</f>
        <v>MJ/kg</v>
      </c>
      <c r="AQ31" s="214" t="str">
        <f>Wood!I89</f>
        <v>MJ/kg</v>
      </c>
      <c r="AS31" s="213" t="str">
        <f>Zinc!H89</f>
        <v>MJ/kg</v>
      </c>
      <c r="AT31" s="174" t="str">
        <f>Zinc!I89</f>
        <v>MJ/kg</v>
      </c>
      <c r="AU31" s="174" t="str">
        <f>Zinc!J89</f>
        <v>MJ/kg</v>
      </c>
      <c r="AV31" s="174" t="str">
        <f>Zinc!K89</f>
        <v>MJ/kg</v>
      </c>
      <c r="AW31" s="214" t="str">
        <f>Zinc!L89</f>
        <v>MJ/kg</v>
      </c>
      <c r="AY31" s="213" t="str">
        <f>Plastics!H89</f>
        <v>MJ/kg</v>
      </c>
      <c r="AZ31" s="174" t="str">
        <f>Plastics!I89</f>
        <v>MJ/kg</v>
      </c>
      <c r="BA31" s="214" t="str">
        <f>Plastics!J89</f>
        <v>MJ/kg</v>
      </c>
      <c r="BC31" s="213" t="str">
        <f>Glass!H89</f>
        <v>MJ/kg</v>
      </c>
      <c r="BD31" s="174" t="str">
        <f>Glass!I89</f>
        <v>MJ/kg</v>
      </c>
      <c r="BE31" s="214" t="str">
        <f>Glass!J89</f>
        <v>MJ/kg</v>
      </c>
      <c r="BG31" s="213" t="str">
        <f>Insulation!H89</f>
        <v>MJ/kg</v>
      </c>
      <c r="BH31" s="174" t="str">
        <f>Insulation!I89</f>
        <v>MJ/kg</v>
      </c>
      <c r="BI31" s="214" t="str">
        <f>Insulation!J89</f>
        <v>MJ/kg</v>
      </c>
      <c r="BK31" s="213" t="str">
        <f>'Paper and cardboard'!H89</f>
        <v>MJ/kg</v>
      </c>
      <c r="BL31" s="214" t="str">
        <f>'Paper and cardboard'!I89</f>
        <v>MJ/kg</v>
      </c>
    </row>
    <row r="32" spans="2:64">
      <c r="B32" s="226" t="s">
        <v>220</v>
      </c>
      <c r="C32" s="224">
        <v>2015</v>
      </c>
      <c r="E32" s="213">
        <f>Copper!H90</f>
        <v>20.6075141784046</v>
      </c>
      <c r="F32" s="214">
        <f>Copper!I90</f>
        <v>6.1</v>
      </c>
      <c r="H32" s="213">
        <f>Cement!H90</f>
        <v>0.3276</v>
      </c>
      <c r="I32" s="214">
        <f>Cement!I90</f>
        <v>4.0500000000000007</v>
      </c>
      <c r="K32" s="213">
        <f>Aggregates!H90</f>
        <v>1.4579999999999999E-2</v>
      </c>
      <c r="L32" s="214">
        <f>Aggregates!I90</f>
        <v>9.8332000000000003E-2</v>
      </c>
      <c r="N32" s="213">
        <f>Steel!H90</f>
        <v>0.33755760000000001</v>
      </c>
      <c r="O32" s="174">
        <f>Steel!I90</f>
        <v>2.6592000000000001E-2</v>
      </c>
      <c r="P32" s="214">
        <f>Steel!J90</f>
        <v>16.849185368000001</v>
      </c>
      <c r="R32" s="213">
        <f t="shared" si="7"/>
        <v>0.33755760000000001</v>
      </c>
      <c r="S32" s="174">
        <f t="shared" si="8"/>
        <v>2.6592000000000001E-2</v>
      </c>
      <c r="T32" s="214">
        <f t="shared" si="9"/>
        <v>16.849185368000001</v>
      </c>
      <c r="V32" s="213">
        <f t="shared" si="10"/>
        <v>0.33755760000000001</v>
      </c>
      <c r="W32" s="174">
        <f t="shared" si="11"/>
        <v>2.6592000000000001E-2</v>
      </c>
      <c r="X32" s="214">
        <f t="shared" si="12"/>
        <v>16.849185368000001</v>
      </c>
      <c r="Z32" s="213">
        <f>'Stainless steel'!H90</f>
        <v>0.33755760000000001</v>
      </c>
      <c r="AA32" s="174">
        <f>'Stainless steel'!I90</f>
        <v>2.6592000000000001E-2</v>
      </c>
      <c r="AB32" s="214">
        <f>'Stainless steel'!J90</f>
        <v>16.849185368000001</v>
      </c>
      <c r="AD32" s="213">
        <f>Aluminium!H90</f>
        <v>53.08798520574571</v>
      </c>
      <c r="AE32" s="174">
        <f>Aluminium!I90</f>
        <v>19.073443062591178</v>
      </c>
      <c r="AF32" s="174">
        <f>Aluminium!J90</f>
        <v>5.8621200820087758</v>
      </c>
      <c r="AG32" s="174">
        <f>Aluminium!K90</f>
        <v>0.54593913222791868</v>
      </c>
      <c r="AH32" s="214">
        <f>Aluminium!L90</f>
        <v>2.661389774978812</v>
      </c>
      <c r="AJ32" s="213">
        <f t="shared" si="13"/>
        <v>53.08798520574571</v>
      </c>
      <c r="AK32" s="174">
        <f t="shared" si="14"/>
        <v>19.073443062591178</v>
      </c>
      <c r="AL32" s="174">
        <f t="shared" si="15"/>
        <v>5.8621200820087758</v>
      </c>
      <c r="AM32" s="174">
        <f t="shared" si="16"/>
        <v>0.54593913222791868</v>
      </c>
      <c r="AN32" s="214">
        <f t="shared" si="17"/>
        <v>2.661389774978812</v>
      </c>
      <c r="AP32" s="213">
        <f>Wood!H90</f>
        <v>0.5206153846153847</v>
      </c>
      <c r="AQ32" s="214">
        <f>Wood!I90</f>
        <v>0.10969230769230769</v>
      </c>
      <c r="AS32" s="213">
        <f>Zinc!H90</f>
        <v>19.234000000000002</v>
      </c>
      <c r="AT32" s="174">
        <f>Zinc!I90</f>
        <v>0.65407999999999999</v>
      </c>
      <c r="AU32" s="174">
        <f>Zinc!J90</f>
        <v>1.7903600000000002</v>
      </c>
      <c r="AV32" s="174">
        <f>Zinc!K90</f>
        <v>4.6561199999999997E-3</v>
      </c>
      <c r="AW32" s="214">
        <f>Zinc!L90</f>
        <v>0.174398</v>
      </c>
      <c r="AY32" s="213">
        <f>Plastics!H90</f>
        <v>3.94</v>
      </c>
      <c r="AZ32" s="174">
        <f>Plastics!I90</f>
        <v>5.67</v>
      </c>
      <c r="BA32" s="214">
        <f>Plastics!J90</f>
        <v>7.03</v>
      </c>
      <c r="BC32" s="213">
        <f>Glass!H90</f>
        <v>1.3548387096774193</v>
      </c>
      <c r="BD32" s="174">
        <f>Glass!I90</f>
        <v>6.8631999999999991</v>
      </c>
      <c r="BE32" s="214">
        <f>Glass!J90</f>
        <v>2.3367999999999998</v>
      </c>
      <c r="BG32" s="213">
        <f>Insulation!H90</f>
        <v>2.0299999999999998</v>
      </c>
      <c r="BH32" s="174">
        <f>Insulation!I90</f>
        <v>18.8</v>
      </c>
      <c r="BI32" s="214">
        <f>Insulation!J90</f>
        <v>15.71</v>
      </c>
      <c r="BK32" s="213">
        <f>'Paper and cardboard'!H90</f>
        <v>2.1240000000000001</v>
      </c>
      <c r="BL32" s="214">
        <f>'Paper and cardboard'!I90</f>
        <v>14.436</v>
      </c>
    </row>
    <row r="33" spans="2:64">
      <c r="B33" s="226"/>
      <c r="C33" s="224">
        <v>2020</v>
      </c>
      <c r="E33" s="213">
        <f>Copper!H91</f>
        <v>19.8033168553353</v>
      </c>
      <c r="F33" s="214">
        <f>Copper!I91</f>
        <v>5.2419069</v>
      </c>
      <c r="H33" s="213">
        <f>Cement!H91</f>
        <v>0.3276</v>
      </c>
      <c r="I33" s="214">
        <f>Cement!I91</f>
        <v>3.2399999999999998</v>
      </c>
      <c r="K33" s="213">
        <f>Aggregates!H91</f>
        <v>1.4579999999999999E-2</v>
      </c>
      <c r="L33" s="214">
        <f>Aggregates!I91</f>
        <v>9.8332000000000003E-2</v>
      </c>
      <c r="N33" s="213">
        <f>Steel!H91</f>
        <v>0.33755760000000001</v>
      </c>
      <c r="O33" s="174">
        <f>Steel!I91</f>
        <v>2.6592000000000001E-2</v>
      </c>
      <c r="P33" s="214">
        <f>Steel!J91</f>
        <v>16.849185368000001</v>
      </c>
      <c r="R33" s="213">
        <f t="shared" si="7"/>
        <v>0.33755760000000001</v>
      </c>
      <c r="S33" s="174">
        <f t="shared" si="8"/>
        <v>2.6592000000000001E-2</v>
      </c>
      <c r="T33" s="214">
        <f t="shared" si="9"/>
        <v>16.849185368000001</v>
      </c>
      <c r="V33" s="213">
        <f t="shared" si="10"/>
        <v>0.33755760000000001</v>
      </c>
      <c r="W33" s="174">
        <f t="shared" si="11"/>
        <v>2.6592000000000001E-2</v>
      </c>
      <c r="X33" s="214">
        <f t="shared" si="12"/>
        <v>16.849185368000001</v>
      </c>
      <c r="Z33" s="213">
        <f>'Stainless steel'!H91</f>
        <v>0.33755760000000001</v>
      </c>
      <c r="AA33" s="174">
        <f>'Stainless steel'!I91</f>
        <v>2.6592000000000001E-2</v>
      </c>
      <c r="AB33" s="214">
        <f>'Stainless steel'!J91</f>
        <v>16.849185368000001</v>
      </c>
      <c r="AD33" s="213">
        <f>Aluminium!H91</f>
        <v>50</v>
      </c>
      <c r="AE33" s="174">
        <f>Aluminium!I91</f>
        <v>19.073443062591178</v>
      </c>
      <c r="AF33" s="174">
        <f>Aluminium!J91</f>
        <v>5.8621200820087758</v>
      </c>
      <c r="AG33" s="174">
        <f>Aluminium!K91</f>
        <v>0.54593913222791868</v>
      </c>
      <c r="AH33" s="214">
        <f>Aluminium!L91</f>
        <v>2.661389774978812</v>
      </c>
      <c r="AJ33" s="213">
        <f t="shared" si="13"/>
        <v>50</v>
      </c>
      <c r="AK33" s="174">
        <f t="shared" si="14"/>
        <v>19.073443062591178</v>
      </c>
      <c r="AL33" s="174">
        <f t="shared" si="15"/>
        <v>5.8621200820087758</v>
      </c>
      <c r="AM33" s="174">
        <f t="shared" si="16"/>
        <v>0.54593913222791868</v>
      </c>
      <c r="AN33" s="214">
        <f t="shared" si="17"/>
        <v>2.661389774978812</v>
      </c>
      <c r="AP33" s="213">
        <f>Wood!H91</f>
        <v>0.5206153846153847</v>
      </c>
      <c r="AQ33" s="214">
        <f>Wood!I91</f>
        <v>0.10969230769230769</v>
      </c>
      <c r="AS33" s="213">
        <f>Zinc!H91</f>
        <v>19.234000000000002</v>
      </c>
      <c r="AT33" s="174">
        <f>Zinc!I91</f>
        <v>0.65407999999999999</v>
      </c>
      <c r="AU33" s="174">
        <f>Zinc!J91</f>
        <v>1.7903600000000002</v>
      </c>
      <c r="AV33" s="174">
        <f>Zinc!K91</f>
        <v>4.6561199999999997E-3</v>
      </c>
      <c r="AW33" s="214">
        <f>Zinc!L91</f>
        <v>0.174398</v>
      </c>
      <c r="AY33" s="213">
        <f>Plastics!H91</f>
        <v>3.94</v>
      </c>
      <c r="AZ33" s="174">
        <f>Plastics!I91</f>
        <v>5.67</v>
      </c>
      <c r="BA33" s="214">
        <f>Plastics!J91</f>
        <v>7.03</v>
      </c>
      <c r="BC33" s="213">
        <f>Glass!H91</f>
        <v>1.3548387096774193</v>
      </c>
      <c r="BD33" s="174">
        <f>Glass!I91</f>
        <v>6.8631999999999991</v>
      </c>
      <c r="BE33" s="214">
        <f>Glass!J91</f>
        <v>2.3367999999999998</v>
      </c>
      <c r="BG33" s="213">
        <f>Insulation!H91</f>
        <v>2.0299999999999998</v>
      </c>
      <c r="BH33" s="174">
        <f>Insulation!I91</f>
        <v>18.8</v>
      </c>
      <c r="BI33" s="214">
        <f>Insulation!J91</f>
        <v>15.71</v>
      </c>
      <c r="BK33" s="213">
        <f>'Paper and cardboard'!H91</f>
        <v>2.1240000000000001</v>
      </c>
      <c r="BL33" s="214">
        <f>'Paper and cardboard'!I91</f>
        <v>14.436</v>
      </c>
    </row>
    <row r="34" spans="2:64">
      <c r="B34" s="226"/>
      <c r="C34" s="224">
        <v>2030</v>
      </c>
      <c r="E34" s="213">
        <f>Copper!H92</f>
        <v>19.907570079923435</v>
      </c>
      <c r="F34" s="214">
        <f>Copper!I92</f>
        <v>4.5045226144701012</v>
      </c>
      <c r="H34" s="213">
        <f>Cement!H92</f>
        <v>0.3276</v>
      </c>
      <c r="I34" s="214">
        <f>Cement!I92</f>
        <v>2.64</v>
      </c>
      <c r="K34" s="213">
        <f>Aggregates!H92</f>
        <v>1.4579999999999999E-2</v>
      </c>
      <c r="L34" s="214">
        <f>Aggregates!I92</f>
        <v>9.8332000000000003E-2</v>
      </c>
      <c r="N34" s="213">
        <f>Steel!H92</f>
        <v>0.33755760000000001</v>
      </c>
      <c r="O34" s="174">
        <f>Steel!I92</f>
        <v>2.6592000000000001E-2</v>
      </c>
      <c r="P34" s="214">
        <f>Steel!J92</f>
        <v>16.849185368000001</v>
      </c>
      <c r="R34" s="213">
        <f t="shared" si="7"/>
        <v>0.33755760000000001</v>
      </c>
      <c r="S34" s="174">
        <f t="shared" si="8"/>
        <v>2.6592000000000001E-2</v>
      </c>
      <c r="T34" s="214">
        <f t="shared" si="9"/>
        <v>16.849185368000001</v>
      </c>
      <c r="V34" s="213">
        <f t="shared" si="10"/>
        <v>0.33755760000000001</v>
      </c>
      <c r="W34" s="174">
        <f t="shared" si="11"/>
        <v>2.6592000000000001E-2</v>
      </c>
      <c r="X34" s="214">
        <f t="shared" si="12"/>
        <v>16.849185368000001</v>
      </c>
      <c r="Z34" s="213">
        <f>'Stainless steel'!H92</f>
        <v>0.33755760000000001</v>
      </c>
      <c r="AA34" s="174">
        <f>'Stainless steel'!I92</f>
        <v>2.6592000000000001E-2</v>
      </c>
      <c r="AB34" s="214">
        <f>'Stainless steel'!J92</f>
        <v>16.849185368000001</v>
      </c>
      <c r="AD34" s="213">
        <f>Aluminium!H92</f>
        <v>45</v>
      </c>
      <c r="AE34" s="174">
        <f>Aluminium!I92</f>
        <v>19.073443062591178</v>
      </c>
      <c r="AF34" s="174">
        <f>Aluminium!J92</f>
        <v>5.8621200820087758</v>
      </c>
      <c r="AG34" s="174">
        <f>Aluminium!K92</f>
        <v>0.54593913222791868</v>
      </c>
      <c r="AH34" s="214">
        <f>Aluminium!L92</f>
        <v>2.661389774978812</v>
      </c>
      <c r="AJ34" s="213">
        <f t="shared" si="13"/>
        <v>45</v>
      </c>
      <c r="AK34" s="174">
        <f t="shared" si="14"/>
        <v>19.073443062591178</v>
      </c>
      <c r="AL34" s="174">
        <f t="shared" si="15"/>
        <v>5.8621200820087758</v>
      </c>
      <c r="AM34" s="174">
        <f t="shared" si="16"/>
        <v>0.54593913222791868</v>
      </c>
      <c r="AN34" s="214">
        <f t="shared" si="17"/>
        <v>2.661389774978812</v>
      </c>
      <c r="AP34" s="213">
        <f>Wood!H92</f>
        <v>0.5206153846153847</v>
      </c>
      <c r="AQ34" s="214">
        <f>Wood!I92</f>
        <v>0.10969230769230769</v>
      </c>
      <c r="AS34" s="213">
        <f>Zinc!H92</f>
        <v>19.234000000000002</v>
      </c>
      <c r="AT34" s="174">
        <f>Zinc!I92</f>
        <v>0.65407999999999999</v>
      </c>
      <c r="AU34" s="174">
        <f>Zinc!J92</f>
        <v>1.7903600000000002</v>
      </c>
      <c r="AV34" s="174">
        <f>Zinc!K92</f>
        <v>4.6561199999999997E-3</v>
      </c>
      <c r="AW34" s="214">
        <f>Zinc!L92</f>
        <v>0.174398</v>
      </c>
      <c r="AY34" s="213">
        <f>Plastics!H92</f>
        <v>3.94</v>
      </c>
      <c r="AZ34" s="174">
        <f>Plastics!I92</f>
        <v>5.67</v>
      </c>
      <c r="BA34" s="214">
        <f>Plastics!J92</f>
        <v>7.03</v>
      </c>
      <c r="BC34" s="213">
        <f>Glass!H92</f>
        <v>1.3548387096774193</v>
      </c>
      <c r="BD34" s="174">
        <f>Glass!I92</f>
        <v>6.8631999999999991</v>
      </c>
      <c r="BE34" s="214">
        <f>Glass!J92</f>
        <v>2.3367999999999998</v>
      </c>
      <c r="BG34" s="213">
        <f>Insulation!H92</f>
        <v>2.0299999999999998</v>
      </c>
      <c r="BH34" s="174">
        <f>Insulation!I92</f>
        <v>18.8</v>
      </c>
      <c r="BI34" s="214">
        <f>Insulation!J92</f>
        <v>15.71</v>
      </c>
      <c r="BK34" s="213">
        <f>'Paper and cardboard'!H92</f>
        <v>2.1240000000000001</v>
      </c>
      <c r="BL34" s="214">
        <f>'Paper and cardboard'!I92</f>
        <v>14.436</v>
      </c>
    </row>
    <row r="35" spans="2:64">
      <c r="B35" s="226"/>
      <c r="C35" s="224">
        <v>2040</v>
      </c>
      <c r="E35" s="213">
        <f>Copper!H93</f>
        <v>21.675619689376184</v>
      </c>
      <c r="F35" s="214">
        <f>Copper!I93</f>
        <v>3.8708669137699787</v>
      </c>
      <c r="H35" s="213">
        <f>Cement!H93</f>
        <v>0.3276</v>
      </c>
      <c r="I35" s="214">
        <f>Cement!I93</f>
        <v>2.2050000000000001</v>
      </c>
      <c r="K35" s="213">
        <f>Aggregates!H93</f>
        <v>1.4579999999999999E-2</v>
      </c>
      <c r="L35" s="214">
        <f>Aggregates!I93</f>
        <v>9.8332000000000003E-2</v>
      </c>
      <c r="N35" s="213">
        <f>Steel!H93</f>
        <v>0.33755760000000001</v>
      </c>
      <c r="O35" s="174">
        <f>Steel!I93</f>
        <v>2.6592000000000001E-2</v>
      </c>
      <c r="P35" s="214">
        <f>Steel!J93</f>
        <v>16.849185368000001</v>
      </c>
      <c r="R35" s="213">
        <f t="shared" si="7"/>
        <v>0.33755760000000001</v>
      </c>
      <c r="S35" s="174">
        <f t="shared" si="8"/>
        <v>2.6592000000000001E-2</v>
      </c>
      <c r="T35" s="214">
        <f t="shared" si="9"/>
        <v>16.849185368000001</v>
      </c>
      <c r="V35" s="213">
        <f t="shared" si="10"/>
        <v>0.33755760000000001</v>
      </c>
      <c r="W35" s="174">
        <f t="shared" si="11"/>
        <v>2.6592000000000001E-2</v>
      </c>
      <c r="X35" s="214">
        <f t="shared" si="12"/>
        <v>16.849185368000001</v>
      </c>
      <c r="Z35" s="213">
        <f>'Stainless steel'!H93</f>
        <v>0.33755760000000001</v>
      </c>
      <c r="AA35" s="174">
        <f>'Stainless steel'!I93</f>
        <v>2.6592000000000001E-2</v>
      </c>
      <c r="AB35" s="214">
        <f>'Stainless steel'!J93</f>
        <v>16.849185368000001</v>
      </c>
      <c r="AD35" s="213">
        <f>Aluminium!H93</f>
        <v>40</v>
      </c>
      <c r="AE35" s="174">
        <f>Aluminium!I93</f>
        <v>19.073443062591178</v>
      </c>
      <c r="AF35" s="174">
        <f>Aluminium!J93</f>
        <v>5.8621200820087758</v>
      </c>
      <c r="AG35" s="174">
        <f>Aluminium!K93</f>
        <v>0.54593913222791868</v>
      </c>
      <c r="AH35" s="214">
        <f>Aluminium!L93</f>
        <v>2.661389774978812</v>
      </c>
      <c r="AJ35" s="213">
        <f t="shared" si="13"/>
        <v>40</v>
      </c>
      <c r="AK35" s="174">
        <f t="shared" si="14"/>
        <v>19.073443062591178</v>
      </c>
      <c r="AL35" s="174">
        <f t="shared" si="15"/>
        <v>5.8621200820087758</v>
      </c>
      <c r="AM35" s="174">
        <f t="shared" si="16"/>
        <v>0.54593913222791868</v>
      </c>
      <c r="AN35" s="214">
        <f t="shared" si="17"/>
        <v>2.661389774978812</v>
      </c>
      <c r="AP35" s="213">
        <f>Wood!H93</f>
        <v>0.5206153846153847</v>
      </c>
      <c r="AQ35" s="214">
        <f>Wood!I93</f>
        <v>0.10969230769230769</v>
      </c>
      <c r="AS35" s="213">
        <f>Zinc!H93</f>
        <v>19.234000000000002</v>
      </c>
      <c r="AT35" s="174">
        <f>Zinc!I93</f>
        <v>0.65407999999999999</v>
      </c>
      <c r="AU35" s="174">
        <f>Zinc!J93</f>
        <v>1.7903600000000002</v>
      </c>
      <c r="AV35" s="174">
        <f>Zinc!K93</f>
        <v>4.6561199999999997E-3</v>
      </c>
      <c r="AW35" s="214">
        <f>Zinc!L93</f>
        <v>0.174398</v>
      </c>
      <c r="AY35" s="213">
        <f>Plastics!H93</f>
        <v>3.94</v>
      </c>
      <c r="AZ35" s="174">
        <f>Plastics!I93</f>
        <v>5.67</v>
      </c>
      <c r="BA35" s="214">
        <f>Plastics!J93</f>
        <v>7.03</v>
      </c>
      <c r="BC35" s="213">
        <f>Glass!H93</f>
        <v>1.3548387096774193</v>
      </c>
      <c r="BD35" s="174">
        <f>Glass!I93</f>
        <v>6.8631999999999991</v>
      </c>
      <c r="BE35" s="214">
        <f>Glass!J93</f>
        <v>2.3367999999999998</v>
      </c>
      <c r="BG35" s="213">
        <f>Insulation!H93</f>
        <v>2.0299999999999998</v>
      </c>
      <c r="BH35" s="174">
        <f>Insulation!I93</f>
        <v>18.8</v>
      </c>
      <c r="BI35" s="214">
        <f>Insulation!J93</f>
        <v>15.71</v>
      </c>
      <c r="BK35" s="213">
        <f>'Paper and cardboard'!H93</f>
        <v>2.1240000000000001</v>
      </c>
      <c r="BL35" s="214">
        <f>'Paper and cardboard'!I93</f>
        <v>14.436</v>
      </c>
    </row>
    <row r="36" spans="2:64" ht="15" thickBot="1">
      <c r="B36" s="226"/>
      <c r="C36" s="224">
        <v>2050</v>
      </c>
      <c r="E36" s="215">
        <f>Copper!H94</f>
        <v>22.597543601977588</v>
      </c>
      <c r="F36" s="216">
        <f>Copper!I94</f>
        <v>3.3263481941430424</v>
      </c>
      <c r="H36" s="215">
        <f>Cement!H94</f>
        <v>0.3276</v>
      </c>
      <c r="I36" s="216">
        <f>Cement!I94</f>
        <v>1.92</v>
      </c>
      <c r="K36" s="215">
        <f>Aggregates!H94</f>
        <v>1.4579999999999999E-2</v>
      </c>
      <c r="L36" s="216">
        <f>Aggregates!I94</f>
        <v>9.8332000000000003E-2</v>
      </c>
      <c r="N36" s="215">
        <f>Steel!H94</f>
        <v>0.33755760000000001</v>
      </c>
      <c r="O36" s="217">
        <f>Steel!I94</f>
        <v>2.6592000000000001E-2</v>
      </c>
      <c r="P36" s="216">
        <f>Steel!J94</f>
        <v>16.849185368000001</v>
      </c>
      <c r="R36" s="215">
        <f t="shared" si="7"/>
        <v>0.33755760000000001</v>
      </c>
      <c r="S36" s="217">
        <f t="shared" si="8"/>
        <v>2.6592000000000001E-2</v>
      </c>
      <c r="T36" s="216">
        <f t="shared" si="9"/>
        <v>16.849185368000001</v>
      </c>
      <c r="V36" s="215">
        <f t="shared" si="10"/>
        <v>0.33755760000000001</v>
      </c>
      <c r="W36" s="217">
        <f t="shared" si="11"/>
        <v>2.6592000000000001E-2</v>
      </c>
      <c r="X36" s="216">
        <f t="shared" si="12"/>
        <v>16.849185368000001</v>
      </c>
      <c r="Z36" s="215">
        <f>'Stainless steel'!H94</f>
        <v>0.33755760000000001</v>
      </c>
      <c r="AA36" s="217">
        <f>'Stainless steel'!I94</f>
        <v>2.6592000000000001E-2</v>
      </c>
      <c r="AB36" s="216">
        <f>'Stainless steel'!J94</f>
        <v>16.849185368000001</v>
      </c>
      <c r="AD36" s="215">
        <f>Aluminium!H94</f>
        <v>40</v>
      </c>
      <c r="AE36" s="217">
        <f>Aluminium!I94</f>
        <v>19.073443062591178</v>
      </c>
      <c r="AF36" s="217">
        <f>Aluminium!J94</f>
        <v>5.8621200820087758</v>
      </c>
      <c r="AG36" s="217">
        <f>Aluminium!K94</f>
        <v>0.54593913222791868</v>
      </c>
      <c r="AH36" s="216">
        <f>Aluminium!L94</f>
        <v>2.661389774978812</v>
      </c>
      <c r="AJ36" s="215">
        <f t="shared" si="13"/>
        <v>40</v>
      </c>
      <c r="AK36" s="217">
        <f t="shared" si="14"/>
        <v>19.073443062591178</v>
      </c>
      <c r="AL36" s="217">
        <f t="shared" si="15"/>
        <v>5.8621200820087758</v>
      </c>
      <c r="AM36" s="217">
        <f t="shared" si="16"/>
        <v>0.54593913222791868</v>
      </c>
      <c r="AN36" s="216">
        <f t="shared" si="17"/>
        <v>2.661389774978812</v>
      </c>
      <c r="AP36" s="215">
        <f>Wood!H94</f>
        <v>0.5206153846153847</v>
      </c>
      <c r="AQ36" s="216">
        <f>Wood!I94</f>
        <v>0.10969230769230769</v>
      </c>
      <c r="AS36" s="215">
        <f>Zinc!H94</f>
        <v>19.234000000000002</v>
      </c>
      <c r="AT36" s="217">
        <f>Zinc!I94</f>
        <v>0.65407999999999999</v>
      </c>
      <c r="AU36" s="217">
        <f>Zinc!J94</f>
        <v>1.7903600000000002</v>
      </c>
      <c r="AV36" s="217">
        <f>Zinc!K94</f>
        <v>4.6561199999999997E-3</v>
      </c>
      <c r="AW36" s="216">
        <f>Zinc!L94</f>
        <v>0.174398</v>
      </c>
      <c r="AY36" s="215">
        <f>Plastics!H94</f>
        <v>3.94</v>
      </c>
      <c r="AZ36" s="217">
        <f>Plastics!I94</f>
        <v>5.67</v>
      </c>
      <c r="BA36" s="216">
        <f>Plastics!J94</f>
        <v>7.03</v>
      </c>
      <c r="BC36" s="215">
        <f>Glass!H94</f>
        <v>1.3548387096774193</v>
      </c>
      <c r="BD36" s="217">
        <f>Glass!I94</f>
        <v>6.8631999999999991</v>
      </c>
      <c r="BE36" s="216">
        <f>Glass!J94</f>
        <v>2.3367999999999998</v>
      </c>
      <c r="BG36" s="215">
        <f>Insulation!H94</f>
        <v>2.0299999999999998</v>
      </c>
      <c r="BH36" s="217">
        <f>Insulation!I94</f>
        <v>18.8</v>
      </c>
      <c r="BI36" s="216">
        <f>Insulation!J94</f>
        <v>15.71</v>
      </c>
      <c r="BK36" s="215">
        <f>'Paper and cardboard'!H94</f>
        <v>2.1240000000000001</v>
      </c>
      <c r="BL36" s="216">
        <f>'Paper and cardboard'!I94</f>
        <v>14.436</v>
      </c>
    </row>
    <row r="38" spans="2:64">
      <c r="B38" s="226" t="s">
        <v>221</v>
      </c>
      <c r="C38" s="224">
        <v>2010</v>
      </c>
    </row>
    <row r="39" spans="2:64">
      <c r="B39" s="226"/>
      <c r="C39" s="224">
        <v>2020</v>
      </c>
    </row>
    <row r="40" spans="2:64">
      <c r="B40" s="226"/>
      <c r="C40" s="224">
        <v>2030</v>
      </c>
      <c r="E40" t="s">
        <v>769</v>
      </c>
    </row>
    <row r="41" spans="2:64">
      <c r="B41" s="226"/>
      <c r="C41" s="224">
        <v>2040</v>
      </c>
    </row>
    <row r="42" spans="2:64">
      <c r="B42" s="226"/>
      <c r="C42" s="224">
        <v>2050</v>
      </c>
    </row>
  </sheetData>
  <mergeCells count="2">
    <mergeCell ref="B32:B36"/>
    <mergeCell ref="B38:B4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P100"/>
  <sheetViews>
    <sheetView topLeftCell="A76" workbookViewId="0">
      <selection activeCell="I89" sqref="I89"/>
    </sheetView>
  </sheetViews>
  <sheetFormatPr defaultColWidth="9.109375" defaultRowHeight="14.4"/>
  <cols>
    <col min="5" max="5" width="22.33203125" customWidth="1"/>
    <col min="6" max="6" width="22.88671875" customWidth="1"/>
    <col min="8" max="8" width="12.44140625" customWidth="1"/>
    <col min="9" max="9" width="11.6640625" customWidth="1"/>
    <col min="11" max="11" width="12.6640625" customWidth="1"/>
    <col min="12" max="12" width="13.33203125" customWidth="1"/>
    <col min="13" max="13" width="13.5546875" customWidth="1"/>
    <col min="14" max="14" width="12.88671875" customWidth="1"/>
    <col min="15" max="15" width="15.44140625" customWidth="1"/>
    <col min="16" max="16" width="16.44140625" customWidth="1"/>
  </cols>
  <sheetData>
    <row r="2" spans="2:16">
      <c r="B2" s="7" t="s">
        <v>206</v>
      </c>
      <c r="C2" s="8"/>
      <c r="D2" s="4" t="s">
        <v>234</v>
      </c>
      <c r="E2" s="4"/>
      <c r="F2" s="4"/>
      <c r="G2" s="4"/>
      <c r="H2" s="4"/>
      <c r="I2" s="4"/>
      <c r="J2" s="4"/>
      <c r="K2" s="4"/>
      <c r="L2" s="4"/>
    </row>
    <row r="3" spans="2:16">
      <c r="D3" s="4" t="s">
        <v>235</v>
      </c>
      <c r="E3" s="4"/>
      <c r="F3" s="4"/>
      <c r="G3" s="4"/>
      <c r="H3" s="4"/>
      <c r="I3" s="4"/>
      <c r="J3" s="4"/>
      <c r="K3" s="4"/>
      <c r="L3" s="4"/>
    </row>
    <row r="5" spans="2:16">
      <c r="B5" s="7" t="s">
        <v>207</v>
      </c>
      <c r="C5" s="8"/>
      <c r="D5">
        <v>1</v>
      </c>
      <c r="E5" t="s">
        <v>236</v>
      </c>
    </row>
    <row r="7" spans="2:16">
      <c r="B7" s="7" t="s">
        <v>208</v>
      </c>
      <c r="C7" s="8"/>
      <c r="D7" t="s">
        <v>237</v>
      </c>
    </row>
    <row r="8" spans="2:16">
      <c r="D8" t="s">
        <v>160</v>
      </c>
    </row>
    <row r="9" spans="2:16" ht="15" thickBot="1"/>
    <row r="10" spans="2:16"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6" ht="15" thickBot="1">
      <c r="E11" s="72" t="s">
        <v>238</v>
      </c>
      <c r="F11" s="73" t="s">
        <v>78</v>
      </c>
      <c r="G11" s="73" t="s">
        <v>39</v>
      </c>
      <c r="H11" s="73" t="s">
        <v>40</v>
      </c>
      <c r="I11" s="73" t="s">
        <v>79</v>
      </c>
      <c r="J11" s="73" t="s">
        <v>80</v>
      </c>
      <c r="K11" s="73">
        <v>6.65</v>
      </c>
      <c r="L11" s="73">
        <v>0.23300000000000001</v>
      </c>
      <c r="M11" s="73">
        <v>0.21</v>
      </c>
      <c r="N11" s="73">
        <v>172</v>
      </c>
      <c r="O11" s="73">
        <v>3.03</v>
      </c>
      <c r="P11" s="75">
        <v>166</v>
      </c>
    </row>
    <row r="12" spans="2:16">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6">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16">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16">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16">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c r="D45" t="s">
        <v>239</v>
      </c>
    </row>
    <row r="47" spans="2:16">
      <c r="E47" s="7"/>
      <c r="F47" s="7" t="s">
        <v>240</v>
      </c>
      <c r="H47" s="44" t="s">
        <v>724</v>
      </c>
      <c r="I47" s="44" t="s">
        <v>725</v>
      </c>
      <c r="J47" s="44" t="s">
        <v>726</v>
      </c>
      <c r="K47" s="44" t="s">
        <v>727</v>
      </c>
      <c r="L47" s="44" t="s">
        <v>728</v>
      </c>
      <c r="M47" s="44" t="s">
        <v>729</v>
      </c>
    </row>
    <row r="48" spans="2:16">
      <c r="E48" s="7" t="s">
        <v>212</v>
      </c>
      <c r="F48" s="7" t="s">
        <v>241</v>
      </c>
      <c r="H48" s="44" t="s">
        <v>213</v>
      </c>
      <c r="I48" s="44" t="s">
        <v>213</v>
      </c>
      <c r="J48" s="44" t="s">
        <v>213</v>
      </c>
      <c r="K48" s="44" t="s">
        <v>213</v>
      </c>
      <c r="L48" s="44" t="s">
        <v>213</v>
      </c>
      <c r="M48" s="44" t="s">
        <v>213</v>
      </c>
    </row>
    <row r="49" spans="2:13">
      <c r="E49" s="7">
        <v>2010</v>
      </c>
      <c r="F49" s="7">
        <v>1.1521990639345807</v>
      </c>
      <c r="H49" s="44">
        <v>0</v>
      </c>
      <c r="I49" s="44">
        <v>0</v>
      </c>
      <c r="J49" s="44">
        <f>F$49/F49*P$11</f>
        <v>166</v>
      </c>
      <c r="K49" s="44">
        <v>0</v>
      </c>
      <c r="L49" s="44">
        <v>0</v>
      </c>
      <c r="M49" s="44">
        <v>0</v>
      </c>
    </row>
    <row r="50" spans="2:13">
      <c r="E50" s="7">
        <v>2020</v>
      </c>
      <c r="F50" s="7">
        <v>1.1733340081814383</v>
      </c>
      <c r="H50" s="44">
        <v>0</v>
      </c>
      <c r="I50" s="44">
        <v>0</v>
      </c>
      <c r="J50" s="44">
        <f t="shared" ref="J50:J53" si="0">F$49/F50*P$11</f>
        <v>163.00988744848871</v>
      </c>
      <c r="K50" s="44">
        <v>0</v>
      </c>
      <c r="L50" s="44">
        <v>0</v>
      </c>
      <c r="M50" s="44">
        <v>0</v>
      </c>
    </row>
    <row r="51" spans="2:13">
      <c r="E51" s="7">
        <v>2030</v>
      </c>
      <c r="F51" s="7">
        <v>1.091513105380393</v>
      </c>
      <c r="H51" s="44">
        <v>0</v>
      </c>
      <c r="I51" s="44">
        <v>0</v>
      </c>
      <c r="J51" s="44">
        <f t="shared" si="0"/>
        <v>175.22926996509528</v>
      </c>
      <c r="K51" s="44">
        <v>0</v>
      </c>
      <c r="L51" s="44">
        <v>0</v>
      </c>
      <c r="M51" s="44">
        <v>0</v>
      </c>
    </row>
    <row r="52" spans="2:13">
      <c r="E52" s="7">
        <v>2040</v>
      </c>
      <c r="F52" s="7">
        <v>0.86733835108267987</v>
      </c>
      <c r="H52" s="44">
        <v>0</v>
      </c>
      <c r="I52" s="44">
        <v>0</v>
      </c>
      <c r="J52" s="44">
        <f t="shared" si="0"/>
        <v>220.51952894091255</v>
      </c>
      <c r="K52" s="44">
        <v>0</v>
      </c>
      <c r="L52" s="44">
        <v>0</v>
      </c>
      <c r="M52" s="44">
        <v>0</v>
      </c>
    </row>
    <row r="53" spans="2:13">
      <c r="E53" s="7">
        <v>2050</v>
      </c>
      <c r="F53" s="7">
        <v>0.76719156972641978</v>
      </c>
      <c r="H53" s="44">
        <v>0</v>
      </c>
      <c r="I53" s="44">
        <v>0</v>
      </c>
      <c r="J53" s="44">
        <f t="shared" si="0"/>
        <v>249.30545662975084</v>
      </c>
      <c r="K53" s="44">
        <v>0</v>
      </c>
      <c r="L53" s="44">
        <v>0</v>
      </c>
      <c r="M53" s="44">
        <v>0</v>
      </c>
    </row>
    <row r="55" spans="2:13">
      <c r="B55" s="9" t="s">
        <v>214</v>
      </c>
      <c r="C55" s="10"/>
      <c r="D55" t="s">
        <v>242</v>
      </c>
    </row>
    <row r="57" spans="2:13">
      <c r="E57" s="7"/>
      <c r="H57" s="9" t="s">
        <v>243</v>
      </c>
      <c r="J57" s="1" t="s">
        <v>14</v>
      </c>
    </row>
    <row r="58" spans="2:13">
      <c r="E58" s="7" t="s">
        <v>212</v>
      </c>
      <c r="H58" s="9" t="s">
        <v>216</v>
      </c>
    </row>
    <row r="59" spans="2:13">
      <c r="E59" s="7">
        <v>2010</v>
      </c>
      <c r="H59" s="9">
        <f>F$49/F49*L$11</f>
        <v>0.23300000000000001</v>
      </c>
    </row>
    <row r="60" spans="2:13">
      <c r="E60" s="7">
        <v>2020</v>
      </c>
      <c r="H60" s="9">
        <f>F$49/F50*L$11</f>
        <v>0.22880303479215586</v>
      </c>
    </row>
    <row r="61" spans="2:13">
      <c r="E61" s="7">
        <v>2030</v>
      </c>
      <c r="H61" s="9">
        <f>F$49/F51*L$11</f>
        <v>0.24595433675823616</v>
      </c>
    </row>
    <row r="62" spans="2:13">
      <c r="E62" s="7">
        <v>2040</v>
      </c>
      <c r="H62" s="9">
        <f>F$49/F52*L$11</f>
        <v>0.30952439905561824</v>
      </c>
    </row>
    <row r="63" spans="2:13">
      <c r="E63" s="7">
        <v>2050</v>
      </c>
      <c r="H63" s="9">
        <f>F$49/F53*L$11</f>
        <v>0.34992874334175872</v>
      </c>
    </row>
    <row r="65" spans="2:13">
      <c r="B65" s="2" t="s">
        <v>217</v>
      </c>
      <c r="C65" s="4"/>
      <c r="D65" t="s">
        <v>244</v>
      </c>
    </row>
    <row r="67" spans="2:13">
      <c r="E67" s="7"/>
      <c r="H67" s="2" t="s">
        <v>245</v>
      </c>
      <c r="J67" s="1" t="s">
        <v>15</v>
      </c>
    </row>
    <row r="68" spans="2:13">
      <c r="E68" s="7" t="s">
        <v>212</v>
      </c>
      <c r="H68" s="2" t="s">
        <v>219</v>
      </c>
    </row>
    <row r="69" spans="2:13">
      <c r="E69" s="7">
        <v>2010</v>
      </c>
      <c r="H69" s="2">
        <f>F$49/F49*M$11</f>
        <v>0.21</v>
      </c>
    </row>
    <row r="70" spans="2:13">
      <c r="E70" s="7">
        <v>2020</v>
      </c>
      <c r="H70" s="2">
        <f>F$49/F50*M$11</f>
        <v>0.2062173274950761</v>
      </c>
    </row>
    <row r="71" spans="2:13">
      <c r="E71" s="7">
        <v>2030</v>
      </c>
      <c r="H71" s="2">
        <f>F$49/F51*M$11</f>
        <v>0.22167558248596389</v>
      </c>
    </row>
    <row r="72" spans="2:13">
      <c r="E72" s="7">
        <v>2040</v>
      </c>
      <c r="H72" s="2">
        <f>F$49/F52*M$11</f>
        <v>0.27897048841922673</v>
      </c>
    </row>
    <row r="73" spans="2:13">
      <c r="E73" s="7">
        <v>2050</v>
      </c>
      <c r="H73" s="2">
        <f>F$49/F53*M$11</f>
        <v>0.31538642103763659</v>
      </c>
    </row>
    <row r="75" spans="2:13">
      <c r="B75" s="3" t="s">
        <v>629</v>
      </c>
      <c r="C75" s="12"/>
      <c r="D75" t="s">
        <v>246</v>
      </c>
    </row>
    <row r="77" spans="2:13">
      <c r="H77" s="23" t="s">
        <v>220</v>
      </c>
      <c r="J77" s="3" t="s">
        <v>221</v>
      </c>
      <c r="L77" t="s">
        <v>249</v>
      </c>
    </row>
    <row r="78" spans="2:13">
      <c r="E78" s="7"/>
      <c r="H78" s="3" t="s">
        <v>247</v>
      </c>
      <c r="J78" s="3" t="s">
        <v>247</v>
      </c>
      <c r="L78" s="3">
        <f>K11-H90*H21/1000-I90/H16*K13-I90*H15/1000</f>
        <v>2.8050708231853192</v>
      </c>
      <c r="M78" s="3" t="s">
        <v>223</v>
      </c>
    </row>
    <row r="79" spans="2:13">
      <c r="B79" t="s">
        <v>248</v>
      </c>
      <c r="E79" s="7" t="s">
        <v>212</v>
      </c>
      <c r="H79" s="3" t="s">
        <v>223</v>
      </c>
      <c r="J79" s="3" t="s">
        <v>223</v>
      </c>
      <c r="L79" s="27">
        <f>L78/K11</f>
        <v>0.42181516138125097</v>
      </c>
    </row>
    <row r="80" spans="2:13">
      <c r="E80" s="7">
        <v>2010</v>
      </c>
      <c r="H80" s="3">
        <f>L$78</f>
        <v>2.8050708231853192</v>
      </c>
      <c r="J80" s="3">
        <f>L$78</f>
        <v>2.8050708231853192</v>
      </c>
    </row>
    <row r="81" spans="2:16">
      <c r="E81" s="7">
        <v>2020</v>
      </c>
      <c r="H81" s="3">
        <f>L$78</f>
        <v>2.8050708231853192</v>
      </c>
      <c r="J81" s="3">
        <f t="shared" ref="J81:J84" si="1">L$78</f>
        <v>2.8050708231853192</v>
      </c>
    </row>
    <row r="82" spans="2:16">
      <c r="E82" s="7">
        <v>2030</v>
      </c>
      <c r="H82" s="3">
        <f>L$78</f>
        <v>2.8050708231853192</v>
      </c>
      <c r="J82" s="3">
        <f t="shared" si="1"/>
        <v>2.8050708231853192</v>
      </c>
    </row>
    <row r="83" spans="2:16">
      <c r="E83" s="7">
        <v>2040</v>
      </c>
      <c r="H83" s="3">
        <f>L$78</f>
        <v>2.8050708231853192</v>
      </c>
      <c r="J83" s="3">
        <f t="shared" si="1"/>
        <v>2.8050708231853192</v>
      </c>
    </row>
    <row r="84" spans="2:16">
      <c r="E84" s="7">
        <v>2050</v>
      </c>
      <c r="H84" s="3">
        <f>L$78</f>
        <v>2.8050708231853192</v>
      </c>
      <c r="J84" s="3">
        <f t="shared" si="1"/>
        <v>2.8050708231853192</v>
      </c>
    </row>
    <row r="86" spans="2:16">
      <c r="B86" s="11" t="s">
        <v>225</v>
      </c>
      <c r="C86" s="13"/>
      <c r="D86" t="s">
        <v>250</v>
      </c>
    </row>
    <row r="87" spans="2:16">
      <c r="L87" t="s">
        <v>251</v>
      </c>
      <c r="M87" t="s">
        <v>252</v>
      </c>
      <c r="N87" s="14" t="s">
        <v>248</v>
      </c>
      <c r="O87" t="s">
        <v>253</v>
      </c>
    </row>
    <row r="88" spans="2:16">
      <c r="E88" s="7"/>
      <c r="H88" s="11" t="s">
        <v>751</v>
      </c>
      <c r="I88" s="11" t="s">
        <v>747</v>
      </c>
      <c r="J88" t="s">
        <v>199</v>
      </c>
      <c r="L88" s="11" t="s">
        <v>254</v>
      </c>
      <c r="M88" s="11" t="s">
        <v>254</v>
      </c>
      <c r="N88" s="14" t="s">
        <v>248</v>
      </c>
      <c r="O88" s="11" t="s">
        <v>255</v>
      </c>
      <c r="P88" s="11"/>
    </row>
    <row r="89" spans="2:16">
      <c r="E89" s="7" t="s">
        <v>212</v>
      </c>
      <c r="G89" t="s">
        <v>256</v>
      </c>
      <c r="H89" s="11" t="s">
        <v>171</v>
      </c>
      <c r="I89" s="11" t="s">
        <v>171</v>
      </c>
      <c r="L89" s="11" t="s">
        <v>257</v>
      </c>
      <c r="M89" s="11" t="s">
        <v>257</v>
      </c>
      <c r="O89" s="11" t="s">
        <v>258</v>
      </c>
      <c r="P89" s="11" t="s">
        <v>259</v>
      </c>
    </row>
    <row r="90" spans="2:16">
      <c r="E90" s="7">
        <v>2010</v>
      </c>
      <c r="G90">
        <f>SUM(H90:I90)</f>
        <v>26.707514178404601</v>
      </c>
      <c r="H90" s="13">
        <f>L90+O90/1000*3.6</f>
        <v>20.6075141784046</v>
      </c>
      <c r="I90" s="13">
        <f>P90</f>
        <v>6.1</v>
      </c>
      <c r="L90" s="13">
        <f>M90/10</f>
        <v>16.647514178404599</v>
      </c>
      <c r="M90" s="13">
        <v>166.475141784046</v>
      </c>
      <c r="O90" s="13">
        <v>1100</v>
      </c>
      <c r="P90" s="13">
        <v>6.1</v>
      </c>
    </row>
    <row r="91" spans="2:16">
      <c r="E91" s="7">
        <v>2020</v>
      </c>
      <c r="H91" s="13">
        <f t="shared" ref="H91:H94" si="2">L91+O91/1000*3.6</f>
        <v>19.8033168553353</v>
      </c>
      <c r="I91" s="13">
        <f t="shared" ref="I91:I94" si="3">P91</f>
        <v>5.2419069</v>
      </c>
      <c r="L91" s="13">
        <f t="shared" ref="L91:L94" si="4">M91/10</f>
        <v>16.487905855335299</v>
      </c>
      <c r="M91" s="13">
        <v>164.87905855335299</v>
      </c>
      <c r="O91" s="13">
        <v>920.9475000000001</v>
      </c>
      <c r="P91" s="13">
        <v>5.2419069</v>
      </c>
    </row>
    <row r="92" spans="2:16">
      <c r="E92" s="7">
        <v>2030</v>
      </c>
      <c r="H92" s="13">
        <f t="shared" si="2"/>
        <v>19.907570079923435</v>
      </c>
      <c r="I92" s="13">
        <f t="shared" si="3"/>
        <v>4.5045226144701012</v>
      </c>
      <c r="L92" s="13">
        <f t="shared" si="4"/>
        <v>17.131825105448435</v>
      </c>
      <c r="M92" s="13">
        <v>171.31825105448436</v>
      </c>
      <c r="O92" s="13">
        <v>771.0402706875002</v>
      </c>
      <c r="P92" s="13">
        <v>4.5045226144701012</v>
      </c>
    </row>
    <row r="93" spans="2:16">
      <c r="E93" s="7">
        <v>2040</v>
      </c>
      <c r="H93" s="13">
        <f t="shared" si="2"/>
        <v>21.675619689376184</v>
      </c>
      <c r="I93" s="13">
        <f t="shared" si="3"/>
        <v>3.8708669137699787</v>
      </c>
      <c r="L93" s="13">
        <f t="shared" si="4"/>
        <v>19.351696603121351</v>
      </c>
      <c r="M93" s="13">
        <v>193.51696603121351</v>
      </c>
      <c r="O93" s="13">
        <v>645.53419062634248</v>
      </c>
      <c r="P93" s="13">
        <v>3.8708669137699787</v>
      </c>
    </row>
    <row r="94" spans="2:16">
      <c r="E94" s="7">
        <v>2050</v>
      </c>
      <c r="H94" s="13">
        <f t="shared" si="2"/>
        <v>22.597543601977588</v>
      </c>
      <c r="I94" s="13">
        <f t="shared" si="3"/>
        <v>3.3263481941430424</v>
      </c>
      <c r="L94" s="13">
        <f t="shared" si="4"/>
        <v>20.651897096087886</v>
      </c>
      <c r="M94" s="13">
        <v>206.51897096087887</v>
      </c>
      <c r="O94" s="13">
        <v>540.45736274713965</v>
      </c>
      <c r="P94" s="13">
        <v>3.3263481941430424</v>
      </c>
    </row>
    <row r="95" spans="2:16">
      <c r="L95" t="s">
        <v>260</v>
      </c>
    </row>
    <row r="99" spans="12:15">
      <c r="L99" s="1"/>
      <c r="M99" s="1"/>
      <c r="O99" s="1"/>
    </row>
    <row r="100" spans="12:15">
      <c r="L100" s="1"/>
      <c r="M100" s="1"/>
      <c r="O100" s="1"/>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AK124"/>
  <sheetViews>
    <sheetView topLeftCell="A62" workbookViewId="0">
      <selection activeCell="K88" sqref="K88"/>
    </sheetView>
  </sheetViews>
  <sheetFormatPr defaultColWidth="9.109375" defaultRowHeight="14.4"/>
  <cols>
    <col min="5" max="5" width="24.5546875" customWidth="1"/>
    <col min="6" max="6" width="11.109375" customWidth="1"/>
    <col min="8" max="9" width="11.6640625" customWidth="1"/>
    <col min="10" max="10" width="12.5546875" bestFit="1" customWidth="1"/>
    <col min="11" max="11" width="12.6640625" customWidth="1"/>
    <col min="12" max="12" width="13.33203125" customWidth="1"/>
    <col min="13" max="13" width="13.5546875" customWidth="1"/>
    <col min="14" max="14" width="18.109375" bestFit="1" customWidth="1"/>
    <col min="15" max="15" width="15.44140625" customWidth="1"/>
    <col min="16" max="16" width="21" bestFit="1" customWidth="1"/>
    <col min="17" max="17" width="13.6640625" customWidth="1"/>
    <col min="21" max="21" width="13" customWidth="1"/>
    <col min="22" max="22" width="11.109375" bestFit="1" customWidth="1"/>
    <col min="27" max="27" width="13.109375" customWidth="1"/>
    <col min="28" max="28" width="9.109375" customWidth="1"/>
    <col min="29" max="29" width="12.88671875" bestFit="1" customWidth="1"/>
    <col min="33" max="33" width="12.88671875" bestFit="1" customWidth="1"/>
  </cols>
  <sheetData>
    <row r="2" spans="2:21">
      <c r="B2" s="7" t="s">
        <v>206</v>
      </c>
      <c r="C2" s="8"/>
      <c r="D2" s="19"/>
      <c r="E2" s="4" t="s">
        <v>646</v>
      </c>
      <c r="F2" s="4"/>
      <c r="G2" s="4"/>
      <c r="H2" s="4"/>
      <c r="I2" s="4"/>
      <c r="J2" s="4"/>
      <c r="K2" s="4"/>
      <c r="L2" s="4"/>
      <c r="N2" s="4" t="s">
        <v>520</v>
      </c>
      <c r="O2" s="4"/>
      <c r="P2" s="4"/>
      <c r="Q2" s="4"/>
      <c r="R2" s="4"/>
      <c r="S2" s="4"/>
      <c r="T2" s="4"/>
      <c r="U2" s="4"/>
    </row>
    <row r="3" spans="2:21">
      <c r="E3" s="4" t="s">
        <v>647</v>
      </c>
      <c r="F3" s="4"/>
      <c r="G3" s="4"/>
      <c r="H3" s="4"/>
      <c r="I3" s="4"/>
      <c r="J3" s="4"/>
      <c r="K3" s="4"/>
      <c r="L3" s="4"/>
      <c r="N3" s="4" t="s">
        <v>521</v>
      </c>
      <c r="O3" s="4"/>
      <c r="P3" s="4"/>
      <c r="Q3" s="4"/>
      <c r="R3" s="4"/>
      <c r="S3" s="4"/>
      <c r="T3" s="4"/>
      <c r="U3" s="4"/>
    </row>
    <row r="5" spans="2:21">
      <c r="B5" s="7" t="s">
        <v>207</v>
      </c>
      <c r="C5" s="8"/>
      <c r="D5">
        <v>1</v>
      </c>
      <c r="E5" t="s">
        <v>522</v>
      </c>
    </row>
    <row r="7" spans="2:21">
      <c r="B7" s="7" t="s">
        <v>208</v>
      </c>
      <c r="C7" s="8"/>
      <c r="D7" t="s">
        <v>237</v>
      </c>
    </row>
    <row r="8" spans="2:21">
      <c r="D8" t="s">
        <v>160</v>
      </c>
    </row>
    <row r="10" spans="2:21" ht="117" customHeigh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c r="Q10" s="35" t="s">
        <v>731</v>
      </c>
    </row>
    <row r="11" spans="2:21">
      <c r="E11" t="s">
        <v>131</v>
      </c>
      <c r="F11" t="s">
        <v>133</v>
      </c>
      <c r="G11" t="s">
        <v>39</v>
      </c>
      <c r="H11" t="s">
        <v>40</v>
      </c>
      <c r="I11" s="36" t="s">
        <v>730</v>
      </c>
      <c r="K11">
        <v>0.84899999999999998</v>
      </c>
      <c r="L11">
        <v>9.4800000000000006E-3</v>
      </c>
      <c r="M11">
        <v>1.4E-3</v>
      </c>
      <c r="N11">
        <v>1.7270000000000001</v>
      </c>
      <c r="O11">
        <v>0.13</v>
      </c>
      <c r="P11">
        <v>0.06</v>
      </c>
      <c r="Q11">
        <v>1.534</v>
      </c>
    </row>
    <row r="12" spans="2:21">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21">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21">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21">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21">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8">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8">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8">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8">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c r="Q20" s="32"/>
      <c r="R20" s="32"/>
    </row>
    <row r="21" spans="5:18">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8">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8">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8">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8">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8">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8">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8">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8">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8">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8">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8">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row>
    <row r="47" spans="2:16">
      <c r="E47" s="7"/>
      <c r="H47" s="44" t="s">
        <v>724</v>
      </c>
      <c r="I47" s="44" t="s">
        <v>725</v>
      </c>
      <c r="J47" s="44" t="s">
        <v>726</v>
      </c>
      <c r="K47" s="44" t="s">
        <v>727</v>
      </c>
      <c r="L47" s="44" t="s">
        <v>728</v>
      </c>
      <c r="M47" s="44" t="s">
        <v>729</v>
      </c>
    </row>
    <row r="48" spans="2:16">
      <c r="E48" s="7" t="s">
        <v>212</v>
      </c>
      <c r="H48" s="44" t="s">
        <v>213</v>
      </c>
      <c r="I48" s="44" t="s">
        <v>213</v>
      </c>
      <c r="J48" s="44" t="s">
        <v>213</v>
      </c>
      <c r="K48" s="44" t="s">
        <v>213</v>
      </c>
      <c r="L48" s="44" t="s">
        <v>213</v>
      </c>
      <c r="M48" s="44" t="s">
        <v>213</v>
      </c>
    </row>
    <row r="49" spans="2:13">
      <c r="E49" s="7">
        <v>2010</v>
      </c>
      <c r="H49" s="44">
        <v>0</v>
      </c>
      <c r="I49" s="44">
        <v>0</v>
      </c>
      <c r="J49" s="44">
        <v>0</v>
      </c>
      <c r="K49" s="44">
        <f>Q$11</f>
        <v>1.534</v>
      </c>
      <c r="L49" s="44">
        <v>0</v>
      </c>
      <c r="M49" s="44">
        <v>0</v>
      </c>
    </row>
    <row r="50" spans="2:13">
      <c r="E50" s="7">
        <v>2020</v>
      </c>
      <c r="H50" s="44">
        <v>0</v>
      </c>
      <c r="I50" s="44">
        <v>0</v>
      </c>
      <c r="J50" s="44">
        <v>0</v>
      </c>
      <c r="K50" s="44">
        <f t="shared" ref="K50:K53" si="0">Q$11</f>
        <v>1.534</v>
      </c>
      <c r="L50" s="44">
        <v>0</v>
      </c>
      <c r="M50" s="44">
        <v>0</v>
      </c>
    </row>
    <row r="51" spans="2:13">
      <c r="E51" s="7">
        <v>2030</v>
      </c>
      <c r="H51" s="44">
        <v>0</v>
      </c>
      <c r="I51" s="44">
        <v>0</v>
      </c>
      <c r="J51" s="44">
        <v>0</v>
      </c>
      <c r="K51" s="44">
        <f t="shared" si="0"/>
        <v>1.534</v>
      </c>
      <c r="L51" s="44">
        <v>0</v>
      </c>
      <c r="M51" s="44">
        <v>0</v>
      </c>
    </row>
    <row r="52" spans="2:13">
      <c r="E52" s="7">
        <v>2040</v>
      </c>
      <c r="H52" s="44">
        <v>0</v>
      </c>
      <c r="I52" s="44">
        <v>0</v>
      </c>
      <c r="J52" s="44">
        <v>0</v>
      </c>
      <c r="K52" s="44">
        <f t="shared" si="0"/>
        <v>1.534</v>
      </c>
      <c r="L52" s="44">
        <v>0</v>
      </c>
      <c r="M52" s="44">
        <v>0</v>
      </c>
    </row>
    <row r="53" spans="2:13">
      <c r="E53" s="7">
        <v>2050</v>
      </c>
      <c r="H53" s="44">
        <v>0</v>
      </c>
      <c r="I53" s="44">
        <v>0</v>
      </c>
      <c r="J53" s="44">
        <v>0</v>
      </c>
      <c r="K53" s="44">
        <f t="shared" si="0"/>
        <v>1.534</v>
      </c>
      <c r="L53" s="44">
        <v>0</v>
      </c>
      <c r="M53" s="44">
        <v>0</v>
      </c>
    </row>
    <row r="55" spans="2:13">
      <c r="B55" s="9" t="s">
        <v>214</v>
      </c>
      <c r="C55" s="10"/>
    </row>
    <row r="57" spans="2:13">
      <c r="E57" s="7"/>
      <c r="H57" s="9" t="s">
        <v>620</v>
      </c>
      <c r="J57" s="1" t="s">
        <v>14</v>
      </c>
    </row>
    <row r="58" spans="2:13">
      <c r="E58" s="7" t="s">
        <v>212</v>
      </c>
      <c r="H58" s="9" t="s">
        <v>216</v>
      </c>
    </row>
    <row r="59" spans="2:13">
      <c r="E59" s="7">
        <v>2010</v>
      </c>
      <c r="H59" s="9">
        <f>L$11</f>
        <v>9.4800000000000006E-3</v>
      </c>
    </row>
    <row r="60" spans="2:13">
      <c r="E60" s="7">
        <v>2020</v>
      </c>
      <c r="H60" s="9">
        <f>$H$59</f>
        <v>9.4800000000000006E-3</v>
      </c>
    </row>
    <row r="61" spans="2:13">
      <c r="E61" s="7">
        <v>2030</v>
      </c>
      <c r="H61" s="9">
        <f t="shared" ref="H61:H63" si="1">$H$59</f>
        <v>9.4800000000000006E-3</v>
      </c>
    </row>
    <row r="62" spans="2:13">
      <c r="E62" s="7">
        <v>2040</v>
      </c>
      <c r="H62" s="9">
        <f t="shared" si="1"/>
        <v>9.4800000000000006E-3</v>
      </c>
    </row>
    <row r="63" spans="2:13">
      <c r="E63" s="7">
        <v>2050</v>
      </c>
      <c r="H63" s="9">
        <f t="shared" si="1"/>
        <v>9.4800000000000006E-3</v>
      </c>
    </row>
    <row r="65" spans="2:13">
      <c r="B65" s="2" t="s">
        <v>217</v>
      </c>
      <c r="C65" s="4"/>
    </row>
    <row r="67" spans="2:13">
      <c r="E67" s="7"/>
      <c r="H67" s="2" t="s">
        <v>621</v>
      </c>
      <c r="J67" s="1" t="s">
        <v>15</v>
      </c>
    </row>
    <row r="68" spans="2:13">
      <c r="E68" s="7" t="s">
        <v>212</v>
      </c>
      <c r="H68" s="2" t="s">
        <v>219</v>
      </c>
    </row>
    <row r="69" spans="2:13">
      <c r="E69" s="7">
        <v>2010</v>
      </c>
      <c r="H69" s="2">
        <f>M$11</f>
        <v>1.4E-3</v>
      </c>
    </row>
    <row r="70" spans="2:13">
      <c r="E70" s="7">
        <v>2020</v>
      </c>
      <c r="H70" s="2">
        <f>$H$69</f>
        <v>1.4E-3</v>
      </c>
    </row>
    <row r="71" spans="2:13">
      <c r="E71" s="7">
        <v>2030</v>
      </c>
      <c r="H71" s="2">
        <f t="shared" ref="H71:H73" si="2">$H$69</f>
        <v>1.4E-3</v>
      </c>
    </row>
    <row r="72" spans="2:13">
      <c r="E72" s="7">
        <v>2040</v>
      </c>
      <c r="H72" s="2">
        <f t="shared" si="2"/>
        <v>1.4E-3</v>
      </c>
    </row>
    <row r="73" spans="2:13">
      <c r="E73" s="7">
        <v>2050</v>
      </c>
      <c r="H73" s="2">
        <f t="shared" si="2"/>
        <v>1.4E-3</v>
      </c>
    </row>
    <row r="75" spans="2:13">
      <c r="B75" s="3" t="s">
        <v>629</v>
      </c>
      <c r="C75" s="12"/>
    </row>
    <row r="76" spans="2:13">
      <c r="B76" s="165"/>
      <c r="C76" s="162"/>
    </row>
    <row r="77" spans="2:13">
      <c r="H77" s="3" t="s">
        <v>220</v>
      </c>
      <c r="J77" s="3" t="s">
        <v>221</v>
      </c>
      <c r="L77" t="s">
        <v>224</v>
      </c>
    </row>
    <row r="78" spans="2:13">
      <c r="E78" s="7"/>
      <c r="H78" s="3" t="s">
        <v>622</v>
      </c>
      <c r="J78" s="3" t="s">
        <v>622</v>
      </c>
      <c r="L78">
        <f>K11-H90*H21/1000-I90/H16*K13-I90*H15/1000</f>
        <v>0.40980916279069762</v>
      </c>
      <c r="M78" s="3" t="s">
        <v>223</v>
      </c>
    </row>
    <row r="79" spans="2:13">
      <c r="E79" s="7" t="s">
        <v>212</v>
      </c>
      <c r="H79" s="3" t="s">
        <v>223</v>
      </c>
      <c r="J79" s="3" t="s">
        <v>223</v>
      </c>
      <c r="L79" s="27">
        <f>L78/K11</f>
        <v>0.48269630481825399</v>
      </c>
    </row>
    <row r="80" spans="2:13">
      <c r="E80" s="7">
        <v>2010</v>
      </c>
      <c r="H80" s="3">
        <f>L78</f>
        <v>0.40980916279069762</v>
      </c>
      <c r="J80" s="3">
        <f>L78</f>
        <v>0.40980916279069762</v>
      </c>
      <c r="L80" s="16"/>
    </row>
    <row r="81" spans="2:37">
      <c r="E81" s="7">
        <v>2020</v>
      </c>
      <c r="H81" s="3">
        <f>N91/N$90*L$78</f>
        <v>0.36427481136950896</v>
      </c>
      <c r="J81" s="3">
        <f>N91/N$90*L$78</f>
        <v>0.36427481136950896</v>
      </c>
      <c r="L81" s="15" t="s">
        <v>654</v>
      </c>
    </row>
    <row r="82" spans="2:37">
      <c r="E82" s="7">
        <v>2030</v>
      </c>
      <c r="H82" s="3">
        <f t="shared" ref="H82:H84" si="3">N92/N$90*L$78</f>
        <v>0.33391857708871658</v>
      </c>
      <c r="J82" s="3">
        <f t="shared" ref="J82:J84" si="4">N92/N$90*L$78</f>
        <v>0.33391857708871658</v>
      </c>
      <c r="L82" s="15"/>
    </row>
    <row r="83" spans="2:37">
      <c r="E83" s="7">
        <v>2040</v>
      </c>
      <c r="H83" s="3">
        <f t="shared" si="3"/>
        <v>0.31874045994832034</v>
      </c>
      <c r="J83" s="3">
        <f t="shared" si="4"/>
        <v>0.31874045994832034</v>
      </c>
    </row>
    <row r="84" spans="2:37">
      <c r="E84" s="7">
        <v>2050</v>
      </c>
      <c r="H84" s="3">
        <f t="shared" si="3"/>
        <v>0.30356234280792416</v>
      </c>
      <c r="J84" s="3">
        <f t="shared" si="4"/>
        <v>0.30356234280792416</v>
      </c>
    </row>
    <row r="86" spans="2:37">
      <c r="B86" s="11" t="s">
        <v>225</v>
      </c>
      <c r="C86" s="13"/>
      <c r="K86" s="1" t="s">
        <v>649</v>
      </c>
      <c r="L86" t="s">
        <v>616</v>
      </c>
    </row>
    <row r="87" spans="2:37">
      <c r="H87" s="1" t="s">
        <v>650</v>
      </c>
      <c r="K87" s="1" t="s">
        <v>523</v>
      </c>
      <c r="L87" s="1" t="s">
        <v>524</v>
      </c>
      <c r="M87" s="1" t="s">
        <v>525</v>
      </c>
      <c r="Q87" s="34"/>
      <c r="R87" s="32"/>
      <c r="S87" s="32"/>
      <c r="T87" s="32"/>
      <c r="U87" s="34"/>
      <c r="V87" s="32"/>
      <c r="W87" s="32"/>
      <c r="X87" s="34"/>
      <c r="Y87" s="32"/>
      <c r="Z87" s="32"/>
      <c r="AA87" s="34"/>
      <c r="AC87" s="34"/>
      <c r="AG87" s="34"/>
    </row>
    <row r="88" spans="2:37">
      <c r="E88" s="7"/>
      <c r="H88" s="11" t="s">
        <v>751</v>
      </c>
      <c r="I88" s="11" t="s">
        <v>747</v>
      </c>
      <c r="J88" s="76" t="s">
        <v>199</v>
      </c>
      <c r="K88" s="11" t="s">
        <v>174</v>
      </c>
      <c r="L88" s="11" t="s">
        <v>163</v>
      </c>
      <c r="M88" s="11" t="s">
        <v>174</v>
      </c>
      <c r="N88" s="11" t="s">
        <v>645</v>
      </c>
      <c r="O88" s="1" t="s">
        <v>635</v>
      </c>
      <c r="P88" s="1"/>
      <c r="Q88" s="1"/>
      <c r="R88" s="35"/>
      <c r="T88" s="32"/>
      <c r="U88" s="1"/>
      <c r="V88" s="32"/>
      <c r="W88" s="32"/>
      <c r="X88" s="1"/>
      <c r="Y88" s="32"/>
      <c r="Z88" s="32"/>
      <c r="AA88" s="1"/>
      <c r="AC88" s="1"/>
      <c r="AD88" s="1"/>
      <c r="AE88" s="1"/>
      <c r="AG88" s="1"/>
      <c r="AK88" s="1"/>
    </row>
    <row r="89" spans="2:37">
      <c r="E89" s="7" t="s">
        <v>212</v>
      </c>
      <c r="H89" s="29" t="s">
        <v>171</v>
      </c>
      <c r="I89" s="29" t="s">
        <v>171</v>
      </c>
      <c r="K89" s="29" t="s">
        <v>171</v>
      </c>
      <c r="L89" s="29" t="s">
        <v>171</v>
      </c>
      <c r="M89" s="29" t="s">
        <v>171</v>
      </c>
      <c r="N89" s="29">
        <v>1</v>
      </c>
      <c r="O89" t="s">
        <v>636</v>
      </c>
      <c r="P89" s="35"/>
      <c r="Q89" s="35"/>
      <c r="R89" s="35"/>
      <c r="U89" s="35"/>
      <c r="X89" s="35"/>
      <c r="Y89" s="32"/>
      <c r="Z89" s="32"/>
      <c r="AA89" s="35"/>
      <c r="AC89" s="35"/>
      <c r="AD89" s="35"/>
      <c r="AE89" s="35"/>
      <c r="AG89" s="35"/>
    </row>
    <row r="90" spans="2:37">
      <c r="E90" s="7">
        <v>2010</v>
      </c>
      <c r="H90" s="13">
        <f>K90+M90</f>
        <v>0.3276</v>
      </c>
      <c r="I90" s="13">
        <f>L90*N90</f>
        <v>4.0500000000000007</v>
      </c>
      <c r="K90" s="13">
        <f>AVERAGE(12,15)*3.6/1000</f>
        <v>4.8600000000000004E-2</v>
      </c>
      <c r="L90" s="13">
        <v>5</v>
      </c>
      <c r="M90" s="13">
        <f>AVERAGE(70,85)*3.6/1000</f>
        <v>0.27900000000000003</v>
      </c>
      <c r="N90" s="13">
        <v>0.81</v>
      </c>
      <c r="O90" t="s">
        <v>641</v>
      </c>
      <c r="X90" s="18"/>
    </row>
    <row r="91" spans="2:37">
      <c r="E91" s="7">
        <v>2020</v>
      </c>
      <c r="H91" s="13">
        <f t="shared" ref="H91:H94" si="5">K91+M91</f>
        <v>0.3276</v>
      </c>
      <c r="I91" s="13">
        <f t="shared" ref="I91:I94" si="6">L91*N91</f>
        <v>3.2399999999999998</v>
      </c>
      <c r="K91" s="13">
        <f t="shared" ref="K91:K94" si="7">AVERAGE(12,15)*3.6/1000</f>
        <v>4.8600000000000004E-2</v>
      </c>
      <c r="L91" s="13">
        <v>4.5</v>
      </c>
      <c r="M91" s="13">
        <f t="shared" ref="M91:M94" si="8">AVERAGE(70,85)*3.6/1000</f>
        <v>0.27900000000000003</v>
      </c>
      <c r="N91" s="13">
        <v>0.72</v>
      </c>
      <c r="O91" t="s">
        <v>642</v>
      </c>
    </row>
    <row r="92" spans="2:37">
      <c r="E92" s="7">
        <v>2030</v>
      </c>
      <c r="H92" s="13">
        <f t="shared" si="5"/>
        <v>0.3276</v>
      </c>
      <c r="I92" s="13">
        <f t="shared" si="6"/>
        <v>2.64</v>
      </c>
      <c r="K92" s="13">
        <f t="shared" si="7"/>
        <v>4.8600000000000004E-2</v>
      </c>
      <c r="L92" s="13">
        <v>4</v>
      </c>
      <c r="M92" s="13">
        <f t="shared" si="8"/>
        <v>0.27900000000000003</v>
      </c>
      <c r="N92" s="13">
        <v>0.66</v>
      </c>
    </row>
    <row r="93" spans="2:37">
      <c r="E93" s="7">
        <v>2040</v>
      </c>
      <c r="H93" s="13">
        <f t="shared" si="5"/>
        <v>0.3276</v>
      </c>
      <c r="I93" s="13">
        <f t="shared" si="6"/>
        <v>2.2050000000000001</v>
      </c>
      <c r="K93" s="13">
        <f t="shared" si="7"/>
        <v>4.8600000000000004E-2</v>
      </c>
      <c r="L93" s="13">
        <v>3.5</v>
      </c>
      <c r="M93" s="13">
        <f t="shared" si="8"/>
        <v>0.27900000000000003</v>
      </c>
      <c r="N93" s="13">
        <v>0.63</v>
      </c>
      <c r="O93" s="1" t="s">
        <v>639</v>
      </c>
    </row>
    <row r="94" spans="2:37">
      <c r="E94" s="7">
        <v>2050</v>
      </c>
      <c r="H94" s="13">
        <f t="shared" si="5"/>
        <v>0.3276</v>
      </c>
      <c r="I94" s="13">
        <f t="shared" si="6"/>
        <v>1.92</v>
      </c>
      <c r="K94" s="13">
        <f t="shared" si="7"/>
        <v>4.8600000000000004E-2</v>
      </c>
      <c r="L94" s="13">
        <v>3.2</v>
      </c>
      <c r="M94" s="13">
        <f t="shared" si="8"/>
        <v>0.27900000000000003</v>
      </c>
      <c r="N94" s="13">
        <v>0.6</v>
      </c>
      <c r="O94" t="s">
        <v>640</v>
      </c>
      <c r="Q94" s="20"/>
    </row>
    <row r="95" spans="2:37">
      <c r="H95" t="s">
        <v>655</v>
      </c>
      <c r="I95" t="s">
        <v>651</v>
      </c>
      <c r="L95" t="s">
        <v>652</v>
      </c>
      <c r="N95" t="s">
        <v>653</v>
      </c>
      <c r="O95" t="s">
        <v>637</v>
      </c>
      <c r="Q95" s="19"/>
    </row>
    <row r="96" spans="2:37">
      <c r="L96" s="111"/>
      <c r="O96" t="s">
        <v>638</v>
      </c>
    </row>
    <row r="98" spans="2:20">
      <c r="O98" s="187" t="s">
        <v>643</v>
      </c>
    </row>
    <row r="99" spans="2:20">
      <c r="B99" s="25"/>
      <c r="C99" s="25"/>
      <c r="D99" s="25"/>
      <c r="E99" s="25"/>
      <c r="F99" s="25"/>
      <c r="G99" s="25"/>
      <c r="H99" s="25"/>
      <c r="I99" s="25"/>
      <c r="J99" s="25"/>
      <c r="K99" s="25"/>
      <c r="O99" s="187" t="s">
        <v>644</v>
      </c>
      <c r="Q99" s="20"/>
    </row>
    <row r="100" spans="2:20">
      <c r="B100" s="25"/>
      <c r="C100" s="25"/>
      <c r="D100" s="25"/>
      <c r="E100" s="25"/>
      <c r="F100" s="25"/>
      <c r="G100" s="25"/>
      <c r="H100" s="25"/>
      <c r="I100" s="25"/>
      <c r="J100" s="25"/>
      <c r="K100" s="25"/>
      <c r="Q100" s="20"/>
    </row>
    <row r="101" spans="2:20" ht="15">
      <c r="T101" s="33"/>
    </row>
    <row r="103" spans="2:20">
      <c r="Q103" s="19"/>
    </row>
    <row r="104" spans="2:20">
      <c r="O104" s="18"/>
      <c r="P104" s="18"/>
      <c r="Q104" s="18"/>
      <c r="R104" s="18"/>
    </row>
    <row r="109" spans="2:20">
      <c r="J109" s="42"/>
    </row>
    <row r="124" spans="4:5">
      <c r="D124" t="s">
        <v>648</v>
      </c>
      <c r="E124" t="s">
        <v>520</v>
      </c>
    </row>
  </sheetData>
  <pageMargins left="0.7" right="0.7" top="0.78740157499999996" bottom="0.78740157499999996"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AN104"/>
  <sheetViews>
    <sheetView topLeftCell="A61" workbookViewId="0">
      <selection activeCell="I89" sqref="I89"/>
    </sheetView>
  </sheetViews>
  <sheetFormatPr defaultColWidth="9.109375" defaultRowHeight="14.4"/>
  <cols>
    <col min="5" max="5" width="24.5546875" customWidth="1"/>
    <col min="6" max="6" width="11.109375" customWidth="1"/>
    <col min="8" max="9" width="11.6640625" customWidth="1"/>
    <col min="10" max="10" width="9.5546875" bestFit="1" customWidth="1"/>
    <col min="11" max="11" width="12.6640625" customWidth="1"/>
    <col min="12" max="12" width="13.33203125" customWidth="1"/>
    <col min="13" max="13" width="13.5546875" customWidth="1"/>
    <col min="14" max="14" width="12.88671875" customWidth="1"/>
    <col min="15" max="15" width="15.44140625" customWidth="1"/>
    <col min="16" max="16" width="21" bestFit="1" customWidth="1"/>
    <col min="17" max="17" width="22.109375" bestFit="1" customWidth="1"/>
  </cols>
  <sheetData>
    <row r="2" spans="2:17">
      <c r="B2" s="7" t="s">
        <v>206</v>
      </c>
      <c r="C2" s="8"/>
      <c r="D2" s="4" t="s">
        <v>527</v>
      </c>
      <c r="E2" s="4"/>
      <c r="F2" s="4"/>
      <c r="G2" s="4"/>
      <c r="H2" s="4"/>
      <c r="I2" s="4"/>
      <c r="J2" s="4"/>
      <c r="K2" s="4"/>
      <c r="L2" s="4"/>
    </row>
    <row r="3" spans="2:17">
      <c r="D3" s="4" t="s">
        <v>528</v>
      </c>
      <c r="E3" s="4"/>
      <c r="F3" s="4"/>
      <c r="G3" s="4"/>
      <c r="H3" s="4"/>
      <c r="I3" s="4"/>
      <c r="J3" s="4"/>
      <c r="K3" s="4"/>
      <c r="L3" s="4"/>
    </row>
    <row r="5" spans="2:17">
      <c r="B5" s="7" t="s">
        <v>207</v>
      </c>
      <c r="C5" s="8"/>
      <c r="D5">
        <v>1</v>
      </c>
      <c r="E5" t="s">
        <v>529</v>
      </c>
    </row>
    <row r="7" spans="2:17">
      <c r="B7" s="7" t="s">
        <v>208</v>
      </c>
      <c r="C7" s="8"/>
      <c r="D7" t="s">
        <v>530</v>
      </c>
    </row>
    <row r="8" spans="2:17">
      <c r="D8" t="s">
        <v>160</v>
      </c>
    </row>
    <row r="9" spans="2:17" ht="15" thickBot="1"/>
    <row r="10" spans="2:17"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c r="Q10" s="35" t="s">
        <v>731</v>
      </c>
    </row>
    <row r="11" spans="2:17" ht="15" thickBot="1">
      <c r="E11" s="72" t="s">
        <v>531</v>
      </c>
      <c r="F11" s="73" t="s">
        <v>142</v>
      </c>
      <c r="G11" s="73" t="s">
        <v>39</v>
      </c>
      <c r="H11" s="73" t="s">
        <v>40</v>
      </c>
      <c r="I11" s="73" t="s">
        <v>732</v>
      </c>
      <c r="J11" s="73"/>
      <c r="K11" s="73">
        <v>1.18E-2</v>
      </c>
      <c r="L11" s="73">
        <v>4.0000000000000001E-3</v>
      </c>
      <c r="M11" s="73">
        <v>1.1000000000000001E-3</v>
      </c>
      <c r="N11" s="73">
        <v>1.03</v>
      </c>
      <c r="O11" s="73">
        <v>4.5999999999999999E-3</v>
      </c>
      <c r="P11" s="75">
        <v>1.9E-3</v>
      </c>
      <c r="Q11">
        <v>1.022</v>
      </c>
    </row>
    <row r="12" spans="2:17">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7">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17">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17">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17">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4" spans="2:16">
      <c r="H44" s="18"/>
    </row>
    <row r="45" spans="2:16">
      <c r="B45" s="5" t="s">
        <v>210</v>
      </c>
      <c r="C45" s="6"/>
    </row>
    <row r="47" spans="2:16">
      <c r="E47" s="7"/>
      <c r="H47" s="44" t="s">
        <v>724</v>
      </c>
      <c r="I47" s="44" t="s">
        <v>725</v>
      </c>
      <c r="J47" s="44" t="s">
        <v>726</v>
      </c>
      <c r="K47" s="44" t="s">
        <v>727</v>
      </c>
      <c r="L47" s="44" t="s">
        <v>728</v>
      </c>
      <c r="M47" s="44" t="s">
        <v>729</v>
      </c>
    </row>
    <row r="48" spans="2:16">
      <c r="E48" s="7" t="s">
        <v>212</v>
      </c>
      <c r="H48" s="44" t="s">
        <v>213</v>
      </c>
      <c r="I48" s="44" t="s">
        <v>213</v>
      </c>
      <c r="J48" s="44" t="s">
        <v>213</v>
      </c>
      <c r="K48" s="44" t="s">
        <v>213</v>
      </c>
      <c r="L48" s="44" t="s">
        <v>213</v>
      </c>
      <c r="M48" s="44" t="s">
        <v>213</v>
      </c>
    </row>
    <row r="49" spans="2:13">
      <c r="E49" s="7">
        <v>2010</v>
      </c>
      <c r="H49" s="44">
        <v>0</v>
      </c>
      <c r="I49" s="44">
        <v>0</v>
      </c>
      <c r="J49" s="44">
        <v>0</v>
      </c>
      <c r="K49" s="44">
        <f>Q$11</f>
        <v>1.022</v>
      </c>
      <c r="L49" s="44">
        <v>0</v>
      </c>
      <c r="M49" s="44">
        <v>0</v>
      </c>
    </row>
    <row r="50" spans="2:13">
      <c r="E50" s="7">
        <v>2020</v>
      </c>
      <c r="H50" s="44">
        <v>0</v>
      </c>
      <c r="I50" s="44">
        <v>0</v>
      </c>
      <c r="J50" s="44">
        <v>0</v>
      </c>
      <c r="K50" s="44">
        <f t="shared" ref="K50:K53" si="0">Q$11</f>
        <v>1.022</v>
      </c>
      <c r="L50" s="44">
        <v>0</v>
      </c>
      <c r="M50" s="44">
        <v>0</v>
      </c>
    </row>
    <row r="51" spans="2:13">
      <c r="E51" s="7">
        <v>2030</v>
      </c>
      <c r="H51" s="44">
        <v>0</v>
      </c>
      <c r="I51" s="44">
        <v>0</v>
      </c>
      <c r="J51" s="44">
        <v>0</v>
      </c>
      <c r="K51" s="44">
        <f t="shared" si="0"/>
        <v>1.022</v>
      </c>
      <c r="L51" s="44">
        <v>0</v>
      </c>
      <c r="M51" s="44">
        <v>0</v>
      </c>
    </row>
    <row r="52" spans="2:13">
      <c r="E52" s="7">
        <v>2040</v>
      </c>
      <c r="H52" s="44">
        <v>0</v>
      </c>
      <c r="I52" s="44">
        <v>0</v>
      </c>
      <c r="J52" s="44">
        <v>0</v>
      </c>
      <c r="K52" s="44">
        <f t="shared" si="0"/>
        <v>1.022</v>
      </c>
      <c r="L52" s="44">
        <v>0</v>
      </c>
      <c r="M52" s="44">
        <v>0</v>
      </c>
    </row>
    <row r="53" spans="2:13">
      <c r="E53" s="7">
        <v>2050</v>
      </c>
      <c r="H53" s="44">
        <v>0</v>
      </c>
      <c r="I53" s="44">
        <v>0</v>
      </c>
      <c r="J53" s="44">
        <v>0</v>
      </c>
      <c r="K53" s="44">
        <f t="shared" si="0"/>
        <v>1.022</v>
      </c>
      <c r="L53" s="44">
        <v>0</v>
      </c>
      <c r="M53" s="44">
        <v>0</v>
      </c>
    </row>
    <row r="55" spans="2:13">
      <c r="B55" s="9" t="s">
        <v>214</v>
      </c>
      <c r="C55" s="10"/>
    </row>
    <row r="57" spans="2:13">
      <c r="E57" s="7"/>
      <c r="H57" s="45" t="s">
        <v>533</v>
      </c>
      <c r="J57" s="1" t="s">
        <v>14</v>
      </c>
    </row>
    <row r="58" spans="2:13">
      <c r="E58" s="7" t="s">
        <v>212</v>
      </c>
      <c r="H58" s="9" t="s">
        <v>216</v>
      </c>
    </row>
    <row r="59" spans="2:13">
      <c r="E59" s="7">
        <v>2010</v>
      </c>
      <c r="H59" s="9">
        <f>L$11</f>
        <v>4.0000000000000001E-3</v>
      </c>
    </row>
    <row r="60" spans="2:13">
      <c r="E60" s="7">
        <v>2020</v>
      </c>
      <c r="H60" s="9">
        <f>L$11</f>
        <v>4.0000000000000001E-3</v>
      </c>
    </row>
    <row r="61" spans="2:13">
      <c r="E61" s="7">
        <v>2030</v>
      </c>
      <c r="H61" s="9">
        <f t="shared" ref="H61:H63" si="1">L$11</f>
        <v>4.0000000000000001E-3</v>
      </c>
    </row>
    <row r="62" spans="2:13">
      <c r="E62" s="7">
        <v>2040</v>
      </c>
      <c r="H62" s="9">
        <f t="shared" si="1"/>
        <v>4.0000000000000001E-3</v>
      </c>
    </row>
    <row r="63" spans="2:13">
      <c r="E63" s="7">
        <v>2050</v>
      </c>
      <c r="H63" s="9">
        <f t="shared" si="1"/>
        <v>4.0000000000000001E-3</v>
      </c>
    </row>
    <row r="65" spans="2:14">
      <c r="B65" s="2" t="s">
        <v>217</v>
      </c>
      <c r="C65" s="4"/>
    </row>
    <row r="67" spans="2:14">
      <c r="E67" s="7"/>
      <c r="H67" s="46" t="s">
        <v>534</v>
      </c>
      <c r="J67" s="1" t="s">
        <v>15</v>
      </c>
    </row>
    <row r="68" spans="2:14">
      <c r="E68" s="7" t="s">
        <v>212</v>
      </c>
      <c r="H68" s="2" t="s">
        <v>219</v>
      </c>
    </row>
    <row r="69" spans="2:14">
      <c r="E69" s="7">
        <v>2010</v>
      </c>
      <c r="H69" s="2">
        <f>M$11</f>
        <v>1.1000000000000001E-3</v>
      </c>
    </row>
    <row r="70" spans="2:14">
      <c r="E70" s="7">
        <v>2020</v>
      </c>
      <c r="H70" s="2">
        <f>M$11</f>
        <v>1.1000000000000001E-3</v>
      </c>
    </row>
    <row r="71" spans="2:14">
      <c r="E71" s="7">
        <v>2030</v>
      </c>
      <c r="H71" s="2">
        <f t="shared" ref="H71:H73" si="2">M$11</f>
        <v>1.1000000000000001E-3</v>
      </c>
    </row>
    <row r="72" spans="2:14">
      <c r="E72" s="7">
        <v>2040</v>
      </c>
      <c r="H72" s="2">
        <f t="shared" si="2"/>
        <v>1.1000000000000001E-3</v>
      </c>
    </row>
    <row r="73" spans="2:14">
      <c r="E73" s="7">
        <v>2050</v>
      </c>
      <c r="H73" s="2">
        <f t="shared" si="2"/>
        <v>1.1000000000000001E-3</v>
      </c>
    </row>
    <row r="75" spans="2:14">
      <c r="B75" s="3" t="s">
        <v>629</v>
      </c>
      <c r="C75" s="12"/>
    </row>
    <row r="76" spans="2:14">
      <c r="B76" s="3"/>
      <c r="C76" s="12"/>
    </row>
    <row r="77" spans="2:14">
      <c r="H77" s="3" t="s">
        <v>220</v>
      </c>
      <c r="J77" s="3" t="s">
        <v>221</v>
      </c>
      <c r="L77" t="s">
        <v>224</v>
      </c>
    </row>
    <row r="78" spans="2:14">
      <c r="E78" s="7"/>
      <c r="H78" s="116" t="s">
        <v>535</v>
      </c>
      <c r="J78" s="23" t="s">
        <v>535</v>
      </c>
      <c r="L78" s="117">
        <f>K11-H90*H21/1000-I90/H31*K28-I90*H30/1000</f>
        <v>1.6484512010056579E-3</v>
      </c>
      <c r="M78" s="3" t="s">
        <v>223</v>
      </c>
    </row>
    <row r="79" spans="2:14">
      <c r="E79" s="7" t="s">
        <v>212</v>
      </c>
      <c r="H79" s="3" t="s">
        <v>223</v>
      </c>
      <c r="J79" s="3" t="s">
        <v>223</v>
      </c>
      <c r="L79" s="180">
        <f>L78/K11</f>
        <v>0.13969925432251337</v>
      </c>
    </row>
    <row r="80" spans="2:14">
      <c r="E80" s="7">
        <v>2010</v>
      </c>
      <c r="H80" s="179">
        <f>L$78</f>
        <v>1.6484512010056579E-3</v>
      </c>
      <c r="J80" s="179">
        <f>L$78</f>
        <v>1.6484512010056579E-3</v>
      </c>
      <c r="L80" s="189" t="s">
        <v>657</v>
      </c>
      <c r="N80" s="26"/>
    </row>
    <row r="81" spans="2:40">
      <c r="E81" s="7">
        <v>2020</v>
      </c>
      <c r="H81" s="179">
        <f t="shared" ref="H81:H84" si="3">L$78</f>
        <v>1.6484512010056579E-3</v>
      </c>
      <c r="J81" s="179">
        <f t="shared" ref="J81:J84" si="4">L$78</f>
        <v>1.6484512010056579E-3</v>
      </c>
      <c r="L81" s="189" t="s">
        <v>657</v>
      </c>
    </row>
    <row r="82" spans="2:40">
      <c r="E82" s="7">
        <v>2030</v>
      </c>
      <c r="H82" s="179">
        <f t="shared" si="3"/>
        <v>1.6484512010056579E-3</v>
      </c>
      <c r="J82" s="179">
        <f t="shared" si="4"/>
        <v>1.6484512010056579E-3</v>
      </c>
      <c r="L82" s="189" t="s">
        <v>657</v>
      </c>
    </row>
    <row r="83" spans="2:40">
      <c r="E83" s="7">
        <v>2040</v>
      </c>
      <c r="H83" s="179">
        <f t="shared" si="3"/>
        <v>1.6484512010056579E-3</v>
      </c>
      <c r="J83" s="179">
        <f t="shared" si="4"/>
        <v>1.6484512010056579E-3</v>
      </c>
      <c r="L83" s="189" t="s">
        <v>657</v>
      </c>
    </row>
    <row r="84" spans="2:40">
      <c r="E84" s="7">
        <v>2050</v>
      </c>
      <c r="H84" s="179">
        <f t="shared" si="3"/>
        <v>1.6484512010056579E-3</v>
      </c>
      <c r="J84" s="179">
        <f t="shared" si="4"/>
        <v>1.6484512010056579E-3</v>
      </c>
      <c r="L84" s="189" t="s">
        <v>657</v>
      </c>
    </row>
    <row r="86" spans="2:40">
      <c r="B86" s="11" t="s">
        <v>225</v>
      </c>
      <c r="C86" s="13"/>
    </row>
    <row r="87" spans="2:40">
      <c r="K87" s="1" t="s">
        <v>536</v>
      </c>
      <c r="M87" s="1" t="s">
        <v>537</v>
      </c>
    </row>
    <row r="88" spans="2:40">
      <c r="E88" s="7"/>
      <c r="H88" s="11" t="s">
        <v>751</v>
      </c>
      <c r="I88" s="11" t="s">
        <v>744</v>
      </c>
      <c r="J88" t="s">
        <v>199</v>
      </c>
      <c r="K88" s="11" t="s">
        <v>187</v>
      </c>
      <c r="L88" s="1"/>
      <c r="M88" s="11" t="s">
        <v>174</v>
      </c>
      <c r="N88" s="11" t="s">
        <v>187</v>
      </c>
      <c r="AN88" s="1"/>
    </row>
    <row r="89" spans="2:40">
      <c r="E89" s="7" t="s">
        <v>212</v>
      </c>
      <c r="H89" s="11" t="s">
        <v>171</v>
      </c>
      <c r="I89" s="11" t="s">
        <v>171</v>
      </c>
      <c r="J89" s="1"/>
      <c r="K89" s="11" t="s">
        <v>171</v>
      </c>
      <c r="L89" s="1"/>
      <c r="M89" s="11" t="s">
        <v>538</v>
      </c>
      <c r="N89" s="11" t="s">
        <v>171</v>
      </c>
      <c r="O89" s="1"/>
      <c r="P89" s="1"/>
      <c r="R89" s="1"/>
      <c r="S89" s="1"/>
      <c r="T89" s="1"/>
      <c r="U89" s="1"/>
      <c r="AB89" s="1"/>
    </row>
    <row r="90" spans="2:40">
      <c r="E90" s="7">
        <v>2010</v>
      </c>
      <c r="H90" s="13">
        <f>M90</f>
        <v>1.4579999999999999E-2</v>
      </c>
      <c r="I90" s="13">
        <f>K90+N90</f>
        <v>9.8332000000000003E-2</v>
      </c>
      <c r="K90" s="13">
        <f>1.5*H32/1000</f>
        <v>6.0449999999999997E-2</v>
      </c>
      <c r="M90" s="13">
        <f>4.05*3.6/1000</f>
        <v>1.4579999999999999E-2</v>
      </c>
      <c r="N90" s="13">
        <f>0.94*H32/1000</f>
        <v>3.7881999999999999E-2</v>
      </c>
      <c r="O90" s="189" t="s">
        <v>657</v>
      </c>
    </row>
    <row r="91" spans="2:40">
      <c r="E91" s="7">
        <v>2020</v>
      </c>
      <c r="H91" s="13">
        <f t="shared" ref="H91:I91" si="5">H90</f>
        <v>1.4579999999999999E-2</v>
      </c>
      <c r="I91" s="13">
        <f t="shared" si="5"/>
        <v>9.8332000000000003E-2</v>
      </c>
      <c r="K91" s="13">
        <f>$K$90</f>
        <v>6.0449999999999997E-2</v>
      </c>
      <c r="M91" s="13">
        <f t="shared" ref="M91:N91" si="6">M90</f>
        <v>1.4579999999999999E-2</v>
      </c>
      <c r="N91" s="13">
        <f t="shared" si="6"/>
        <v>3.7881999999999999E-2</v>
      </c>
      <c r="O91" s="189" t="s">
        <v>657</v>
      </c>
    </row>
    <row r="92" spans="2:40">
      <c r="E92" s="7">
        <v>2030</v>
      </c>
      <c r="H92" s="13">
        <f t="shared" ref="H92:I92" si="7">H91</f>
        <v>1.4579999999999999E-2</v>
      </c>
      <c r="I92" s="13">
        <f t="shared" si="7"/>
        <v>9.8332000000000003E-2</v>
      </c>
      <c r="K92" s="13">
        <f t="shared" ref="K92:K94" si="8">$K$90</f>
        <v>6.0449999999999997E-2</v>
      </c>
      <c r="M92" s="13">
        <f t="shared" ref="M92:N92" si="9">M91</f>
        <v>1.4579999999999999E-2</v>
      </c>
      <c r="N92" s="13">
        <f t="shared" si="9"/>
        <v>3.7881999999999999E-2</v>
      </c>
      <c r="O92" s="189" t="s">
        <v>657</v>
      </c>
    </row>
    <row r="93" spans="2:40">
      <c r="E93" s="7">
        <v>2040</v>
      </c>
      <c r="H93" s="13">
        <f t="shared" ref="H93:I93" si="10">H92</f>
        <v>1.4579999999999999E-2</v>
      </c>
      <c r="I93" s="13">
        <f t="shared" si="10"/>
        <v>9.8332000000000003E-2</v>
      </c>
      <c r="K93" s="13">
        <f t="shared" si="8"/>
        <v>6.0449999999999997E-2</v>
      </c>
      <c r="M93" s="13">
        <f t="shared" ref="M93:N93" si="11">M92</f>
        <v>1.4579999999999999E-2</v>
      </c>
      <c r="N93" s="13">
        <f t="shared" si="11"/>
        <v>3.7881999999999999E-2</v>
      </c>
      <c r="O93" s="189" t="s">
        <v>657</v>
      </c>
    </row>
    <row r="94" spans="2:40">
      <c r="E94" s="7">
        <v>2050</v>
      </c>
      <c r="H94" s="13">
        <f t="shared" ref="H94:I94" si="12">H93</f>
        <v>1.4579999999999999E-2</v>
      </c>
      <c r="I94" s="13">
        <f t="shared" si="12"/>
        <v>9.8332000000000003E-2</v>
      </c>
      <c r="K94" s="13">
        <f t="shared" si="8"/>
        <v>6.0449999999999997E-2</v>
      </c>
      <c r="M94" s="13">
        <f t="shared" ref="M94:N94" si="13">M93</f>
        <v>1.4579999999999999E-2</v>
      </c>
      <c r="N94" s="13">
        <f t="shared" si="13"/>
        <v>3.7881999999999999E-2</v>
      </c>
      <c r="O94" s="189" t="s">
        <v>657</v>
      </c>
      <c r="Q94" s="20"/>
    </row>
    <row r="95" spans="2:40">
      <c r="Q95" s="20"/>
    </row>
    <row r="96" spans="2:40">
      <c r="H96" s="27"/>
      <c r="I96" s="27"/>
    </row>
    <row r="97" spans="2:18">
      <c r="Q97" s="19"/>
    </row>
    <row r="98" spans="2:18">
      <c r="B98" s="19" t="s">
        <v>527</v>
      </c>
    </row>
    <row r="104" spans="2:18">
      <c r="O104" s="18"/>
      <c r="P104" s="18"/>
      <c r="Q104" s="18"/>
      <c r="R104" s="18"/>
    </row>
  </sheetData>
  <hyperlinks>
    <hyperlink ref="D2" r:id="rId1" xr:uid="{00000000-0004-0000-0600-000000000000}"/>
    <hyperlink ref="B98" r:id="rId2" xr:uid="{00000000-0004-0000-0600-000001000000}"/>
  </hyperlinks>
  <pageMargins left="0.7" right="0.7" top="0.78740157499999996" bottom="0.78740157499999996" header="0.3" footer="0.3"/>
  <pageSetup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AL110"/>
  <sheetViews>
    <sheetView topLeftCell="A63" workbookViewId="0">
      <selection activeCell="I94" sqref="I94"/>
    </sheetView>
  </sheetViews>
  <sheetFormatPr defaultColWidth="9.109375" defaultRowHeight="14.4"/>
  <cols>
    <col min="5" max="5" width="24.5546875" customWidth="1"/>
    <col min="6" max="6" width="11.109375" customWidth="1"/>
    <col min="8" max="8" width="11.6640625" style="18" customWidth="1"/>
    <col min="9" max="9" width="11.6640625" customWidth="1"/>
    <col min="11" max="11" width="12.6640625" customWidth="1"/>
    <col min="12" max="12" width="13.33203125" customWidth="1"/>
    <col min="13" max="13" width="13.5546875" customWidth="1"/>
    <col min="14" max="14" width="12.88671875" customWidth="1"/>
    <col min="15" max="15" width="18.6640625" bestFit="1" customWidth="1"/>
    <col min="16" max="16" width="16.109375" customWidth="1"/>
    <col min="17" max="17" width="10.5546875" customWidth="1"/>
    <col min="19" max="19" width="10.33203125" customWidth="1"/>
    <col min="20" max="20" width="13.33203125" customWidth="1"/>
    <col min="21" max="21" width="12.109375" customWidth="1"/>
    <col min="23" max="24" width="12.88671875" customWidth="1"/>
    <col min="26" max="26" width="14.44140625" bestFit="1" customWidth="1"/>
    <col min="28" max="28" width="10.6640625" customWidth="1"/>
    <col min="29" max="29" width="11.5546875" customWidth="1"/>
    <col min="31" max="31" width="10.5546875" customWidth="1"/>
    <col min="32" max="32" width="11.88671875" customWidth="1"/>
  </cols>
  <sheetData>
    <row r="2" spans="2:19">
      <c r="B2" s="7" t="s">
        <v>206</v>
      </c>
      <c r="C2" s="8"/>
      <c r="D2" s="118" t="s">
        <v>714</v>
      </c>
      <c r="E2" s="4"/>
      <c r="F2" s="4"/>
      <c r="G2" s="4"/>
      <c r="H2" s="43"/>
      <c r="I2" s="4"/>
      <c r="J2" s="4"/>
      <c r="K2" s="4"/>
      <c r="L2" s="4"/>
    </row>
    <row r="3" spans="2:19">
      <c r="D3" s="4" t="s">
        <v>672</v>
      </c>
      <c r="E3" s="4"/>
      <c r="F3" s="4"/>
      <c r="G3" s="4"/>
      <c r="H3" s="43"/>
      <c r="I3" s="4"/>
      <c r="J3" s="4"/>
      <c r="K3" s="4"/>
      <c r="L3" s="4"/>
    </row>
    <row r="5" spans="2:19">
      <c r="B5" s="7" t="s">
        <v>207</v>
      </c>
      <c r="C5" s="8"/>
      <c r="D5">
        <v>1</v>
      </c>
      <c r="E5" t="s">
        <v>612</v>
      </c>
    </row>
    <row r="7" spans="2:19">
      <c r="B7" s="7" t="s">
        <v>208</v>
      </c>
      <c r="C7" s="8"/>
      <c r="D7" t="s">
        <v>237</v>
      </c>
    </row>
    <row r="8" spans="2:19">
      <c r="D8" t="s">
        <v>160</v>
      </c>
    </row>
    <row r="9" spans="2:19" ht="15" thickBot="1"/>
    <row r="10" spans="2:19"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9" ht="15" thickBot="1">
      <c r="E11" s="72" t="s">
        <v>687</v>
      </c>
      <c r="F11" s="73" t="s">
        <v>685</v>
      </c>
      <c r="G11" s="73" t="s">
        <v>39</v>
      </c>
      <c r="H11" s="73" t="s">
        <v>40</v>
      </c>
      <c r="I11" s="74" t="s">
        <v>684</v>
      </c>
      <c r="J11" s="73" t="s">
        <v>689</v>
      </c>
      <c r="K11" s="73">
        <v>2.1549999999999998</v>
      </c>
      <c r="L11" s="73">
        <v>1.2699999999999999E-2</v>
      </c>
      <c r="M11" s="73">
        <v>1.133E-2</v>
      </c>
      <c r="N11" s="73">
        <v>5.44</v>
      </c>
      <c r="O11" s="73">
        <v>1.018</v>
      </c>
      <c r="P11" s="75">
        <v>3.6280000000000001</v>
      </c>
    </row>
    <row r="12" spans="2:19">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9">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c r="Q13" s="162"/>
      <c r="R13" s="162"/>
      <c r="S13" s="162"/>
    </row>
    <row r="14" spans="2:19">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c r="Q14" s="162"/>
      <c r="R14" s="162"/>
      <c r="S14" s="162"/>
    </row>
    <row r="15" spans="2:19">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c r="Q15" s="162"/>
      <c r="R15" s="162"/>
      <c r="S15" s="162"/>
    </row>
    <row r="16" spans="2:19">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c r="Q16" s="162"/>
      <c r="R16" s="162"/>
      <c r="S16" s="162"/>
    </row>
    <row r="17" spans="5:19">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c r="Q17" s="162"/>
      <c r="R17" s="162"/>
      <c r="S17" s="162"/>
    </row>
    <row r="18" spans="5:19">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c r="Q18" s="162"/>
      <c r="R18" s="162"/>
      <c r="S18" s="162"/>
    </row>
    <row r="19" spans="5:19">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c r="Q19" s="162"/>
      <c r="R19" s="162"/>
      <c r="S19" s="162"/>
    </row>
    <row r="20" spans="5:19">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c r="Q20" s="162"/>
      <c r="R20" s="162"/>
      <c r="S20" s="162"/>
    </row>
    <row r="21" spans="5:19">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c r="Q21" s="162"/>
      <c r="R21" s="162"/>
      <c r="S21" s="162"/>
    </row>
    <row r="22" spans="5:19">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c r="Q22" s="162"/>
      <c r="R22" s="162"/>
      <c r="S22" s="162"/>
    </row>
    <row r="23" spans="5:19">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c r="Q23" s="162"/>
      <c r="R23" s="162"/>
      <c r="S23" s="162"/>
    </row>
    <row r="24" spans="5:19">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c r="Q24" s="162"/>
      <c r="R24" s="162"/>
      <c r="S24" s="162"/>
    </row>
    <row r="25" spans="5:19">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c r="Q25" s="162"/>
      <c r="R25" s="162"/>
      <c r="S25" s="162"/>
    </row>
    <row r="26" spans="5:19">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c r="Q26" s="162"/>
      <c r="R26" s="162"/>
      <c r="S26" s="162"/>
    </row>
    <row r="27" spans="5:19">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c r="Q27" s="162"/>
      <c r="R27" s="162"/>
      <c r="S27" s="162"/>
    </row>
    <row r="28" spans="5:19">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c r="Q28" s="163"/>
      <c r="R28" s="163"/>
      <c r="S28" s="163"/>
    </row>
    <row r="29" spans="5:19">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c r="Q29" s="162"/>
      <c r="R29" s="162"/>
      <c r="S29" s="162"/>
    </row>
    <row r="30" spans="5:19">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c r="Q30" s="162"/>
      <c r="R30" s="162"/>
      <c r="S30" s="162"/>
    </row>
    <row r="31" spans="5:19">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c r="Q31" s="162"/>
      <c r="R31" s="162"/>
      <c r="S31" s="162"/>
    </row>
    <row r="32" spans="5:19">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c r="Q32" s="162"/>
      <c r="R32" s="162"/>
      <c r="S32" s="162"/>
    </row>
    <row r="33" spans="2:19">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c r="Q33" s="162"/>
      <c r="R33" s="162"/>
      <c r="S33" s="162"/>
    </row>
    <row r="34" spans="2:19">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c r="Q34" s="162"/>
      <c r="R34" s="162"/>
      <c r="S34" s="162"/>
    </row>
    <row r="35" spans="2:19">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c r="Q35" s="162"/>
      <c r="R35" s="162"/>
      <c r="S35" s="162"/>
    </row>
    <row r="36" spans="2:19">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c r="Q36" s="162"/>
      <c r="R36" s="162"/>
      <c r="S36" s="162"/>
    </row>
    <row r="37" spans="2:19">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c r="Q37" s="162"/>
      <c r="R37" s="162"/>
      <c r="S37" s="162"/>
    </row>
    <row r="38" spans="2:19">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c r="Q38" s="164"/>
      <c r="R38" s="162"/>
      <c r="S38" s="162"/>
    </row>
    <row r="39" spans="2:19">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c r="Q39" s="162"/>
      <c r="R39" s="162"/>
      <c r="S39" s="162"/>
    </row>
    <row r="40" spans="2:19">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c r="Q40" s="162"/>
      <c r="R40" s="162"/>
      <c r="S40" s="162"/>
    </row>
    <row r="41" spans="2:19">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c r="Q41" s="162"/>
      <c r="R41" s="162"/>
      <c r="S41" s="162"/>
    </row>
    <row r="42" spans="2:19">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c r="Q42" s="162"/>
      <c r="R42" s="162"/>
      <c r="S42" s="162"/>
    </row>
    <row r="43" spans="2:19"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c r="Q43" s="162"/>
      <c r="R43" s="162"/>
      <c r="S43" s="162"/>
    </row>
    <row r="45" spans="2:19">
      <c r="B45" s="5" t="s">
        <v>210</v>
      </c>
      <c r="C45" s="6"/>
    </row>
    <row r="47" spans="2:19">
      <c r="E47" s="7"/>
      <c r="H47" s="44" t="s">
        <v>724</v>
      </c>
      <c r="I47" s="44" t="s">
        <v>725</v>
      </c>
      <c r="J47" s="44" t="s">
        <v>726</v>
      </c>
      <c r="K47" s="44" t="s">
        <v>727</v>
      </c>
      <c r="L47" s="44" t="s">
        <v>728</v>
      </c>
      <c r="M47" s="44" t="s">
        <v>729</v>
      </c>
    </row>
    <row r="48" spans="2:19">
      <c r="E48" s="7" t="s">
        <v>212</v>
      </c>
      <c r="H48" s="44" t="s">
        <v>213</v>
      </c>
      <c r="I48" s="44" t="s">
        <v>213</v>
      </c>
      <c r="J48" s="44" t="s">
        <v>213</v>
      </c>
      <c r="K48" s="44" t="s">
        <v>213</v>
      </c>
      <c r="L48" s="44" t="s">
        <v>213</v>
      </c>
      <c r="M48" s="44" t="s">
        <v>213</v>
      </c>
    </row>
    <row r="49" spans="2:13">
      <c r="E49" s="7">
        <v>2010</v>
      </c>
      <c r="H49" s="44"/>
      <c r="I49" s="44"/>
      <c r="J49" s="44">
        <f>P$11</f>
        <v>3.6280000000000001</v>
      </c>
      <c r="K49" s="44"/>
      <c r="L49" s="44"/>
      <c r="M49" s="44"/>
    </row>
    <row r="50" spans="2:13">
      <c r="E50" s="7">
        <v>2020</v>
      </c>
      <c r="H50" s="44"/>
      <c r="I50" s="44"/>
      <c r="J50" s="44">
        <f t="shared" ref="J50:J53" si="0">P$11</f>
        <v>3.6280000000000001</v>
      </c>
      <c r="K50" s="44"/>
      <c r="L50" s="44"/>
      <c r="M50" s="44"/>
    </row>
    <row r="51" spans="2:13">
      <c r="E51" s="7">
        <v>2030</v>
      </c>
      <c r="H51" s="44"/>
      <c r="I51" s="44"/>
      <c r="J51" s="44">
        <f t="shared" si="0"/>
        <v>3.6280000000000001</v>
      </c>
      <c r="K51" s="44"/>
      <c r="L51" s="44"/>
      <c r="M51" s="44"/>
    </row>
    <row r="52" spans="2:13">
      <c r="E52" s="7">
        <v>2040</v>
      </c>
      <c r="H52" s="44"/>
      <c r="I52" s="44"/>
      <c r="J52" s="44">
        <f t="shared" si="0"/>
        <v>3.6280000000000001</v>
      </c>
      <c r="K52" s="44"/>
      <c r="L52" s="44"/>
      <c r="M52" s="44"/>
    </row>
    <row r="53" spans="2:13">
      <c r="E53" s="7">
        <v>2050</v>
      </c>
      <c r="H53" s="44"/>
      <c r="I53" s="44"/>
      <c r="J53" s="44">
        <f t="shared" si="0"/>
        <v>3.6280000000000001</v>
      </c>
      <c r="K53" s="44"/>
      <c r="L53" s="44"/>
      <c r="M53" s="44"/>
    </row>
    <row r="55" spans="2:13">
      <c r="B55" s="9" t="s">
        <v>214</v>
      </c>
      <c r="C55" s="10"/>
    </row>
    <row r="57" spans="2:13">
      <c r="E57" s="7"/>
      <c r="H57" s="45" t="s">
        <v>623</v>
      </c>
      <c r="J57" s="1" t="s">
        <v>14</v>
      </c>
    </row>
    <row r="58" spans="2:13">
      <c r="E58" s="7" t="s">
        <v>212</v>
      </c>
      <c r="H58" s="45" t="s">
        <v>216</v>
      </c>
    </row>
    <row r="59" spans="2:13">
      <c r="E59" s="7">
        <v>2010</v>
      </c>
      <c r="H59" s="45">
        <f>L$11</f>
        <v>1.2699999999999999E-2</v>
      </c>
    </row>
    <row r="60" spans="2:13">
      <c r="E60" s="7">
        <v>2020</v>
      </c>
      <c r="H60" s="45">
        <f t="shared" ref="H60:H63" si="1">L$11</f>
        <v>1.2699999999999999E-2</v>
      </c>
    </row>
    <row r="61" spans="2:13">
      <c r="E61" s="7">
        <v>2030</v>
      </c>
      <c r="H61" s="45">
        <f t="shared" si="1"/>
        <v>1.2699999999999999E-2</v>
      </c>
    </row>
    <row r="62" spans="2:13">
      <c r="E62" s="7">
        <v>2040</v>
      </c>
      <c r="H62" s="45">
        <f t="shared" si="1"/>
        <v>1.2699999999999999E-2</v>
      </c>
    </row>
    <row r="63" spans="2:13">
      <c r="E63" s="7">
        <v>2050</v>
      </c>
      <c r="H63" s="45">
        <f t="shared" si="1"/>
        <v>1.2699999999999999E-2</v>
      </c>
    </row>
    <row r="65" spans="2:20">
      <c r="B65" s="2" t="s">
        <v>217</v>
      </c>
      <c r="C65" s="4"/>
    </row>
    <row r="67" spans="2:20">
      <c r="E67" s="7"/>
      <c r="H67" s="46" t="s">
        <v>624</v>
      </c>
      <c r="J67" s="1" t="s">
        <v>15</v>
      </c>
    </row>
    <row r="68" spans="2:20">
      <c r="E68" s="7" t="s">
        <v>212</v>
      </c>
      <c r="H68" s="46" t="s">
        <v>219</v>
      </c>
    </row>
    <row r="69" spans="2:20">
      <c r="E69" s="7">
        <v>2010</v>
      </c>
      <c r="H69" s="46">
        <f>M$11</f>
        <v>1.133E-2</v>
      </c>
    </row>
    <row r="70" spans="2:20">
      <c r="E70" s="7">
        <v>2020</v>
      </c>
      <c r="H70" s="46">
        <f t="shared" ref="H70:H73" si="2">M$11</f>
        <v>1.133E-2</v>
      </c>
    </row>
    <row r="71" spans="2:20">
      <c r="E71" s="7">
        <v>2030</v>
      </c>
      <c r="H71" s="46">
        <f t="shared" si="2"/>
        <v>1.133E-2</v>
      </c>
    </row>
    <row r="72" spans="2:20">
      <c r="E72" s="7">
        <v>2040</v>
      </c>
      <c r="H72" s="46">
        <f t="shared" si="2"/>
        <v>1.133E-2</v>
      </c>
      <c r="T72" t="s">
        <v>248</v>
      </c>
    </row>
    <row r="73" spans="2:20">
      <c r="E73" s="7">
        <v>2050</v>
      </c>
      <c r="H73" s="46">
        <f t="shared" si="2"/>
        <v>1.133E-2</v>
      </c>
    </row>
    <row r="75" spans="2:20">
      <c r="B75" s="3" t="s">
        <v>629</v>
      </c>
      <c r="C75" s="12"/>
    </row>
    <row r="76" spans="2:20">
      <c r="B76" s="165"/>
      <c r="C76" s="162"/>
    </row>
    <row r="77" spans="2:20">
      <c r="H77" s="23" t="s">
        <v>220</v>
      </c>
      <c r="J77" s="3" t="s">
        <v>221</v>
      </c>
      <c r="L77" t="s">
        <v>224</v>
      </c>
    </row>
    <row r="78" spans="2:20">
      <c r="E78" s="7"/>
      <c r="H78" s="23" t="s">
        <v>625</v>
      </c>
      <c r="J78" s="3" t="s">
        <v>625</v>
      </c>
      <c r="L78">
        <f>K11-H90*H21/1000-I90/H16*K13-I90*H15/1000-J90/H26*K23-J90*H25/1000</f>
        <v>8.5287706489167059E-2</v>
      </c>
      <c r="M78" s="3" t="s">
        <v>223</v>
      </c>
      <c r="Q78" s="1" t="s">
        <v>667</v>
      </c>
      <c r="R78" t="s">
        <v>672</v>
      </c>
    </row>
    <row r="79" spans="2:20">
      <c r="E79" s="7" t="s">
        <v>212</v>
      </c>
      <c r="H79" s="23" t="s">
        <v>223</v>
      </c>
      <c r="J79" s="3" t="s">
        <v>223</v>
      </c>
      <c r="L79" s="180">
        <f>L78/K11</f>
        <v>3.9576661943929031E-2</v>
      </c>
      <c r="R79" t="s">
        <v>670</v>
      </c>
    </row>
    <row r="80" spans="2:20">
      <c r="E80" s="7">
        <v>2010</v>
      </c>
      <c r="H80" s="23">
        <f>L$78</f>
        <v>8.5287706489167059E-2</v>
      </c>
      <c r="J80" s="3">
        <f>(1-F100)*H80+F100*L$101</f>
        <v>8.5287706489167059E-2</v>
      </c>
      <c r="L80" s="16"/>
      <c r="R80" t="s">
        <v>711</v>
      </c>
    </row>
    <row r="81" spans="2:38">
      <c r="E81" s="7">
        <v>2020</v>
      </c>
      <c r="H81" s="23">
        <f t="shared" ref="H81:H84" si="3">L$78</f>
        <v>8.5287706489167059E-2</v>
      </c>
      <c r="J81" s="3">
        <f>(1-F101)*H81+F101*L$101</f>
        <v>8.5287706489167059E-2</v>
      </c>
      <c r="L81" s="15"/>
      <c r="R81" t="s">
        <v>712</v>
      </c>
    </row>
    <row r="82" spans="2:38">
      <c r="E82" s="7">
        <v>2030</v>
      </c>
      <c r="H82" s="23">
        <f t="shared" si="3"/>
        <v>8.5287706489167059E-2</v>
      </c>
      <c r="J82" s="3">
        <f>(1-F102)*H82+F102*L$101</f>
        <v>7.5601394542416933E-2</v>
      </c>
      <c r="L82" s="15"/>
      <c r="R82" t="s">
        <v>713</v>
      </c>
    </row>
    <row r="83" spans="2:38">
      <c r="E83" s="7">
        <v>2040</v>
      </c>
      <c r="H83" s="23">
        <f t="shared" si="3"/>
        <v>8.5287706489167059E-2</v>
      </c>
      <c r="J83" s="3">
        <f>(1-F103)*H83+F103*L$101</f>
        <v>6.2686311946750117E-2</v>
      </c>
      <c r="R83" t="s">
        <v>671</v>
      </c>
    </row>
    <row r="84" spans="2:38">
      <c r="E84" s="7">
        <v>2050</v>
      </c>
      <c r="H84" s="23">
        <f t="shared" si="3"/>
        <v>8.5287706489167059E-2</v>
      </c>
      <c r="J84" s="3">
        <f>(1-F104)*H84+F104*L$101</f>
        <v>5.2999999999999999E-2</v>
      </c>
      <c r="R84" t="s">
        <v>715</v>
      </c>
    </row>
    <row r="86" spans="2:38">
      <c r="B86" s="11" t="s">
        <v>225</v>
      </c>
      <c r="C86" s="13"/>
      <c r="P86" t="s">
        <v>321</v>
      </c>
      <c r="Q86" t="s">
        <v>321</v>
      </c>
      <c r="R86" t="s">
        <v>321</v>
      </c>
      <c r="S86" s="12" t="s">
        <v>283</v>
      </c>
      <c r="T86" t="s">
        <v>321</v>
      </c>
      <c r="U86" t="s">
        <v>321</v>
      </c>
      <c r="V86" s="162" t="s">
        <v>321</v>
      </c>
      <c r="W86" s="12" t="s">
        <v>283</v>
      </c>
      <c r="X86" s="12" t="s">
        <v>283</v>
      </c>
      <c r="Y86" s="162"/>
      <c r="Z86" s="162"/>
      <c r="AA86" s="162"/>
      <c r="AB86" s="162"/>
    </row>
    <row r="87" spans="2:38">
      <c r="E87" s="23" t="s">
        <v>220</v>
      </c>
      <c r="H87" s="23" t="s">
        <v>220</v>
      </c>
      <c r="I87" s="23" t="s">
        <v>220</v>
      </c>
      <c r="J87" s="23" t="s">
        <v>220</v>
      </c>
      <c r="M87" s="196" t="s">
        <v>692</v>
      </c>
      <c r="N87" s="12"/>
      <c r="O87" s="12"/>
      <c r="P87" s="12"/>
      <c r="Q87" s="12"/>
      <c r="R87" s="12"/>
      <c r="S87" s="162"/>
      <c r="T87" s="162"/>
      <c r="U87" s="167"/>
      <c r="V87" s="162"/>
      <c r="W87" s="162"/>
      <c r="X87" s="165"/>
      <c r="Y87" s="162"/>
      <c r="Z87" s="165"/>
      <c r="AA87" s="162"/>
      <c r="AC87" s="165"/>
      <c r="AD87" s="162"/>
    </row>
    <row r="88" spans="2:38" ht="19.8" customHeight="1">
      <c r="E88" s="168"/>
      <c r="F88" s="169"/>
      <c r="G88" s="169"/>
      <c r="H88" s="170" t="s">
        <v>751</v>
      </c>
      <c r="I88" s="170" t="s">
        <v>747</v>
      </c>
      <c r="J88" s="170" t="s">
        <v>767</v>
      </c>
      <c r="K88" s="171" t="s">
        <v>199</v>
      </c>
      <c r="M88" s="170" t="s">
        <v>174</v>
      </c>
      <c r="N88" s="170" t="s">
        <v>163</v>
      </c>
      <c r="O88" s="170" t="s">
        <v>195</v>
      </c>
      <c r="P88" s="170" t="s">
        <v>181</v>
      </c>
      <c r="Q88" s="170" t="s">
        <v>187</v>
      </c>
      <c r="R88" s="170" t="s">
        <v>423</v>
      </c>
      <c r="S88" s="170" t="s">
        <v>688</v>
      </c>
      <c r="T88" s="170" t="s">
        <v>695</v>
      </c>
      <c r="U88" s="170" t="s">
        <v>696</v>
      </c>
      <c r="V88" s="162"/>
      <c r="W88" s="162"/>
      <c r="X88" s="166"/>
      <c r="Y88" s="162"/>
      <c r="Z88" s="166"/>
      <c r="AA88" s="166"/>
      <c r="AC88" s="166"/>
      <c r="AD88" s="166"/>
    </row>
    <row r="89" spans="2:38">
      <c r="E89" s="168" t="s">
        <v>212</v>
      </c>
      <c r="F89" s="169"/>
      <c r="G89" s="169"/>
      <c r="H89" s="28" t="s">
        <v>171</v>
      </c>
      <c r="I89" s="172" t="s">
        <v>171</v>
      </c>
      <c r="J89" s="28" t="s">
        <v>171</v>
      </c>
      <c r="L89" s="28" t="s">
        <v>693</v>
      </c>
      <c r="M89">
        <f>0.05*3.6</f>
        <v>0.18000000000000002</v>
      </c>
      <c r="O89" s="162"/>
      <c r="Q89" s="162"/>
      <c r="R89" s="162"/>
      <c r="X89" s="162"/>
      <c r="Y89" s="165"/>
      <c r="Z89" s="165"/>
      <c r="AA89" s="162"/>
      <c r="AB89" s="165"/>
      <c r="AC89" s="162"/>
      <c r="AD89" s="165"/>
      <c r="AI89">
        <f>1.05*0.23211055</f>
        <v>0.24371607750000002</v>
      </c>
      <c r="AJ89" t="s">
        <v>690</v>
      </c>
      <c r="AK89">
        <f>0.86462087+0.2437160775</f>
        <v>1.1083369475</v>
      </c>
      <c r="AL89" s="162" t="s">
        <v>691</v>
      </c>
    </row>
    <row r="90" spans="2:38">
      <c r="E90" s="7">
        <v>2010</v>
      </c>
      <c r="H90" s="195">
        <f>SUM(M89:M93)</f>
        <v>0.33755760000000001</v>
      </c>
      <c r="I90" s="195">
        <f>SUM(N89:N93)</f>
        <v>2.6592000000000001E-2</v>
      </c>
      <c r="J90" s="195">
        <f>SUM(P89:P93)*P95</f>
        <v>16.849185368000001</v>
      </c>
      <c r="L90" s="28" t="s">
        <v>694</v>
      </c>
      <c r="P90" s="162">
        <f>1.108*0.15</f>
        <v>0.16620000000000001</v>
      </c>
      <c r="Q90" s="162"/>
      <c r="R90" s="162"/>
      <c r="S90" s="162">
        <f>1.108*9.724</f>
        <v>10.774192000000001</v>
      </c>
      <c r="T90" s="162">
        <f>1.108*0.4</f>
        <v>0.44320000000000004</v>
      </c>
      <c r="U90" s="162">
        <f>1.108*1.05</f>
        <v>1.1634000000000002</v>
      </c>
      <c r="V90" s="162"/>
      <c r="AB90" s="162"/>
      <c r="AC90" s="162"/>
      <c r="AD90" s="162"/>
      <c r="AE90" s="162"/>
    </row>
    <row r="91" spans="2:38">
      <c r="E91" s="7">
        <v>2020</v>
      </c>
      <c r="H91" s="195">
        <f>H90</f>
        <v>0.33755760000000001</v>
      </c>
      <c r="I91" s="195">
        <f t="shared" ref="I91:J91" si="4">I90</f>
        <v>2.6592000000000001E-2</v>
      </c>
      <c r="J91" s="195">
        <f t="shared" si="4"/>
        <v>16.849185368000001</v>
      </c>
      <c r="L91" s="28" t="s">
        <v>699</v>
      </c>
      <c r="O91" s="162"/>
      <c r="P91" s="162">
        <f>0.0385*S90</f>
        <v>0.41480639200000002</v>
      </c>
      <c r="Q91" s="162"/>
      <c r="R91" s="162"/>
      <c r="S91" s="162"/>
      <c r="W91" s="162"/>
      <c r="X91" s="162"/>
      <c r="Y91" s="162"/>
    </row>
    <row r="92" spans="2:38">
      <c r="E92" s="7">
        <v>2030</v>
      </c>
      <c r="H92" s="195">
        <f t="shared" ref="H92:H94" si="5">H91</f>
        <v>0.33755760000000001</v>
      </c>
      <c r="I92" s="195">
        <f t="shared" ref="I92:I94" si="6">I91</f>
        <v>2.6592000000000001E-2</v>
      </c>
      <c r="J92" s="195">
        <f t="shared" ref="J92:J94" si="7">J91</f>
        <v>16.849185368000001</v>
      </c>
      <c r="L92" s="28" t="s">
        <v>697</v>
      </c>
      <c r="M92">
        <f>0.02*3.6*T90</f>
        <v>3.1910400000000005E-2</v>
      </c>
      <c r="N92">
        <f>0.06*T90</f>
        <v>2.6592000000000001E-2</v>
      </c>
      <c r="O92" s="162"/>
      <c r="P92" s="162"/>
      <c r="Q92" s="162"/>
      <c r="R92" s="162"/>
      <c r="S92" s="162"/>
    </row>
    <row r="93" spans="2:38">
      <c r="E93" s="7">
        <v>2040</v>
      </c>
      <c r="H93" s="195">
        <f t="shared" si="5"/>
        <v>0.33755760000000001</v>
      </c>
      <c r="I93" s="195">
        <f t="shared" si="6"/>
        <v>2.6592000000000001E-2</v>
      </c>
      <c r="J93" s="195">
        <f t="shared" si="7"/>
        <v>16.849185368000001</v>
      </c>
      <c r="L93" s="28" t="s">
        <v>698</v>
      </c>
      <c r="M93">
        <f>0.03*3.6*U90</f>
        <v>0.12564720000000001</v>
      </c>
      <c r="O93" s="162"/>
      <c r="P93" s="162"/>
      <c r="Q93" s="162"/>
      <c r="R93" s="162"/>
      <c r="S93" s="162"/>
    </row>
    <row r="94" spans="2:38">
      <c r="E94" s="7">
        <v>2050</v>
      </c>
      <c r="H94" s="195">
        <f t="shared" si="5"/>
        <v>0.33755760000000001</v>
      </c>
      <c r="I94" s="195">
        <f t="shared" si="6"/>
        <v>2.6592000000000001E-2</v>
      </c>
      <c r="J94" s="195">
        <f t="shared" si="7"/>
        <v>16.849185368000001</v>
      </c>
    </row>
    <row r="95" spans="2:38">
      <c r="L95" t="s">
        <v>173</v>
      </c>
      <c r="O95" s="162"/>
      <c r="P95" s="162">
        <v>29</v>
      </c>
      <c r="Q95" s="162" t="s">
        <v>700</v>
      </c>
      <c r="R95" s="162"/>
      <c r="S95" s="162"/>
    </row>
    <row r="96" spans="2:38">
      <c r="O96" s="162"/>
      <c r="P96" s="162" t="s">
        <v>171</v>
      </c>
      <c r="Q96" s="162"/>
      <c r="R96" s="162"/>
      <c r="S96" s="162"/>
    </row>
    <row r="97" spans="4:35">
      <c r="E97" s="3" t="s">
        <v>221</v>
      </c>
      <c r="H97" s="3" t="s">
        <v>221</v>
      </c>
      <c r="I97" s="3" t="s">
        <v>221</v>
      </c>
      <c r="J97" s="3" t="s">
        <v>221</v>
      </c>
      <c r="O97" s="162"/>
      <c r="P97" s="162"/>
      <c r="Q97" s="162"/>
      <c r="R97" s="162"/>
      <c r="S97" s="162"/>
    </row>
    <row r="98" spans="4:35">
      <c r="E98" s="168"/>
      <c r="F98" s="169" t="s">
        <v>708</v>
      </c>
      <c r="G98" s="169"/>
      <c r="H98" s="170" t="s">
        <v>174</v>
      </c>
      <c r="I98" s="170" t="s">
        <v>163</v>
      </c>
      <c r="J98" s="170" t="s">
        <v>181</v>
      </c>
      <c r="L98" s="197" t="s">
        <v>701</v>
      </c>
      <c r="O98" s="162"/>
      <c r="P98" s="162"/>
      <c r="Q98" s="162"/>
      <c r="R98" s="162"/>
      <c r="S98" s="162"/>
    </row>
    <row r="99" spans="4:35">
      <c r="E99" s="168" t="s">
        <v>212</v>
      </c>
      <c r="F99" s="169"/>
      <c r="G99" s="169"/>
      <c r="H99" s="28" t="s">
        <v>171</v>
      </c>
      <c r="I99" s="172" t="s">
        <v>171</v>
      </c>
      <c r="J99" s="28" t="s">
        <v>171</v>
      </c>
      <c r="L99" t="s">
        <v>702</v>
      </c>
      <c r="M99" t="s">
        <v>703</v>
      </c>
      <c r="N99">
        <v>2019</v>
      </c>
      <c r="O99" s="174" t="s">
        <v>710</v>
      </c>
      <c r="P99" s="174"/>
    </row>
    <row r="100" spans="4:35">
      <c r="E100" s="7">
        <v>2010</v>
      </c>
      <c r="F100" s="199">
        <v>0</v>
      </c>
      <c r="H100" s="22">
        <f>(1-F100)*H90+F100*L$100</f>
        <v>0.33755760000000001</v>
      </c>
      <c r="I100" s="22">
        <f>(1-F100)*I90</f>
        <v>2.6592000000000001E-2</v>
      </c>
      <c r="J100" s="22">
        <f>(1-F100)*J90</f>
        <v>16.849185368000001</v>
      </c>
      <c r="K100" s="174"/>
      <c r="L100">
        <f>3.6*3.3</f>
        <v>11.879999999999999</v>
      </c>
      <c r="M100" s="174" t="s">
        <v>704</v>
      </c>
      <c r="N100" s="174" t="s">
        <v>706</v>
      </c>
      <c r="O100" s="174"/>
      <c r="P100" s="174"/>
    </row>
    <row r="101" spans="4:35">
      <c r="E101" s="7">
        <v>2020</v>
      </c>
      <c r="F101" s="199">
        <v>0</v>
      </c>
      <c r="H101" s="22">
        <f>(1-F101)*H91+F101*L$100</f>
        <v>0.33755760000000001</v>
      </c>
      <c r="I101" s="22">
        <f t="shared" ref="I101:I104" si="8">(1-F101)*I91</f>
        <v>2.6592000000000001E-2</v>
      </c>
      <c r="J101" s="22">
        <f>(1-F101)*J91</f>
        <v>16.849185368000001</v>
      </c>
      <c r="K101" s="174"/>
      <c r="L101">
        <v>5.2999999999999999E-2</v>
      </c>
      <c r="M101" s="198" t="s">
        <v>705</v>
      </c>
      <c r="N101" s="174" t="s">
        <v>707</v>
      </c>
      <c r="O101" s="174"/>
      <c r="P101" s="174"/>
      <c r="Q101" s="20"/>
    </row>
    <row r="102" spans="4:35">
      <c r="E102" s="7">
        <v>2030</v>
      </c>
      <c r="F102" s="199">
        <v>0.3</v>
      </c>
      <c r="H102" s="22">
        <f>(1-F102)*H92+F102*L$100</f>
        <v>3.8002903199999998</v>
      </c>
      <c r="I102" s="22">
        <f t="shared" si="8"/>
        <v>1.86144E-2</v>
      </c>
      <c r="J102" s="22">
        <f>(1-F102)*J92</f>
        <v>11.7944297576</v>
      </c>
      <c r="K102" s="193"/>
      <c r="L102" s="192"/>
      <c r="M102" s="192"/>
      <c r="N102" s="173"/>
      <c r="O102" s="192"/>
      <c r="P102" s="174"/>
    </row>
    <row r="103" spans="4:35">
      <c r="E103" s="7">
        <v>2040</v>
      </c>
      <c r="F103" s="199">
        <v>0.7</v>
      </c>
      <c r="H103" s="22">
        <f>(1-F103)*H93+F103*L$100</f>
        <v>8.417267279999999</v>
      </c>
      <c r="I103" s="22">
        <f t="shared" si="8"/>
        <v>7.9776000000000014E-3</v>
      </c>
      <c r="J103" s="22">
        <f>(1-F103)*J93</f>
        <v>5.0547556104000009</v>
      </c>
      <c r="K103" s="174"/>
      <c r="L103" s="192"/>
      <c r="M103" s="174"/>
      <c r="N103" s="173"/>
      <c r="O103" s="192"/>
      <c r="P103" s="174"/>
    </row>
    <row r="104" spans="4:35">
      <c r="E104" s="7">
        <v>2050</v>
      </c>
      <c r="F104" s="199">
        <v>1</v>
      </c>
      <c r="H104" s="22">
        <f>(1-F104)*H94+F104*L$100</f>
        <v>11.879999999999999</v>
      </c>
      <c r="I104" s="22">
        <f t="shared" si="8"/>
        <v>0</v>
      </c>
      <c r="J104" s="22">
        <f>(1-F104)*J94</f>
        <v>0</v>
      </c>
      <c r="K104" s="174"/>
      <c r="L104" s="192"/>
      <c r="M104" s="174"/>
      <c r="N104" s="173"/>
      <c r="O104" s="192"/>
      <c r="P104" s="174"/>
      <c r="Q104" s="19"/>
      <c r="W104" s="19"/>
      <c r="AI104" s="19"/>
    </row>
    <row r="105" spans="4:35">
      <c r="D105" s="31"/>
      <c r="L105" s="174"/>
      <c r="M105" s="174"/>
      <c r="N105" s="174"/>
      <c r="O105" s="192"/>
      <c r="P105" s="174"/>
      <c r="Q105" s="173"/>
      <c r="R105" s="192"/>
      <c r="S105" s="174"/>
    </row>
    <row r="106" spans="4:35">
      <c r="D106" s="164"/>
      <c r="F106" s="14" t="s">
        <v>248</v>
      </c>
      <c r="L106" s="174"/>
      <c r="M106" s="174"/>
      <c r="N106" s="174"/>
      <c r="O106" s="174"/>
      <c r="P106" s="173"/>
      <c r="Q106" s="174"/>
      <c r="R106" s="174"/>
      <c r="S106" s="174"/>
    </row>
    <row r="107" spans="4:35">
      <c r="L107" s="174"/>
      <c r="M107" s="174"/>
      <c r="N107" s="174"/>
      <c r="O107" s="194"/>
      <c r="P107" s="174"/>
      <c r="Q107" s="174"/>
      <c r="R107" s="174"/>
      <c r="S107" s="174"/>
    </row>
    <row r="108" spans="4:35">
      <c r="L108" s="174"/>
      <c r="M108" s="174"/>
      <c r="N108" s="174"/>
      <c r="O108" s="174"/>
      <c r="P108" s="174"/>
      <c r="Q108" s="174"/>
      <c r="R108" s="174"/>
      <c r="S108" s="174"/>
    </row>
    <row r="109" spans="4:35">
      <c r="H109"/>
      <c r="L109" s="174"/>
      <c r="M109" s="174"/>
      <c r="N109" s="174"/>
      <c r="O109" s="174"/>
      <c r="P109" s="174"/>
      <c r="Q109" s="174"/>
      <c r="R109" s="174"/>
      <c r="S109" s="174"/>
    </row>
    <row r="110" spans="4:35">
      <c r="H110"/>
      <c r="L110" s="174"/>
      <c r="M110" s="174"/>
      <c r="N110" s="174"/>
      <c r="O110" s="174"/>
      <c r="P110" s="174"/>
      <c r="Q110" s="174"/>
      <c r="R110" s="174"/>
      <c r="S110" s="174"/>
    </row>
  </sheetData>
  <pageMargins left="0.7" right="0.7" top="0.78740157499999996" bottom="0.78740157499999996" header="0.3" footer="0.3"/>
  <pageSetup orientation="portrait" r:id="rId1"/>
  <ignoredErrors>
    <ignoredError sqref="J9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
  <sheetViews>
    <sheetView topLeftCell="A11" workbookViewId="0"/>
  </sheetViews>
  <sheetFormatPr defaultColWidth="11.5546875" defaultRowHeight="14.4"/>
  <sheetData>
    <row r="2" spans="2:2">
      <c r="B2" t="s">
        <v>709</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AL110"/>
  <sheetViews>
    <sheetView topLeftCell="A68" workbookViewId="0">
      <selection activeCell="J89" sqref="J89"/>
    </sheetView>
  </sheetViews>
  <sheetFormatPr defaultColWidth="9.109375" defaultRowHeight="14.4"/>
  <cols>
    <col min="5" max="5" width="24.5546875" customWidth="1"/>
    <col min="6" max="6" width="11.109375" customWidth="1"/>
    <col min="8" max="8" width="11.6640625" style="18" customWidth="1"/>
    <col min="9" max="9" width="11.6640625" customWidth="1"/>
    <col min="11" max="11" width="12.6640625" customWidth="1"/>
    <col min="12" max="12" width="13.33203125" customWidth="1"/>
    <col min="13" max="13" width="13.5546875" customWidth="1"/>
    <col min="14" max="14" width="12.88671875" customWidth="1"/>
    <col min="15" max="15" width="18.6640625" bestFit="1" customWidth="1"/>
    <col min="16" max="16" width="16.109375" customWidth="1"/>
    <col min="17" max="17" width="10.5546875" customWidth="1"/>
    <col min="19" max="19" width="10.33203125" customWidth="1"/>
    <col min="20" max="20" width="13.33203125" customWidth="1"/>
    <col min="21" max="21" width="12.109375" customWidth="1"/>
    <col min="23" max="24" width="12.88671875" customWidth="1"/>
    <col min="26" max="26" width="14.44140625" bestFit="1" customWidth="1"/>
    <col min="28" max="28" width="10.6640625" customWidth="1"/>
    <col min="29" max="29" width="11.5546875" customWidth="1"/>
    <col min="31" max="31" width="10.5546875" customWidth="1"/>
    <col min="32" max="32" width="11.88671875" customWidth="1"/>
  </cols>
  <sheetData>
    <row r="2" spans="2:19">
      <c r="B2" s="7" t="s">
        <v>206</v>
      </c>
      <c r="C2" s="8"/>
      <c r="D2" s="118" t="s">
        <v>714</v>
      </c>
      <c r="E2" s="4"/>
      <c r="F2" s="4"/>
      <c r="G2" s="4"/>
      <c r="H2" s="43"/>
      <c r="I2" s="4"/>
      <c r="J2" s="4"/>
      <c r="K2" s="4"/>
      <c r="L2" s="4"/>
    </row>
    <row r="3" spans="2:19">
      <c r="D3" s="4" t="s">
        <v>672</v>
      </c>
      <c r="E3" s="4"/>
      <c r="F3" s="4"/>
      <c r="G3" s="4"/>
      <c r="H3" s="43"/>
      <c r="I3" s="4"/>
      <c r="J3" s="4"/>
      <c r="K3" s="4"/>
      <c r="L3" s="4"/>
    </row>
    <row r="5" spans="2:19">
      <c r="B5" s="7" t="s">
        <v>207</v>
      </c>
      <c r="C5" s="8"/>
      <c r="D5">
        <v>1</v>
      </c>
      <c r="E5" t="s">
        <v>679</v>
      </c>
      <c r="F5" t="s">
        <v>676</v>
      </c>
      <c r="H5"/>
    </row>
    <row r="6" spans="2:19">
      <c r="G6">
        <f>4.67-1.849</f>
        <v>2.8209999999999997</v>
      </c>
      <c r="H6" t="s">
        <v>677</v>
      </c>
    </row>
    <row r="7" spans="2:19">
      <c r="B7" s="7" t="s">
        <v>208</v>
      </c>
      <c r="C7" s="8"/>
      <c r="D7" t="s">
        <v>237</v>
      </c>
    </row>
    <row r="8" spans="2:19">
      <c r="D8" t="s">
        <v>160</v>
      </c>
    </row>
    <row r="9" spans="2:19" ht="15" thickBot="1"/>
    <row r="10" spans="2:19"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9" ht="15" thickBot="1">
      <c r="E11" s="72" t="s">
        <v>116</v>
      </c>
      <c r="F11" s="73" t="s">
        <v>118</v>
      </c>
      <c r="G11" s="73" t="s">
        <v>39</v>
      </c>
      <c r="H11" s="73" t="s">
        <v>40</v>
      </c>
      <c r="I11" s="74" t="s">
        <v>119</v>
      </c>
      <c r="J11" s="73"/>
      <c r="K11" s="73">
        <v>5.23</v>
      </c>
      <c r="L11" s="73">
        <v>0.12</v>
      </c>
      <c r="M11" s="73">
        <v>0.05</v>
      </c>
      <c r="N11" s="73">
        <v>9.6999999999999993</v>
      </c>
      <c r="O11" s="73">
        <v>2.2999999999999998</v>
      </c>
      <c r="P11" s="75">
        <v>4.91</v>
      </c>
    </row>
    <row r="12" spans="2:19">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9">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c r="Q13" s="162"/>
      <c r="R13" s="162"/>
      <c r="S13" s="162"/>
    </row>
    <row r="14" spans="2:19">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c r="Q14" s="162"/>
      <c r="R14" s="162"/>
      <c r="S14" s="162"/>
    </row>
    <row r="15" spans="2:19">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c r="Q15" s="162"/>
      <c r="R15" s="162"/>
      <c r="S15" s="162"/>
    </row>
    <row r="16" spans="2:19">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c r="Q16" s="162"/>
      <c r="R16" s="162"/>
      <c r="S16" s="162"/>
    </row>
    <row r="17" spans="5:19">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c r="Q17" s="162"/>
      <c r="R17" s="162"/>
      <c r="S17" s="162"/>
    </row>
    <row r="18" spans="5:19">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c r="Q18" s="162"/>
      <c r="R18" s="162"/>
      <c r="S18" s="162"/>
    </row>
    <row r="19" spans="5:19">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c r="Q19" s="162"/>
      <c r="R19" s="162"/>
      <c r="S19" s="162"/>
    </row>
    <row r="20" spans="5:19">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c r="Q20" s="162"/>
      <c r="R20" s="162"/>
      <c r="S20" s="162"/>
    </row>
    <row r="21" spans="5:19">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c r="Q21" s="162"/>
      <c r="R21" s="162"/>
      <c r="S21" s="162"/>
    </row>
    <row r="22" spans="5:19">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c r="Q22" s="162"/>
      <c r="R22" s="162"/>
      <c r="S22" s="162"/>
    </row>
    <row r="23" spans="5:19">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c r="Q23" s="162"/>
      <c r="R23" s="162"/>
      <c r="S23" s="162"/>
    </row>
    <row r="24" spans="5:19">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c r="Q24" s="162"/>
      <c r="R24" s="162"/>
      <c r="S24" s="162"/>
    </row>
    <row r="25" spans="5:19">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c r="Q25" s="162"/>
      <c r="R25" s="162"/>
      <c r="S25" s="162"/>
    </row>
    <row r="26" spans="5:19">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c r="Q26" s="162"/>
      <c r="R26" s="162"/>
      <c r="S26" s="162"/>
    </row>
    <row r="27" spans="5:19">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c r="Q27" s="162"/>
      <c r="R27" s="162"/>
      <c r="S27" s="162"/>
    </row>
    <row r="28" spans="5:19">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c r="Q28" s="163"/>
      <c r="R28" s="163"/>
      <c r="S28" s="163"/>
    </row>
    <row r="29" spans="5:19">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c r="Q29" s="162"/>
      <c r="R29" s="162"/>
      <c r="S29" s="162"/>
    </row>
    <row r="30" spans="5:19">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c r="Q30" s="162"/>
      <c r="R30" s="162"/>
      <c r="S30" s="162"/>
    </row>
    <row r="31" spans="5:19">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c r="Q31" s="162"/>
      <c r="R31" s="162"/>
      <c r="S31" s="162"/>
    </row>
    <row r="32" spans="5:19">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c r="Q32" s="162"/>
      <c r="R32" s="162"/>
      <c r="S32" s="162"/>
    </row>
    <row r="33" spans="2:19">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c r="Q33" s="162"/>
      <c r="R33" s="162"/>
      <c r="S33" s="162"/>
    </row>
    <row r="34" spans="2:19">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c r="Q34" s="162"/>
      <c r="R34" s="162"/>
      <c r="S34" s="162"/>
    </row>
    <row r="35" spans="2:19">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c r="Q35" s="162"/>
      <c r="R35" s="162"/>
      <c r="S35" s="162"/>
    </row>
    <row r="36" spans="2:19">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c r="Q36" s="162"/>
      <c r="R36" s="162"/>
      <c r="S36" s="162"/>
    </row>
    <row r="37" spans="2:19">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c r="Q37" s="162"/>
      <c r="R37" s="162"/>
      <c r="S37" s="162"/>
    </row>
    <row r="38" spans="2:19">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c r="Q38" s="164"/>
      <c r="R38" s="162"/>
      <c r="S38" s="162"/>
    </row>
    <row r="39" spans="2:19">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c r="Q39" s="162"/>
      <c r="R39" s="162"/>
      <c r="S39" s="162"/>
    </row>
    <row r="40" spans="2:19">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c r="Q40" s="162"/>
      <c r="R40" s="162"/>
      <c r="S40" s="162"/>
    </row>
    <row r="41" spans="2:19">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c r="Q41" s="162"/>
      <c r="R41" s="162"/>
      <c r="S41" s="162"/>
    </row>
    <row r="42" spans="2:19">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c r="Q42" s="162"/>
      <c r="R42" s="162"/>
      <c r="S42" s="162"/>
    </row>
    <row r="43" spans="2:19"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c r="Q43" s="162"/>
      <c r="R43" s="162"/>
      <c r="S43" s="162"/>
    </row>
    <row r="45" spans="2:19">
      <c r="B45" s="5" t="s">
        <v>210</v>
      </c>
      <c r="C45" s="6"/>
    </row>
    <row r="47" spans="2:19">
      <c r="E47" s="7"/>
      <c r="H47" s="44" t="s">
        <v>724</v>
      </c>
      <c r="I47" s="44" t="s">
        <v>725</v>
      </c>
      <c r="J47" s="44" t="s">
        <v>726</v>
      </c>
      <c r="K47" s="44" t="s">
        <v>727</v>
      </c>
      <c r="L47" s="44" t="s">
        <v>728</v>
      </c>
      <c r="M47" s="44" t="s">
        <v>729</v>
      </c>
    </row>
    <row r="48" spans="2:19">
      <c r="E48" s="7" t="s">
        <v>212</v>
      </c>
      <c r="H48" s="44" t="s">
        <v>213</v>
      </c>
      <c r="I48" s="44" t="s">
        <v>213</v>
      </c>
      <c r="J48" s="44" t="s">
        <v>213</v>
      </c>
      <c r="K48" s="44" t="s">
        <v>213</v>
      </c>
      <c r="L48" s="44" t="s">
        <v>213</v>
      </c>
      <c r="M48" s="44" t="s">
        <v>213</v>
      </c>
    </row>
    <row r="49" spans="2:13">
      <c r="E49" s="7">
        <v>2010</v>
      </c>
      <c r="H49" s="44"/>
      <c r="I49" s="44"/>
      <c r="J49" s="44">
        <f>P$11</f>
        <v>4.91</v>
      </c>
      <c r="K49" s="44"/>
      <c r="L49" s="44"/>
      <c r="M49" s="44"/>
    </row>
    <row r="50" spans="2:13">
      <c r="E50" s="7">
        <v>2020</v>
      </c>
      <c r="H50" s="44"/>
      <c r="I50" s="44"/>
      <c r="J50" s="44">
        <f t="shared" ref="J50:J53" si="0">P$11</f>
        <v>4.91</v>
      </c>
      <c r="K50" s="44"/>
      <c r="L50" s="44"/>
      <c r="M50" s="44"/>
    </row>
    <row r="51" spans="2:13">
      <c r="E51" s="7">
        <v>2030</v>
      </c>
      <c r="H51" s="44"/>
      <c r="I51" s="44"/>
      <c r="J51" s="44">
        <f t="shared" si="0"/>
        <v>4.91</v>
      </c>
      <c r="K51" s="44"/>
      <c r="L51" s="44"/>
      <c r="M51" s="44"/>
    </row>
    <row r="52" spans="2:13">
      <c r="E52" s="7">
        <v>2040</v>
      </c>
      <c r="H52" s="44"/>
      <c r="I52" s="44"/>
      <c r="J52" s="44">
        <f t="shared" si="0"/>
        <v>4.91</v>
      </c>
      <c r="K52" s="44"/>
      <c r="L52" s="44"/>
      <c r="M52" s="44"/>
    </row>
    <row r="53" spans="2:13">
      <c r="E53" s="7">
        <v>2050</v>
      </c>
      <c r="H53" s="44"/>
      <c r="I53" s="44"/>
      <c r="J53" s="44">
        <f t="shared" si="0"/>
        <v>4.91</v>
      </c>
      <c r="K53" s="44"/>
      <c r="L53" s="44"/>
      <c r="M53" s="44"/>
    </row>
    <row r="55" spans="2:13">
      <c r="B55" s="9" t="s">
        <v>214</v>
      </c>
      <c r="C55" s="10"/>
    </row>
    <row r="57" spans="2:13">
      <c r="E57" s="7"/>
      <c r="H57" s="45" t="s">
        <v>623</v>
      </c>
      <c r="J57" s="1" t="s">
        <v>14</v>
      </c>
    </row>
    <row r="58" spans="2:13">
      <c r="E58" s="7" t="s">
        <v>212</v>
      </c>
      <c r="H58" s="45" t="s">
        <v>216</v>
      </c>
    </row>
    <row r="59" spans="2:13">
      <c r="E59" s="7">
        <v>2010</v>
      </c>
      <c r="H59" s="45">
        <f>L$11</f>
        <v>0.12</v>
      </c>
    </row>
    <row r="60" spans="2:13">
      <c r="E60" s="7">
        <v>2020</v>
      </c>
      <c r="H60" s="45">
        <f t="shared" ref="H60:H63" si="1">L$11</f>
        <v>0.12</v>
      </c>
    </row>
    <row r="61" spans="2:13">
      <c r="E61" s="7">
        <v>2030</v>
      </c>
      <c r="H61" s="45">
        <f t="shared" si="1"/>
        <v>0.12</v>
      </c>
    </row>
    <row r="62" spans="2:13">
      <c r="E62" s="7">
        <v>2040</v>
      </c>
      <c r="H62" s="45">
        <f t="shared" si="1"/>
        <v>0.12</v>
      </c>
    </row>
    <row r="63" spans="2:13">
      <c r="E63" s="7">
        <v>2050</v>
      </c>
      <c r="H63" s="45">
        <f t="shared" si="1"/>
        <v>0.12</v>
      </c>
    </row>
    <row r="65" spans="2:20">
      <c r="B65" s="2" t="s">
        <v>217</v>
      </c>
      <c r="C65" s="4"/>
    </row>
    <row r="67" spans="2:20">
      <c r="E67" s="7"/>
      <c r="H67" s="46" t="s">
        <v>624</v>
      </c>
      <c r="J67" s="1" t="s">
        <v>15</v>
      </c>
    </row>
    <row r="68" spans="2:20">
      <c r="E68" s="7" t="s">
        <v>212</v>
      </c>
      <c r="H68" s="46" t="s">
        <v>219</v>
      </c>
    </row>
    <row r="69" spans="2:20">
      <c r="E69" s="7">
        <v>2010</v>
      </c>
      <c r="H69" s="46">
        <f>M$11</f>
        <v>0.05</v>
      </c>
    </row>
    <row r="70" spans="2:20">
      <c r="E70" s="7">
        <v>2020</v>
      </c>
      <c r="H70" s="46">
        <f t="shared" ref="H70:H73" si="2">M$11</f>
        <v>0.05</v>
      </c>
    </row>
    <row r="71" spans="2:20">
      <c r="E71" s="7">
        <v>2030</v>
      </c>
      <c r="H71" s="46">
        <f t="shared" si="2"/>
        <v>0.05</v>
      </c>
    </row>
    <row r="72" spans="2:20">
      <c r="E72" s="7">
        <v>2040</v>
      </c>
      <c r="H72" s="46">
        <f t="shared" si="2"/>
        <v>0.05</v>
      </c>
      <c r="T72" t="s">
        <v>248</v>
      </c>
    </row>
    <row r="73" spans="2:20">
      <c r="E73" s="7">
        <v>2050</v>
      </c>
      <c r="H73" s="46">
        <f t="shared" si="2"/>
        <v>0.05</v>
      </c>
    </row>
    <row r="75" spans="2:20">
      <c r="B75" s="3" t="s">
        <v>629</v>
      </c>
      <c r="C75" s="12"/>
    </row>
    <row r="76" spans="2:20">
      <c r="B76" s="165"/>
      <c r="C76" s="162"/>
    </row>
    <row r="77" spans="2:20">
      <c r="H77" s="23" t="s">
        <v>220</v>
      </c>
      <c r="J77" s="3" t="s">
        <v>221</v>
      </c>
      <c r="L77" t="s">
        <v>224</v>
      </c>
    </row>
    <row r="78" spans="2:20">
      <c r="E78" s="7"/>
      <c r="H78" s="23" t="s">
        <v>625</v>
      </c>
      <c r="J78" s="3" t="s">
        <v>625</v>
      </c>
      <c r="L78">
        <f>K11-H90*H21/1000-I90/H16*K13-I90*H15/1000-J90/H26*K23-J90*H25/1000</f>
        <v>3.1602877064891675</v>
      </c>
      <c r="M78" s="3" t="s">
        <v>223</v>
      </c>
      <c r="Q78" s="1" t="s">
        <v>667</v>
      </c>
      <c r="R78" t="s">
        <v>672</v>
      </c>
    </row>
    <row r="79" spans="2:20">
      <c r="E79" s="7" t="s">
        <v>212</v>
      </c>
      <c r="H79" s="23" t="s">
        <v>223</v>
      </c>
      <c r="J79" s="3" t="s">
        <v>223</v>
      </c>
      <c r="L79" s="180">
        <f>L78/K11</f>
        <v>0.60426151175701093</v>
      </c>
      <c r="R79" t="s">
        <v>670</v>
      </c>
    </row>
    <row r="80" spans="2:20">
      <c r="E80" s="7">
        <v>2010</v>
      </c>
      <c r="H80" s="23">
        <f>L$78+M82</f>
        <v>5.9812877064891676</v>
      </c>
      <c r="J80" s="3">
        <f>(1-F100)*H80+F100*(L$101+M$82)</f>
        <v>5.9812877064891676</v>
      </c>
      <c r="L80" s="16"/>
      <c r="R80" t="s">
        <v>711</v>
      </c>
    </row>
    <row r="81" spans="2:38">
      <c r="E81" s="7">
        <v>2020</v>
      </c>
      <c r="H81" s="23">
        <f t="shared" ref="H81:H84" si="3">L$78+2.821</f>
        <v>5.9812877064891676</v>
      </c>
      <c r="J81" s="3">
        <f>(1-F101)*H81+F101*(L$101+M$82)</f>
        <v>5.9812877064891676</v>
      </c>
      <c r="L81" t="s">
        <v>676</v>
      </c>
      <c r="R81" t="s">
        <v>712</v>
      </c>
    </row>
    <row r="82" spans="2:38">
      <c r="E82" s="7">
        <v>2030</v>
      </c>
      <c r="H82" s="23">
        <f t="shared" si="3"/>
        <v>5.9812877064891676</v>
      </c>
      <c r="J82" s="3">
        <f>(1-F102)*H82+F102*(L$101+M$82)</f>
        <v>5.0491013945424168</v>
      </c>
      <c r="M82" s="200">
        <f>4.67-1.849</f>
        <v>2.8209999999999997</v>
      </c>
      <c r="N82" t="s">
        <v>677</v>
      </c>
      <c r="R82" t="s">
        <v>713</v>
      </c>
    </row>
    <row r="83" spans="2:38">
      <c r="E83" s="7">
        <v>2040</v>
      </c>
      <c r="H83" s="23">
        <f t="shared" si="3"/>
        <v>5.9812877064891676</v>
      </c>
      <c r="J83" s="3">
        <f>(1-F103)*H83+F103*(L$101+M$82)</f>
        <v>3.8061863119467501</v>
      </c>
      <c r="R83" t="s">
        <v>671</v>
      </c>
    </row>
    <row r="84" spans="2:38">
      <c r="E84" s="7">
        <v>2050</v>
      </c>
      <c r="H84" s="23">
        <f t="shared" si="3"/>
        <v>5.9812877064891676</v>
      </c>
      <c r="J84" s="3">
        <f>(1-F104)*H84+F104*(L$101+M$82)</f>
        <v>2.8739999999999997</v>
      </c>
      <c r="R84" t="s">
        <v>715</v>
      </c>
    </row>
    <row r="86" spans="2:38">
      <c r="B86" s="11" t="s">
        <v>225</v>
      </c>
      <c r="C86" s="13"/>
      <c r="P86" t="s">
        <v>321</v>
      </c>
      <c r="Q86" t="s">
        <v>321</v>
      </c>
      <c r="R86" t="s">
        <v>321</v>
      </c>
      <c r="S86" s="12" t="s">
        <v>283</v>
      </c>
      <c r="T86" t="s">
        <v>321</v>
      </c>
      <c r="U86" t="s">
        <v>321</v>
      </c>
      <c r="V86" s="162" t="s">
        <v>321</v>
      </c>
      <c r="W86" s="12" t="s">
        <v>283</v>
      </c>
      <c r="X86" s="12" t="s">
        <v>283</v>
      </c>
      <c r="Y86" s="162"/>
      <c r="Z86" s="162"/>
      <c r="AA86" s="162"/>
      <c r="AB86" s="162"/>
    </row>
    <row r="87" spans="2:38">
      <c r="E87" s="23" t="s">
        <v>220</v>
      </c>
      <c r="H87" s="23" t="s">
        <v>220</v>
      </c>
      <c r="I87" s="23" t="s">
        <v>220</v>
      </c>
      <c r="J87" s="23" t="s">
        <v>220</v>
      </c>
      <c r="M87" s="196" t="s">
        <v>692</v>
      </c>
      <c r="N87" s="12"/>
      <c r="O87" s="12"/>
      <c r="P87" s="12"/>
      <c r="Q87" s="12"/>
      <c r="R87" s="12"/>
      <c r="S87" s="162"/>
      <c r="T87" s="162"/>
      <c r="U87" s="167"/>
      <c r="V87" s="162"/>
      <c r="W87" s="162"/>
      <c r="X87" s="165"/>
      <c r="Y87" s="162"/>
      <c r="Z87" s="165"/>
      <c r="AA87" s="162"/>
      <c r="AC87" s="165"/>
      <c r="AD87" s="162"/>
    </row>
    <row r="88" spans="2:38" ht="19.8" customHeight="1">
      <c r="E88" s="168"/>
      <c r="F88" s="169"/>
      <c r="G88" s="169"/>
      <c r="H88" s="170" t="s">
        <v>751</v>
      </c>
      <c r="I88" s="170" t="s">
        <v>747</v>
      </c>
      <c r="J88" s="170" t="s">
        <v>767</v>
      </c>
      <c r="K88" s="171" t="s">
        <v>199</v>
      </c>
      <c r="M88" s="170" t="s">
        <v>174</v>
      </c>
      <c r="N88" s="170" t="s">
        <v>163</v>
      </c>
      <c r="O88" s="170" t="s">
        <v>195</v>
      </c>
      <c r="P88" s="170" t="s">
        <v>181</v>
      </c>
      <c r="Q88" s="170" t="s">
        <v>187</v>
      </c>
      <c r="R88" s="170" t="s">
        <v>423</v>
      </c>
      <c r="S88" s="170" t="s">
        <v>688</v>
      </c>
      <c r="T88" s="170" t="s">
        <v>695</v>
      </c>
      <c r="U88" s="170" t="s">
        <v>696</v>
      </c>
      <c r="V88" s="162"/>
      <c r="W88" s="162"/>
      <c r="X88" s="166"/>
      <c r="Y88" s="162"/>
      <c r="Z88" s="166"/>
      <c r="AA88" s="166"/>
      <c r="AC88" s="166"/>
      <c r="AD88" s="166"/>
    </row>
    <row r="89" spans="2:38">
      <c r="E89" s="168" t="s">
        <v>212</v>
      </c>
      <c r="F89" s="169"/>
      <c r="G89" s="169"/>
      <c r="H89" s="28" t="s">
        <v>171</v>
      </c>
      <c r="I89" s="172" t="s">
        <v>171</v>
      </c>
      <c r="J89" s="28" t="s">
        <v>171</v>
      </c>
      <c r="L89" s="28" t="s">
        <v>693</v>
      </c>
      <c r="M89">
        <f>0.05*3.6</f>
        <v>0.18000000000000002</v>
      </c>
      <c r="O89" s="162"/>
      <c r="Q89" s="162"/>
      <c r="R89" s="162"/>
      <c r="X89" s="162"/>
      <c r="Y89" s="165"/>
      <c r="Z89" s="165"/>
      <c r="AA89" s="162"/>
      <c r="AB89" s="165"/>
      <c r="AC89" s="162"/>
      <c r="AD89" s="165"/>
      <c r="AI89">
        <f>1.05*0.23211055</f>
        <v>0.24371607750000002</v>
      </c>
      <c r="AJ89" t="s">
        <v>690</v>
      </c>
      <c r="AK89">
        <f>0.86462087+0.2437160775</f>
        <v>1.1083369475</v>
      </c>
      <c r="AL89" s="162" t="s">
        <v>691</v>
      </c>
    </row>
    <row r="90" spans="2:38">
      <c r="E90" s="7">
        <v>2010</v>
      </c>
      <c r="H90" s="195">
        <f>SUM(M89:M93)</f>
        <v>0.33755760000000001</v>
      </c>
      <c r="I90" s="195">
        <f>SUM(N89:N93)</f>
        <v>2.6592000000000001E-2</v>
      </c>
      <c r="J90" s="195">
        <f>SUM(P89:P93)*P95</f>
        <v>16.849185368000001</v>
      </c>
      <c r="L90" s="28" t="s">
        <v>694</v>
      </c>
      <c r="P90" s="162">
        <f>1.108*0.15</f>
        <v>0.16620000000000001</v>
      </c>
      <c r="Q90" s="162"/>
      <c r="R90" s="162"/>
      <c r="S90" s="162">
        <f>1.108*9.724</f>
        <v>10.774192000000001</v>
      </c>
      <c r="T90" s="162">
        <f>1.108*0.4</f>
        <v>0.44320000000000004</v>
      </c>
      <c r="U90" s="162">
        <f>1.108*1.05</f>
        <v>1.1634000000000002</v>
      </c>
      <c r="V90" s="162"/>
      <c r="AB90" s="162"/>
      <c r="AC90" s="162"/>
      <c r="AD90" s="162"/>
      <c r="AE90" s="162"/>
    </row>
    <row r="91" spans="2:38">
      <c r="E91" s="7">
        <v>2020</v>
      </c>
      <c r="H91" s="195">
        <f>H90</f>
        <v>0.33755760000000001</v>
      </c>
      <c r="I91" s="195">
        <f t="shared" ref="I91:J94" si="4">I90</f>
        <v>2.6592000000000001E-2</v>
      </c>
      <c r="J91" s="195">
        <f t="shared" si="4"/>
        <v>16.849185368000001</v>
      </c>
      <c r="L91" s="28" t="s">
        <v>699</v>
      </c>
      <c r="O91" s="162"/>
      <c r="P91" s="162">
        <f>0.0385*S90</f>
        <v>0.41480639200000002</v>
      </c>
      <c r="Q91" s="162"/>
      <c r="R91" s="162"/>
      <c r="S91" s="162"/>
      <c r="W91" s="162"/>
      <c r="X91" s="162"/>
      <c r="Y91" s="162"/>
    </row>
    <row r="92" spans="2:38">
      <c r="E92" s="7">
        <v>2030</v>
      </c>
      <c r="H92" s="195">
        <f t="shared" ref="H92:H94" si="5">H91</f>
        <v>0.33755760000000001</v>
      </c>
      <c r="I92" s="195">
        <f t="shared" si="4"/>
        <v>2.6592000000000001E-2</v>
      </c>
      <c r="J92" s="195">
        <f t="shared" si="4"/>
        <v>16.849185368000001</v>
      </c>
      <c r="L92" s="28" t="s">
        <v>697</v>
      </c>
      <c r="M92">
        <f>0.02*3.6*T90</f>
        <v>3.1910400000000005E-2</v>
      </c>
      <c r="N92">
        <f>0.06*T90</f>
        <v>2.6592000000000001E-2</v>
      </c>
      <c r="O92" s="162"/>
      <c r="P92" s="162"/>
      <c r="Q92" s="162"/>
      <c r="R92" s="162"/>
      <c r="S92" s="162"/>
    </row>
    <row r="93" spans="2:38">
      <c r="E93" s="7">
        <v>2040</v>
      </c>
      <c r="H93" s="195">
        <f t="shared" si="5"/>
        <v>0.33755760000000001</v>
      </c>
      <c r="I93" s="195">
        <f t="shared" si="4"/>
        <v>2.6592000000000001E-2</v>
      </c>
      <c r="J93" s="195">
        <f t="shared" si="4"/>
        <v>16.849185368000001</v>
      </c>
      <c r="L93" s="28" t="s">
        <v>698</v>
      </c>
      <c r="M93">
        <f>0.03*3.6*U90</f>
        <v>0.12564720000000001</v>
      </c>
      <c r="O93" s="162"/>
      <c r="P93" s="162"/>
      <c r="Q93" s="162"/>
      <c r="R93" s="162"/>
      <c r="S93" s="162"/>
    </row>
    <row r="94" spans="2:38">
      <c r="E94" s="7">
        <v>2050</v>
      </c>
      <c r="H94" s="195">
        <f t="shared" si="5"/>
        <v>0.33755760000000001</v>
      </c>
      <c r="I94" s="195">
        <f t="shared" si="4"/>
        <v>2.6592000000000001E-2</v>
      </c>
      <c r="J94" s="195">
        <f t="shared" si="4"/>
        <v>16.849185368000001</v>
      </c>
    </row>
    <row r="95" spans="2:38">
      <c r="L95" t="s">
        <v>173</v>
      </c>
      <c r="O95" s="162"/>
      <c r="P95" s="162">
        <v>29</v>
      </c>
      <c r="Q95" s="162" t="s">
        <v>700</v>
      </c>
      <c r="R95" s="162"/>
      <c r="S95" s="162"/>
    </row>
    <row r="96" spans="2:38">
      <c r="O96" s="162"/>
      <c r="P96" s="162" t="s">
        <v>171</v>
      </c>
      <c r="Q96" s="162"/>
      <c r="R96" s="162"/>
      <c r="S96" s="162"/>
    </row>
    <row r="97" spans="4:35">
      <c r="E97" s="3" t="s">
        <v>221</v>
      </c>
      <c r="H97" s="3" t="s">
        <v>221</v>
      </c>
      <c r="I97" s="3" t="s">
        <v>221</v>
      </c>
      <c r="J97" s="3" t="s">
        <v>221</v>
      </c>
      <c r="O97" s="162"/>
      <c r="P97" s="162"/>
      <c r="Q97" s="162"/>
      <c r="R97" s="162"/>
      <c r="S97" s="162"/>
    </row>
    <row r="98" spans="4:35">
      <c r="E98" s="168"/>
      <c r="F98" s="169" t="s">
        <v>708</v>
      </c>
      <c r="G98" s="169"/>
      <c r="H98" s="170" t="s">
        <v>174</v>
      </c>
      <c r="I98" s="170" t="s">
        <v>163</v>
      </c>
      <c r="J98" s="170" t="s">
        <v>181</v>
      </c>
      <c r="L98" s="197" t="s">
        <v>701</v>
      </c>
      <c r="O98" s="162"/>
      <c r="P98" s="162"/>
      <c r="Q98" s="162"/>
      <c r="R98" s="162"/>
      <c r="S98" s="162"/>
    </row>
    <row r="99" spans="4:35">
      <c r="E99" s="168" t="s">
        <v>212</v>
      </c>
      <c r="F99" s="169"/>
      <c r="G99" s="169"/>
      <c r="H99" s="28" t="s">
        <v>171</v>
      </c>
      <c r="I99" s="172" t="s">
        <v>171</v>
      </c>
      <c r="J99" s="28" t="s">
        <v>171</v>
      </c>
      <c r="L99" t="s">
        <v>702</v>
      </c>
      <c r="M99" t="s">
        <v>703</v>
      </c>
      <c r="N99">
        <v>2019</v>
      </c>
      <c r="O99" s="174" t="s">
        <v>710</v>
      </c>
      <c r="P99" s="174"/>
    </row>
    <row r="100" spans="4:35">
      <c r="E100" s="7">
        <v>2010</v>
      </c>
      <c r="F100" s="199">
        <v>0</v>
      </c>
      <c r="H100" s="22">
        <f>(1-F100)*H90+F100*L$100</f>
        <v>0.33755760000000001</v>
      </c>
      <c r="I100" s="22">
        <f>(1-F100)*I90</f>
        <v>2.6592000000000001E-2</v>
      </c>
      <c r="J100" s="22">
        <f>(1-F100)*J90</f>
        <v>16.849185368000001</v>
      </c>
      <c r="K100" s="174"/>
      <c r="L100">
        <f>3.6*3.3</f>
        <v>11.879999999999999</v>
      </c>
      <c r="M100" s="174" t="s">
        <v>704</v>
      </c>
      <c r="N100" s="174" t="s">
        <v>706</v>
      </c>
      <c r="O100" s="174"/>
      <c r="P100" s="174"/>
    </row>
    <row r="101" spans="4:35">
      <c r="E101" s="7">
        <v>2020</v>
      </c>
      <c r="F101" s="199">
        <v>0</v>
      </c>
      <c r="H101" s="22">
        <f>(1-F101)*H91+F101*L$100</f>
        <v>0.33755760000000001</v>
      </c>
      <c r="I101" s="22">
        <f t="shared" ref="I101:I104" si="6">(1-F101)*I91</f>
        <v>2.6592000000000001E-2</v>
      </c>
      <c r="J101" s="22">
        <f>(1-F101)*J91</f>
        <v>16.849185368000001</v>
      </c>
      <c r="K101" s="174"/>
      <c r="L101">
        <v>5.2999999999999999E-2</v>
      </c>
      <c r="M101" s="198" t="s">
        <v>705</v>
      </c>
      <c r="N101" s="174" t="s">
        <v>707</v>
      </c>
      <c r="O101" s="174"/>
      <c r="P101" s="174"/>
      <c r="Q101" s="20"/>
    </row>
    <row r="102" spans="4:35">
      <c r="E102" s="7">
        <v>2030</v>
      </c>
      <c r="F102" s="199">
        <v>0.3</v>
      </c>
      <c r="H102" s="22">
        <f>(1-F102)*H92+F102*L$100</f>
        <v>3.8002903199999998</v>
      </c>
      <c r="I102" s="22">
        <f t="shared" si="6"/>
        <v>1.86144E-2</v>
      </c>
      <c r="J102" s="22">
        <f>(1-F102)*J92</f>
        <v>11.7944297576</v>
      </c>
      <c r="K102" s="193"/>
      <c r="L102" s="192"/>
      <c r="M102" s="192"/>
      <c r="N102" s="173"/>
      <c r="O102" s="192"/>
      <c r="P102" s="174"/>
    </row>
    <row r="103" spans="4:35">
      <c r="E103" s="7">
        <v>2040</v>
      </c>
      <c r="F103" s="199">
        <v>0.7</v>
      </c>
      <c r="H103" s="22">
        <f>(1-F103)*H93+F103*L$100</f>
        <v>8.417267279999999</v>
      </c>
      <c r="I103" s="22">
        <f t="shared" si="6"/>
        <v>7.9776000000000014E-3</v>
      </c>
      <c r="J103" s="22">
        <f>(1-F103)*J93</f>
        <v>5.0547556104000009</v>
      </c>
      <c r="K103" s="174"/>
      <c r="L103" s="192"/>
      <c r="M103" s="174"/>
      <c r="N103" s="173"/>
      <c r="O103" s="192"/>
      <c r="P103" s="174"/>
    </row>
    <row r="104" spans="4:35">
      <c r="E104" s="7">
        <v>2050</v>
      </c>
      <c r="F104" s="199">
        <v>1</v>
      </c>
      <c r="H104" s="22">
        <f>(1-F104)*H94+F104*L$100</f>
        <v>11.879999999999999</v>
      </c>
      <c r="I104" s="22">
        <f t="shared" si="6"/>
        <v>0</v>
      </c>
      <c r="J104" s="22">
        <f>(1-F104)*J94</f>
        <v>0</v>
      </c>
      <c r="K104" s="174"/>
      <c r="L104" s="192"/>
      <c r="M104" s="174"/>
      <c r="N104" s="173"/>
      <c r="O104" s="192"/>
      <c r="P104" s="174"/>
      <c r="Q104" s="19"/>
      <c r="W104" s="19"/>
      <c r="AI104" s="19"/>
    </row>
    <row r="105" spans="4:35">
      <c r="D105" s="31"/>
      <c r="L105" s="174"/>
      <c r="M105" s="174"/>
      <c r="N105" s="174"/>
      <c r="O105" s="192"/>
      <c r="P105" s="174"/>
      <c r="Q105" s="173"/>
      <c r="R105" s="192"/>
      <c r="S105" s="174"/>
    </row>
    <row r="106" spans="4:35">
      <c r="D106" s="164"/>
      <c r="F106" s="14" t="s">
        <v>248</v>
      </c>
      <c r="L106" s="174"/>
      <c r="M106" s="174"/>
      <c r="N106" s="174"/>
      <c r="O106" s="174"/>
      <c r="P106" s="173"/>
      <c r="Q106" s="174"/>
      <c r="R106" s="174"/>
      <c r="S106" s="174"/>
    </row>
    <row r="107" spans="4:35">
      <c r="L107" s="174"/>
      <c r="M107" s="174"/>
      <c r="N107" s="174"/>
      <c r="O107" s="194"/>
      <c r="P107" s="174"/>
      <c r="Q107" s="174"/>
      <c r="R107" s="174"/>
      <c r="S107" s="174"/>
    </row>
    <row r="108" spans="4:35">
      <c r="L108" s="174"/>
      <c r="M108" s="174"/>
      <c r="N108" s="174"/>
      <c r="O108" s="174"/>
      <c r="P108" s="174"/>
      <c r="Q108" s="174"/>
      <c r="R108" s="174"/>
      <c r="S108" s="174"/>
    </row>
    <row r="109" spans="4:35">
      <c r="L109" s="174"/>
      <c r="M109" s="174"/>
      <c r="N109" s="174"/>
      <c r="O109" s="174"/>
      <c r="P109" s="174"/>
      <c r="Q109" s="174"/>
      <c r="R109" s="174"/>
      <c r="S109" s="174"/>
    </row>
    <row r="110" spans="4:35">
      <c r="L110" s="174"/>
      <c r="M110" s="174"/>
      <c r="N110" s="174"/>
      <c r="O110" s="174"/>
      <c r="P110" s="174"/>
      <c r="Q110" s="174"/>
      <c r="R110" s="174"/>
      <c r="S110" s="174"/>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AV125"/>
  <sheetViews>
    <sheetView topLeftCell="A67" workbookViewId="0">
      <selection activeCell="L89" sqref="L89"/>
    </sheetView>
  </sheetViews>
  <sheetFormatPr defaultColWidth="9.109375" defaultRowHeight="14.4"/>
  <cols>
    <col min="5" max="5" width="24.5546875" customWidth="1"/>
    <col min="6" max="6" width="11.109375" customWidth="1"/>
    <col min="8" max="9" width="11.6640625" customWidth="1"/>
    <col min="11" max="11" width="12.6640625" customWidth="1"/>
    <col min="12" max="12" width="13.33203125" customWidth="1"/>
    <col min="13" max="13" width="13.5546875" customWidth="1"/>
    <col min="14" max="14" width="12.88671875" customWidth="1"/>
    <col min="15" max="15" width="15.44140625" customWidth="1"/>
    <col min="16" max="16" width="20.88671875" customWidth="1"/>
    <col min="17" max="17" width="10.5546875" bestFit="1" customWidth="1"/>
    <col min="18" max="18" width="9.33203125" customWidth="1"/>
    <col min="19" max="19" width="11.109375" bestFit="1" customWidth="1"/>
    <col min="20" max="20" width="4.33203125" customWidth="1"/>
    <col min="21" max="21" width="4.88671875" customWidth="1"/>
    <col min="23" max="23" width="10.5546875" bestFit="1" customWidth="1"/>
    <col min="24" max="24" width="13.5546875" bestFit="1" customWidth="1"/>
    <col min="25" max="25" width="9.44140625" bestFit="1" customWidth="1"/>
    <col min="29" max="29" width="10.5546875" bestFit="1" customWidth="1"/>
    <col min="30" max="30" width="9.44140625" bestFit="1" customWidth="1"/>
    <col min="36" max="36" width="10.5546875" bestFit="1" customWidth="1"/>
    <col min="37" max="37" width="9.44140625" bestFit="1" customWidth="1"/>
  </cols>
  <sheetData>
    <row r="2" spans="2:16">
      <c r="B2" s="7" t="s">
        <v>206</v>
      </c>
      <c r="C2" s="8"/>
      <c r="D2" s="118" t="s">
        <v>589</v>
      </c>
      <c r="E2" s="4"/>
      <c r="F2" s="4"/>
      <c r="G2" s="4"/>
      <c r="H2" s="4"/>
      <c r="I2" s="4"/>
      <c r="J2" s="4"/>
      <c r="K2" s="4" t="s">
        <v>665</v>
      </c>
      <c r="L2" s="191" t="s">
        <v>248</v>
      </c>
      <c r="M2" s="4" t="s">
        <v>668</v>
      </c>
      <c r="N2" s="191" t="s">
        <v>248</v>
      </c>
      <c r="O2" s="118" t="s">
        <v>659</v>
      </c>
    </row>
    <row r="3" spans="2:16">
      <c r="D3" s="4" t="s">
        <v>590</v>
      </c>
      <c r="E3" s="4"/>
      <c r="F3" s="4"/>
      <c r="G3" s="4"/>
      <c r="H3" s="4"/>
      <c r="I3" s="4"/>
      <c r="J3" s="4"/>
      <c r="K3" s="4" t="s">
        <v>666</v>
      </c>
      <c r="L3" s="191" t="s">
        <v>248</v>
      </c>
      <c r="M3" s="4" t="s">
        <v>658</v>
      </c>
      <c r="N3" s="191" t="s">
        <v>248</v>
      </c>
      <c r="O3" s="118" t="s">
        <v>669</v>
      </c>
    </row>
    <row r="5" spans="2:16">
      <c r="B5" s="7" t="s">
        <v>207</v>
      </c>
      <c r="C5" s="8"/>
      <c r="D5">
        <v>1</v>
      </c>
      <c r="E5" t="s">
        <v>591</v>
      </c>
    </row>
    <row r="7" spans="2:16">
      <c r="B7" s="7" t="s">
        <v>208</v>
      </c>
      <c r="C7" s="8"/>
      <c r="D7" t="s">
        <v>237</v>
      </c>
    </row>
    <row r="8" spans="2:16">
      <c r="D8" t="s">
        <v>160</v>
      </c>
    </row>
    <row r="9" spans="2:16" ht="15" thickBot="1"/>
    <row r="10" spans="2:16"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6" ht="15" thickBot="1">
      <c r="E11" s="72" t="s">
        <v>66</v>
      </c>
      <c r="F11" s="73" t="s">
        <v>67</v>
      </c>
      <c r="G11" s="73" t="s">
        <v>39</v>
      </c>
      <c r="H11" s="73" t="s">
        <v>40</v>
      </c>
      <c r="I11" s="74" t="s">
        <v>68</v>
      </c>
      <c r="J11" s="73" t="s">
        <v>69</v>
      </c>
      <c r="K11" s="73">
        <v>20.8</v>
      </c>
      <c r="L11" s="73">
        <v>0.05</v>
      </c>
      <c r="M11" s="73">
        <v>4.7E-2</v>
      </c>
      <c r="N11" s="73">
        <v>35.6</v>
      </c>
      <c r="O11" s="73">
        <v>10.3</v>
      </c>
      <c r="P11" s="75">
        <v>14.2</v>
      </c>
    </row>
    <row r="12" spans="2:16">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6">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16">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16">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16">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c r="D45" t="s">
        <v>592</v>
      </c>
    </row>
    <row r="47" spans="2:16">
      <c r="E47" s="7"/>
      <c r="H47" s="44" t="s">
        <v>724</v>
      </c>
      <c r="I47" s="44" t="s">
        <v>725</v>
      </c>
      <c r="J47" s="44" t="s">
        <v>726</v>
      </c>
      <c r="K47" s="44" t="s">
        <v>727</v>
      </c>
      <c r="L47" s="44" t="s">
        <v>728</v>
      </c>
      <c r="M47" s="44" t="s">
        <v>729</v>
      </c>
    </row>
    <row r="48" spans="2:16">
      <c r="E48" s="7" t="s">
        <v>212</v>
      </c>
      <c r="H48" s="44" t="s">
        <v>213</v>
      </c>
      <c r="I48" s="44" t="s">
        <v>213</v>
      </c>
      <c r="J48" s="44" t="s">
        <v>213</v>
      </c>
      <c r="K48" s="44" t="s">
        <v>213</v>
      </c>
      <c r="L48" s="44" t="s">
        <v>213</v>
      </c>
      <c r="M48" s="44" t="s">
        <v>213</v>
      </c>
    </row>
    <row r="49" spans="2:13">
      <c r="E49" s="7">
        <v>2010</v>
      </c>
      <c r="H49" s="44"/>
      <c r="I49" s="44"/>
      <c r="J49" s="44">
        <f>P$11</f>
        <v>14.2</v>
      </c>
      <c r="K49" s="44"/>
      <c r="L49" s="44"/>
      <c r="M49" s="44"/>
    </row>
    <row r="50" spans="2:13">
      <c r="E50" s="7">
        <v>2020</v>
      </c>
      <c r="H50" s="44"/>
      <c r="I50" s="44"/>
      <c r="J50" s="44">
        <f t="shared" ref="J50:J53" si="0">P$11</f>
        <v>14.2</v>
      </c>
      <c r="K50" s="44"/>
      <c r="L50" s="44"/>
      <c r="M50" s="44"/>
    </row>
    <row r="51" spans="2:13">
      <c r="E51" s="7">
        <v>2030</v>
      </c>
      <c r="H51" s="44"/>
      <c r="I51" s="44"/>
      <c r="J51" s="44">
        <f t="shared" si="0"/>
        <v>14.2</v>
      </c>
      <c r="K51" s="44"/>
      <c r="L51" s="44"/>
      <c r="M51" s="44"/>
    </row>
    <row r="52" spans="2:13">
      <c r="E52" s="7">
        <v>2040</v>
      </c>
      <c r="H52" s="44"/>
      <c r="I52" s="44"/>
      <c r="J52" s="44">
        <f t="shared" si="0"/>
        <v>14.2</v>
      </c>
      <c r="K52" s="44"/>
      <c r="L52" s="44"/>
      <c r="M52" s="44"/>
    </row>
    <row r="53" spans="2:13">
      <c r="E53" s="7">
        <v>2050</v>
      </c>
      <c r="H53" s="44"/>
      <c r="I53" s="44"/>
      <c r="J53" s="44">
        <f t="shared" si="0"/>
        <v>14.2</v>
      </c>
      <c r="K53" s="44"/>
      <c r="L53" s="44"/>
      <c r="M53" s="44"/>
    </row>
    <row r="55" spans="2:13">
      <c r="B55" s="9" t="s">
        <v>214</v>
      </c>
      <c r="C55" s="10"/>
      <c r="D55" t="s">
        <v>593</v>
      </c>
    </row>
    <row r="57" spans="2:13">
      <c r="E57" s="7"/>
      <c r="H57" s="9" t="s">
        <v>513</v>
      </c>
      <c r="J57" s="1" t="s">
        <v>14</v>
      </c>
    </row>
    <row r="58" spans="2:13">
      <c r="E58" s="7" t="s">
        <v>212</v>
      </c>
      <c r="H58" s="9" t="s">
        <v>216</v>
      </c>
    </row>
    <row r="59" spans="2:13">
      <c r="E59" s="7">
        <v>2010</v>
      </c>
      <c r="H59" s="9">
        <f>L$11</f>
        <v>0.05</v>
      </c>
    </row>
    <row r="60" spans="2:13">
      <c r="E60" s="7">
        <v>2020</v>
      </c>
      <c r="H60" s="9">
        <f t="shared" ref="H60:H63" si="1">L$11</f>
        <v>0.05</v>
      </c>
    </row>
    <row r="61" spans="2:13">
      <c r="E61" s="7">
        <v>2030</v>
      </c>
      <c r="H61" s="9">
        <f t="shared" si="1"/>
        <v>0.05</v>
      </c>
    </row>
    <row r="62" spans="2:13">
      <c r="E62" s="7">
        <v>2040</v>
      </c>
      <c r="H62" s="9">
        <f t="shared" si="1"/>
        <v>0.05</v>
      </c>
    </row>
    <row r="63" spans="2:13">
      <c r="E63" s="7">
        <v>2050</v>
      </c>
      <c r="H63" s="9">
        <f t="shared" si="1"/>
        <v>0.05</v>
      </c>
    </row>
    <row r="65" spans="2:14">
      <c r="B65" s="2" t="s">
        <v>217</v>
      </c>
      <c r="C65" s="4"/>
    </row>
    <row r="67" spans="2:14">
      <c r="E67" s="7"/>
      <c r="H67" s="2" t="s">
        <v>514</v>
      </c>
      <c r="J67" s="1" t="s">
        <v>15</v>
      </c>
    </row>
    <row r="68" spans="2:14">
      <c r="E68" s="7" t="s">
        <v>212</v>
      </c>
      <c r="H68" s="2" t="s">
        <v>219</v>
      </c>
    </row>
    <row r="69" spans="2:14">
      <c r="E69" s="7">
        <v>2010</v>
      </c>
      <c r="H69" s="2">
        <f>M$11</f>
        <v>4.7E-2</v>
      </c>
    </row>
    <row r="70" spans="2:14">
      <c r="E70" s="7">
        <v>2020</v>
      </c>
      <c r="H70" s="2">
        <f t="shared" ref="H70:H73" si="2">M$11</f>
        <v>4.7E-2</v>
      </c>
    </row>
    <row r="71" spans="2:14">
      <c r="E71" s="7">
        <v>2030</v>
      </c>
      <c r="H71" s="2">
        <f t="shared" si="2"/>
        <v>4.7E-2</v>
      </c>
    </row>
    <row r="72" spans="2:14">
      <c r="E72" s="7">
        <v>2040</v>
      </c>
      <c r="H72" s="2">
        <f t="shared" si="2"/>
        <v>4.7E-2</v>
      </c>
    </row>
    <row r="73" spans="2:14">
      <c r="E73" s="7">
        <v>2050</v>
      </c>
      <c r="H73" s="2">
        <f t="shared" si="2"/>
        <v>4.7E-2</v>
      </c>
    </row>
    <row r="75" spans="2:14">
      <c r="B75" s="3" t="s">
        <v>629</v>
      </c>
      <c r="C75" s="12"/>
    </row>
    <row r="76" spans="2:14">
      <c r="B76" s="1"/>
    </row>
    <row r="77" spans="2:14">
      <c r="H77" s="3" t="s">
        <v>220</v>
      </c>
      <c r="J77" s="3" t="s">
        <v>221</v>
      </c>
      <c r="L77" t="s">
        <v>224</v>
      </c>
    </row>
    <row r="78" spans="2:14">
      <c r="E78" s="7"/>
      <c r="H78" s="3" t="s">
        <v>222</v>
      </c>
      <c r="J78" s="3" t="s">
        <v>222</v>
      </c>
      <c r="L78">
        <v>4.3</v>
      </c>
      <c r="M78" s="3" t="s">
        <v>223</v>
      </c>
      <c r="N78" s="19" t="s">
        <v>659</v>
      </c>
    </row>
    <row r="79" spans="2:14">
      <c r="E79" s="7" t="s">
        <v>212</v>
      </c>
      <c r="H79" s="3" t="s">
        <v>223</v>
      </c>
      <c r="J79" s="3" t="s">
        <v>223</v>
      </c>
      <c r="L79" s="180"/>
    </row>
    <row r="80" spans="2:14">
      <c r="E80" s="7">
        <v>2010</v>
      </c>
      <c r="H80" s="23">
        <f>L$78</f>
        <v>4.3</v>
      </c>
      <c r="I80" s="18"/>
      <c r="J80" s="23">
        <f>L$78</f>
        <v>4.3</v>
      </c>
      <c r="L80" s="16"/>
    </row>
    <row r="81" spans="2:48">
      <c r="E81" s="7">
        <v>2020</v>
      </c>
      <c r="H81" s="23">
        <f t="shared" ref="H81:H84" si="3">L$78</f>
        <v>4.3</v>
      </c>
      <c r="I81" s="18"/>
      <c r="J81" s="23">
        <v>4.3</v>
      </c>
      <c r="L81" s="190" t="s">
        <v>661</v>
      </c>
    </row>
    <row r="82" spans="2:48">
      <c r="E82" s="7">
        <v>2030</v>
      </c>
      <c r="H82" s="23">
        <f t="shared" si="3"/>
        <v>4.3</v>
      </c>
      <c r="I82" s="18"/>
      <c r="J82" s="23">
        <v>3.6</v>
      </c>
      <c r="L82" s="15"/>
    </row>
    <row r="83" spans="2:48">
      <c r="E83" s="7">
        <v>2040</v>
      </c>
      <c r="H83" s="23">
        <f t="shared" si="3"/>
        <v>4.3</v>
      </c>
      <c r="I83" s="18"/>
      <c r="J83" s="23">
        <v>2.9</v>
      </c>
    </row>
    <row r="84" spans="2:48">
      <c r="E84" s="7">
        <v>2050</v>
      </c>
      <c r="H84" s="23">
        <f t="shared" si="3"/>
        <v>4.3</v>
      </c>
      <c r="I84" s="18"/>
      <c r="J84" s="23">
        <v>2.2000000000000002</v>
      </c>
    </row>
    <row r="86" spans="2:48">
      <c r="B86" s="11" t="s">
        <v>225</v>
      </c>
      <c r="C86" s="13"/>
      <c r="T86" s="156"/>
    </row>
    <row r="87" spans="2:48">
      <c r="E87" s="3" t="s">
        <v>220</v>
      </c>
      <c r="H87" s="3" t="s">
        <v>220</v>
      </c>
      <c r="I87" s="3" t="s">
        <v>220</v>
      </c>
      <c r="J87" s="3" t="s">
        <v>220</v>
      </c>
      <c r="K87" s="3" t="s">
        <v>220</v>
      </c>
      <c r="L87" s="3" t="s">
        <v>220</v>
      </c>
      <c r="O87" s="80" t="s">
        <v>526</v>
      </c>
      <c r="T87" s="156"/>
      <c r="V87" s="80" t="s">
        <v>594</v>
      </c>
      <c r="AA87" s="80" t="s">
        <v>595</v>
      </c>
      <c r="AG87" s="80" t="s">
        <v>596</v>
      </c>
      <c r="AL87" s="80" t="s">
        <v>597</v>
      </c>
      <c r="AN87" s="80" t="s">
        <v>598</v>
      </c>
    </row>
    <row r="88" spans="2:48">
      <c r="E88" s="7"/>
      <c r="H88" s="11" t="s">
        <v>751</v>
      </c>
      <c r="I88" s="11" t="s">
        <v>767</v>
      </c>
      <c r="J88" s="11" t="s">
        <v>747</v>
      </c>
      <c r="K88" s="11" t="s">
        <v>744</v>
      </c>
      <c r="L88" s="11" t="s">
        <v>768</v>
      </c>
      <c r="M88" t="s">
        <v>199</v>
      </c>
      <c r="O88" s="79" t="s">
        <v>195</v>
      </c>
      <c r="P88" s="79" t="s">
        <v>187</v>
      </c>
      <c r="Q88" s="79" t="s">
        <v>163</v>
      </c>
      <c r="R88" s="79" t="s">
        <v>599</v>
      </c>
      <c r="S88" s="79" t="s">
        <v>174</v>
      </c>
      <c r="T88" s="157"/>
      <c r="V88" s="79" t="s">
        <v>195</v>
      </c>
      <c r="W88" s="79" t="s">
        <v>187</v>
      </c>
      <c r="X88" s="79" t="s">
        <v>163</v>
      </c>
      <c r="Y88" s="79" t="s">
        <v>174</v>
      </c>
      <c r="AA88" s="79" t="s">
        <v>195</v>
      </c>
      <c r="AB88" s="79" t="s">
        <v>187</v>
      </c>
      <c r="AC88" s="79" t="s">
        <v>163</v>
      </c>
      <c r="AD88" s="79" t="s">
        <v>599</v>
      </c>
      <c r="AE88" s="79" t="s">
        <v>174</v>
      </c>
      <c r="AG88" s="79" t="s">
        <v>195</v>
      </c>
      <c r="AH88" s="79" t="s">
        <v>187</v>
      </c>
      <c r="AI88" s="79" t="s">
        <v>163</v>
      </c>
      <c r="AJ88" s="79" t="s">
        <v>174</v>
      </c>
      <c r="AL88" s="79" t="s">
        <v>174</v>
      </c>
      <c r="AN88" s="79" t="s">
        <v>195</v>
      </c>
      <c r="AO88" s="79" t="s">
        <v>187</v>
      </c>
      <c r="AP88" s="79" t="s">
        <v>163</v>
      </c>
      <c r="AQ88" s="79" t="s">
        <v>174</v>
      </c>
    </row>
    <row r="89" spans="2:48">
      <c r="E89" s="7" t="s">
        <v>212</v>
      </c>
      <c r="H89" s="11" t="s">
        <v>171</v>
      </c>
      <c r="I89" s="11" t="s">
        <v>600</v>
      </c>
      <c r="J89" s="11" t="s">
        <v>171</v>
      </c>
      <c r="K89" s="11" t="s">
        <v>171</v>
      </c>
      <c r="L89" s="11" t="s">
        <v>171</v>
      </c>
      <c r="O89" s="82" t="s">
        <v>601</v>
      </c>
      <c r="P89" s="82" t="s">
        <v>601</v>
      </c>
      <c r="Q89" s="82" t="s">
        <v>602</v>
      </c>
      <c r="R89" s="82" t="s">
        <v>601</v>
      </c>
      <c r="S89" s="82" t="s">
        <v>603</v>
      </c>
      <c r="T89" s="158"/>
      <c r="U89" s="1"/>
      <c r="V89" s="82" t="s">
        <v>601</v>
      </c>
      <c r="W89" s="82" t="s">
        <v>601</v>
      </c>
      <c r="X89" s="82" t="s">
        <v>602</v>
      </c>
      <c r="Y89" s="82" t="s">
        <v>603</v>
      </c>
      <c r="Z89" s="1"/>
      <c r="AA89" s="82" t="s">
        <v>601</v>
      </c>
      <c r="AB89" s="82" t="s">
        <v>601</v>
      </c>
      <c r="AC89" s="82" t="s">
        <v>602</v>
      </c>
      <c r="AD89" s="82" t="s">
        <v>601</v>
      </c>
      <c r="AE89" s="82" t="s">
        <v>603</v>
      </c>
      <c r="AF89" s="1"/>
      <c r="AG89" s="82" t="s">
        <v>601</v>
      </c>
      <c r="AH89" s="82" t="s">
        <v>601</v>
      </c>
      <c r="AI89" s="82" t="s">
        <v>171</v>
      </c>
      <c r="AJ89" s="82" t="s">
        <v>603</v>
      </c>
      <c r="AL89" s="82" t="s">
        <v>603</v>
      </c>
      <c r="AM89" s="1"/>
      <c r="AN89" s="82" t="s">
        <v>601</v>
      </c>
      <c r="AO89" s="82" t="s">
        <v>601</v>
      </c>
      <c r="AP89" s="82" t="s">
        <v>602</v>
      </c>
      <c r="AQ89" s="82" t="s">
        <v>603</v>
      </c>
      <c r="AS89" s="1"/>
      <c r="AT89" s="1"/>
      <c r="AU89" s="1"/>
      <c r="AV89" s="1"/>
    </row>
    <row r="90" spans="2:48">
      <c r="E90" s="7">
        <v>2010</v>
      </c>
      <c r="H90" s="24">
        <f>S90*3.6/1000</f>
        <v>53.08798520574571</v>
      </c>
      <c r="I90" s="24">
        <f>R90*H26/1000</f>
        <v>19.073443062591178</v>
      </c>
      <c r="J90" s="24">
        <f>Q90*I96*H16/1000</f>
        <v>5.8621200820087758</v>
      </c>
      <c r="K90" s="24">
        <f>P90*H31/1000</f>
        <v>0.54593913222791868</v>
      </c>
      <c r="L90" s="24">
        <f>O90*H43/1000</f>
        <v>2.661389774978812</v>
      </c>
      <c r="O90" s="160">
        <f>V90+AA90+AG90+AN90</f>
        <v>60.486131249518458</v>
      </c>
      <c r="P90" s="160">
        <f>W90+AB90+AH90+AO90</f>
        <v>11.350085909104338</v>
      </c>
      <c r="Q90" s="160">
        <f>X90+AC90+AI90+AP90</f>
        <v>172.41529652966989</v>
      </c>
      <c r="R90" s="84">
        <f>AD90</f>
        <v>569.35650933107991</v>
      </c>
      <c r="S90" s="160">
        <f>Y90+AE90+AJ90+AL90+AQ90</f>
        <v>14746.662557151585</v>
      </c>
      <c r="T90" s="159"/>
      <c r="V90" s="160">
        <f>D100</f>
        <v>2.7167770933778503</v>
      </c>
      <c r="W90" s="160">
        <f>D101</f>
        <v>8.9781422683204806</v>
      </c>
      <c r="X90" s="160">
        <f>D102</f>
        <v>1.5377328479766706E-3</v>
      </c>
      <c r="Y90" s="160">
        <f>D104</f>
        <v>8.1872892481521937</v>
      </c>
      <c r="AA90" s="84">
        <f>E100</f>
        <v>49.022555631462886</v>
      </c>
      <c r="AB90" s="84">
        <f>E101</f>
        <v>1.8696532077958983</v>
      </c>
      <c r="AC90" s="84">
        <f>E102</f>
        <v>130.36484021439946</v>
      </c>
      <c r="AD90" s="84">
        <f>E103</f>
        <v>569.35650933107991</v>
      </c>
      <c r="AE90" s="84">
        <f>E104</f>
        <v>420.69418392007799</v>
      </c>
      <c r="AG90" s="84">
        <f>F100</f>
        <v>7.521120199164784</v>
      </c>
      <c r="AH90" s="84">
        <f>F101</f>
        <v>5.7138320351093841E-2</v>
      </c>
      <c r="AI90" s="84">
        <f>F102</f>
        <v>20.703733132623373</v>
      </c>
      <c r="AJ90" s="84">
        <f>F104</f>
        <v>50.658276498166337</v>
      </c>
      <c r="AK90" s="1"/>
      <c r="AL90" s="84">
        <f>G104</f>
        <v>14214.265779510992</v>
      </c>
      <c r="AM90" s="1"/>
      <c r="AN90" s="84">
        <f>H100</f>
        <v>1.2256783255129369</v>
      </c>
      <c r="AO90" s="84">
        <f>H101</f>
        <v>0.44515211263686694</v>
      </c>
      <c r="AP90" s="84">
        <f>H102</f>
        <v>21.345185449799104</v>
      </c>
      <c r="AQ90" s="84">
        <f>H104</f>
        <v>52.857027974196718</v>
      </c>
    </row>
    <row r="91" spans="2:48">
      <c r="E91" s="7">
        <v>2020</v>
      </c>
      <c r="H91" s="24">
        <v>50</v>
      </c>
      <c r="I91" s="24">
        <f>I90</f>
        <v>19.073443062591178</v>
      </c>
      <c r="J91" s="24">
        <f>J90</f>
        <v>5.8621200820087758</v>
      </c>
      <c r="K91" s="24">
        <f>K90</f>
        <v>0.54593913222791868</v>
      </c>
      <c r="L91" s="24">
        <f>L90</f>
        <v>2.661389774978812</v>
      </c>
      <c r="O91" s="84"/>
      <c r="P91" s="84"/>
      <c r="Q91" s="84"/>
      <c r="R91" s="84"/>
      <c r="S91" s="84"/>
      <c r="T91" s="159"/>
      <c r="V91" s="84"/>
      <c r="W91" s="84"/>
      <c r="X91" s="84"/>
      <c r="Y91" s="84"/>
      <c r="AA91" s="84"/>
      <c r="AB91" s="84"/>
      <c r="AC91" s="84"/>
      <c r="AD91" s="84"/>
      <c r="AE91" s="84"/>
      <c r="AG91" s="84"/>
      <c r="AH91" s="84"/>
      <c r="AI91" s="84"/>
      <c r="AJ91" s="84"/>
      <c r="AL91" s="84"/>
      <c r="AM91" s="18"/>
      <c r="AN91" s="84"/>
      <c r="AO91" s="84"/>
      <c r="AP91" s="84"/>
      <c r="AQ91" s="84"/>
    </row>
    <row r="92" spans="2:48">
      <c r="E92" s="7">
        <v>2030</v>
      </c>
      <c r="H92" s="24">
        <v>45</v>
      </c>
      <c r="I92" s="24">
        <f t="shared" ref="I92:L92" si="4">I91</f>
        <v>19.073443062591178</v>
      </c>
      <c r="J92" s="24">
        <f t="shared" si="4"/>
        <v>5.8621200820087758</v>
      </c>
      <c r="K92" s="24">
        <f t="shared" si="4"/>
        <v>0.54593913222791868</v>
      </c>
      <c r="L92" s="24">
        <f t="shared" si="4"/>
        <v>2.661389774978812</v>
      </c>
      <c r="O92" s="84"/>
      <c r="P92" s="84"/>
      <c r="Q92" s="84"/>
      <c r="R92" s="84"/>
      <c r="S92" s="84"/>
      <c r="T92" s="159"/>
      <c r="V92" s="84"/>
      <c r="W92" s="84"/>
      <c r="X92" s="84"/>
      <c r="Y92" s="84"/>
      <c r="AA92" s="84"/>
      <c r="AB92" s="84"/>
      <c r="AC92" s="84"/>
      <c r="AD92" s="84"/>
      <c r="AE92" s="84"/>
      <c r="AG92" s="84"/>
      <c r="AH92" s="84"/>
      <c r="AI92" s="84"/>
      <c r="AJ92" s="84"/>
      <c r="AL92" s="84"/>
      <c r="AM92" s="18"/>
      <c r="AN92" s="84"/>
      <c r="AO92" s="84"/>
      <c r="AP92" s="84"/>
      <c r="AQ92" s="84"/>
    </row>
    <row r="93" spans="2:48">
      <c r="E93" s="7">
        <v>2040</v>
      </c>
      <c r="H93" s="24">
        <v>40</v>
      </c>
      <c r="I93" s="24">
        <f t="shared" ref="I93:L93" si="5">I92</f>
        <v>19.073443062591178</v>
      </c>
      <c r="J93" s="24">
        <f t="shared" si="5"/>
        <v>5.8621200820087758</v>
      </c>
      <c r="K93" s="24">
        <f t="shared" si="5"/>
        <v>0.54593913222791868</v>
      </c>
      <c r="L93" s="24">
        <f t="shared" si="5"/>
        <v>2.661389774978812</v>
      </c>
      <c r="O93" s="84"/>
      <c r="P93" s="84"/>
      <c r="Q93" s="84"/>
      <c r="R93" s="84"/>
      <c r="S93" s="84"/>
      <c r="T93" s="159"/>
      <c r="V93" s="84"/>
      <c r="W93" s="84"/>
      <c r="X93" s="84"/>
      <c r="Y93" s="84"/>
      <c r="AA93" s="84"/>
      <c r="AB93" s="84"/>
      <c r="AC93" s="84"/>
      <c r="AD93" s="84"/>
      <c r="AE93" s="84"/>
      <c r="AG93" s="84"/>
      <c r="AH93" s="84"/>
      <c r="AI93" s="84"/>
      <c r="AJ93" s="84"/>
      <c r="AL93" s="84"/>
      <c r="AM93" s="18"/>
      <c r="AN93" s="84"/>
      <c r="AO93" s="84"/>
      <c r="AP93" s="84"/>
      <c r="AQ93" s="84"/>
    </row>
    <row r="94" spans="2:48">
      <c r="E94" s="7">
        <v>2050</v>
      </c>
      <c r="H94" s="24">
        <v>40</v>
      </c>
      <c r="I94" s="24">
        <f t="shared" ref="I94:L94" si="6">I93</f>
        <v>19.073443062591178</v>
      </c>
      <c r="J94" s="24">
        <f t="shared" si="6"/>
        <v>5.8621200820087758</v>
      </c>
      <c r="K94" s="24">
        <f t="shared" si="6"/>
        <v>0.54593913222791868</v>
      </c>
      <c r="L94" s="24">
        <f t="shared" si="6"/>
        <v>2.661389774978812</v>
      </c>
      <c r="O94" s="84"/>
      <c r="P94" s="84"/>
      <c r="Q94" s="84"/>
      <c r="R94" s="84"/>
      <c r="S94" s="84"/>
      <c r="T94" s="159"/>
      <c r="V94" s="84"/>
      <c r="W94" s="84"/>
      <c r="X94" s="84"/>
      <c r="Y94" s="84"/>
      <c r="AA94" s="84"/>
      <c r="AB94" s="84"/>
      <c r="AC94" s="84"/>
      <c r="AD94" s="84"/>
      <c r="AE94" s="84"/>
      <c r="AG94" s="84"/>
      <c r="AH94" s="84"/>
      <c r="AI94" s="84"/>
      <c r="AJ94" s="84"/>
      <c r="AL94" s="84"/>
      <c r="AM94" s="18"/>
      <c r="AN94" s="84"/>
      <c r="AO94" s="84"/>
      <c r="AP94" s="84"/>
      <c r="AQ94" s="84"/>
    </row>
    <row r="95" spans="2:48">
      <c r="T95" s="156"/>
    </row>
    <row r="96" spans="2:48">
      <c r="H96" s="111" t="s">
        <v>604</v>
      </c>
      <c r="I96">
        <f>background!F63</f>
        <v>0.68</v>
      </c>
      <c r="J96" t="s">
        <v>516</v>
      </c>
      <c r="T96" s="156"/>
    </row>
    <row r="97" spans="2:18">
      <c r="Q97" s="20"/>
    </row>
    <row r="98" spans="2:18" ht="15" thickBot="1">
      <c r="L98" s="1" t="s">
        <v>667</v>
      </c>
      <c r="M98" t="s">
        <v>660</v>
      </c>
      <c r="Q98" s="19"/>
    </row>
    <row r="99" spans="2:18">
      <c r="B99" s="145" t="s">
        <v>605</v>
      </c>
      <c r="C99" s="146"/>
      <c r="D99" s="147" t="s">
        <v>594</v>
      </c>
      <c r="E99" s="147" t="s">
        <v>595</v>
      </c>
      <c r="F99" s="147" t="s">
        <v>596</v>
      </c>
      <c r="G99" s="147" t="s">
        <v>597</v>
      </c>
      <c r="H99" s="148" t="s">
        <v>598</v>
      </c>
      <c r="M99" t="s">
        <v>716</v>
      </c>
    </row>
    <row r="100" spans="2:18">
      <c r="B100" s="149" t="s">
        <v>606</v>
      </c>
      <c r="C100" s="142" t="s">
        <v>607</v>
      </c>
      <c r="D100" s="143">
        <v>2.7167770933778503</v>
      </c>
      <c r="E100" s="144">
        <v>49.022555631462886</v>
      </c>
      <c r="F100" s="144">
        <v>7.521120199164784</v>
      </c>
      <c r="G100" s="144"/>
      <c r="H100" s="150">
        <v>1.2256783255129369</v>
      </c>
      <c r="M100" t="s">
        <v>717</v>
      </c>
    </row>
    <row r="101" spans="2:18">
      <c r="B101" s="149" t="s">
        <v>608</v>
      </c>
      <c r="C101" s="142" t="s">
        <v>607</v>
      </c>
      <c r="D101" s="143">
        <v>8.9781422683204806</v>
      </c>
      <c r="E101" s="144">
        <v>1.8696532077958983</v>
      </c>
      <c r="F101" s="144">
        <v>5.7138320351093841E-2</v>
      </c>
      <c r="G101" s="144"/>
      <c r="H101" s="150">
        <v>0.44515211263686694</v>
      </c>
      <c r="M101" t="s">
        <v>663</v>
      </c>
    </row>
    <row r="102" spans="2:18">
      <c r="B102" s="149" t="s">
        <v>163</v>
      </c>
      <c r="C102" s="142" t="s">
        <v>609</v>
      </c>
      <c r="D102" s="143">
        <v>1.5377328479766706E-3</v>
      </c>
      <c r="E102" s="144">
        <v>130.36484021439946</v>
      </c>
      <c r="F102" s="144">
        <v>20.703733132623373</v>
      </c>
      <c r="G102" s="144"/>
      <c r="H102" s="150">
        <v>21.345185449799104</v>
      </c>
      <c r="M102">
        <f>11*3.6</f>
        <v>39.6</v>
      </c>
      <c r="N102" t="s">
        <v>662</v>
      </c>
      <c r="O102" t="s">
        <v>664</v>
      </c>
      <c r="P102" s="161"/>
    </row>
    <row r="103" spans="2:18">
      <c r="B103" s="149" t="s">
        <v>610</v>
      </c>
      <c r="C103" s="142" t="s">
        <v>607</v>
      </c>
      <c r="D103" s="143"/>
      <c r="E103" s="144">
        <v>569.35650933107991</v>
      </c>
      <c r="F103" s="144"/>
      <c r="G103" s="144"/>
      <c r="H103" s="150"/>
      <c r="M103" t="s">
        <v>665</v>
      </c>
    </row>
    <row r="104" spans="2:18" ht="15" thickBot="1">
      <c r="B104" s="151" t="s">
        <v>174</v>
      </c>
      <c r="C104" s="152" t="s">
        <v>611</v>
      </c>
      <c r="D104" s="153">
        <v>8.1872892481521937</v>
      </c>
      <c r="E104" s="154">
        <v>420.69418392007799</v>
      </c>
      <c r="F104" s="154">
        <v>50.658276498166337</v>
      </c>
      <c r="G104" s="154">
        <v>14214.265779510992</v>
      </c>
      <c r="H104" s="155">
        <v>52.857027974196718</v>
      </c>
      <c r="M104" s="169" t="s">
        <v>666</v>
      </c>
      <c r="O104" s="18"/>
      <c r="P104" s="18"/>
      <c r="Q104" s="18"/>
      <c r="R104" s="18"/>
    </row>
    <row r="107" spans="2:18">
      <c r="E107" s="3" t="s">
        <v>221</v>
      </c>
      <c r="H107" s="3" t="s">
        <v>221</v>
      </c>
      <c r="I107" s="3" t="s">
        <v>221</v>
      </c>
      <c r="J107" s="3" t="s">
        <v>221</v>
      </c>
      <c r="K107" s="3" t="s">
        <v>221</v>
      </c>
      <c r="L107" s="3" t="s">
        <v>221</v>
      </c>
    </row>
    <row r="108" spans="2:18">
      <c r="E108" s="7"/>
      <c r="H108" s="11" t="s">
        <v>174</v>
      </c>
      <c r="I108" s="11" t="s">
        <v>181</v>
      </c>
      <c r="J108" s="11" t="s">
        <v>163</v>
      </c>
      <c r="K108" s="11" t="s">
        <v>187</v>
      </c>
      <c r="L108" s="11" t="s">
        <v>195</v>
      </c>
    </row>
    <row r="109" spans="2:18">
      <c r="E109" s="7" t="s">
        <v>212</v>
      </c>
      <c r="H109" s="11" t="s">
        <v>171</v>
      </c>
      <c r="I109" s="11" t="s">
        <v>600</v>
      </c>
      <c r="J109" s="11" t="s">
        <v>171</v>
      </c>
      <c r="K109" s="11" t="s">
        <v>171</v>
      </c>
      <c r="L109" s="11" t="s">
        <v>171</v>
      </c>
      <c r="N109" s="11">
        <f>3.9*0.0001</f>
        <v>3.8999999999999999E-4</v>
      </c>
    </row>
    <row r="110" spans="2:18">
      <c r="E110" s="7">
        <v>2010</v>
      </c>
      <c r="H110" s="24">
        <f>H90</f>
        <v>53.08798520574571</v>
      </c>
      <c r="I110" s="24">
        <f>I90*J80/J$80</f>
        <v>19.073443062591178</v>
      </c>
      <c r="J110" s="24">
        <f>J90</f>
        <v>5.8621200820087758</v>
      </c>
      <c r="K110" s="24">
        <f>K90</f>
        <v>0.54593913222791868</v>
      </c>
      <c r="L110" s="24">
        <f>L90</f>
        <v>2.661389774978812</v>
      </c>
      <c r="N110">
        <v>0.109</v>
      </c>
    </row>
    <row r="111" spans="2:18">
      <c r="E111" s="7">
        <v>2020</v>
      </c>
      <c r="H111" s="24">
        <v>50</v>
      </c>
      <c r="I111" s="24">
        <f t="shared" ref="I111:I114" si="7">I91*J81/J$80</f>
        <v>19.073443062591178</v>
      </c>
      <c r="J111" s="24">
        <f t="shared" ref="J111:K111" si="8">J110</f>
        <v>5.8621200820087758</v>
      </c>
      <c r="K111" s="24">
        <f t="shared" si="8"/>
        <v>0.54593913222791868</v>
      </c>
      <c r="L111" s="24">
        <f>L110</f>
        <v>2.661389774978812</v>
      </c>
      <c r="N111">
        <v>1.54</v>
      </c>
    </row>
    <row r="112" spans="2:18">
      <c r="E112" s="7">
        <v>2030</v>
      </c>
      <c r="H112" s="24">
        <v>45</v>
      </c>
      <c r="I112" s="24">
        <f t="shared" si="7"/>
        <v>15.968463959378663</v>
      </c>
      <c r="J112" s="24">
        <f t="shared" ref="J112:L112" si="9">J111</f>
        <v>5.8621200820087758</v>
      </c>
      <c r="K112" s="24">
        <f t="shared" si="9"/>
        <v>0.54593913222791868</v>
      </c>
      <c r="L112" s="24">
        <f t="shared" si="9"/>
        <v>2.661389774978812</v>
      </c>
      <c r="N112">
        <v>0.21</v>
      </c>
    </row>
    <row r="113" spans="2:15">
      <c r="E113" s="7">
        <v>2040</v>
      </c>
      <c r="H113" s="24">
        <v>40</v>
      </c>
      <c r="I113" s="24">
        <f t="shared" si="7"/>
        <v>12.863484856166144</v>
      </c>
      <c r="J113" s="24">
        <f t="shared" ref="J113:L113" si="10">J112</f>
        <v>5.8621200820087758</v>
      </c>
      <c r="K113" s="24">
        <f t="shared" si="10"/>
        <v>0.54593913222791868</v>
      </c>
      <c r="L113" s="24">
        <f t="shared" si="10"/>
        <v>2.661389774978812</v>
      </c>
    </row>
    <row r="114" spans="2:15">
      <c r="E114" s="7">
        <v>2050</v>
      </c>
      <c r="H114" s="24">
        <v>40</v>
      </c>
      <c r="I114" s="24">
        <f t="shared" si="7"/>
        <v>9.7585057529536279</v>
      </c>
      <c r="J114" s="24">
        <f t="shared" ref="J114:L114" si="11">J113</f>
        <v>5.8621200820087758</v>
      </c>
      <c r="K114" s="24">
        <f t="shared" si="11"/>
        <v>0.54593913222791868</v>
      </c>
      <c r="L114" s="24">
        <f t="shared" si="11"/>
        <v>2.661389774978812</v>
      </c>
      <c r="N114">
        <f>SUM(N109:N113)</f>
        <v>1.8593900000000001</v>
      </c>
      <c r="O114">
        <f>N114*3.6</f>
        <v>6.6938040000000001</v>
      </c>
    </row>
    <row r="119" spans="2:15" ht="42" thickBot="1">
      <c r="C119" s="203" t="s">
        <v>594</v>
      </c>
      <c r="D119" s="203" t="s">
        <v>595</v>
      </c>
      <c r="E119" s="203" t="s">
        <v>741</v>
      </c>
      <c r="F119" s="203" t="s">
        <v>597</v>
      </c>
      <c r="G119" s="203" t="s">
        <v>740</v>
      </c>
      <c r="H119" s="203" t="s">
        <v>598</v>
      </c>
    </row>
    <row r="120" spans="2:15">
      <c r="B120" s="202" t="s">
        <v>606</v>
      </c>
      <c r="C120" s="205">
        <v>29.409275040746206</v>
      </c>
      <c r="D120" s="204">
        <v>1608.7325180603857</v>
      </c>
      <c r="E120" s="204">
        <v>277.87658273358056</v>
      </c>
      <c r="F120" s="208"/>
      <c r="G120" s="208"/>
      <c r="H120" s="204">
        <v>69.184074573412104</v>
      </c>
      <c r="I120" s="209">
        <f t="shared" ref="I120:I125" si="12">SUM(C120:H120)</f>
        <v>1985.2024504081246</v>
      </c>
      <c r="J120" s="210">
        <f>I120/1000</f>
        <v>1.9852024504081247</v>
      </c>
    </row>
    <row r="121" spans="2:15">
      <c r="B121" s="202" t="s">
        <v>608</v>
      </c>
      <c r="C121" s="205">
        <v>407.10586931511784</v>
      </c>
      <c r="D121" s="204">
        <v>13.397291630516843</v>
      </c>
      <c r="E121" s="204">
        <v>3.4375248140878734</v>
      </c>
      <c r="F121" s="208"/>
      <c r="G121" s="208"/>
      <c r="H121" s="204">
        <v>3.8375512925073201</v>
      </c>
      <c r="I121" s="209">
        <f t="shared" si="12"/>
        <v>427.77823705222988</v>
      </c>
      <c r="J121" s="211">
        <f>I121/1000</f>
        <v>0.42777823705222989</v>
      </c>
    </row>
    <row r="122" spans="2:15">
      <c r="B122" s="202" t="s">
        <v>163</v>
      </c>
      <c r="C122" s="204">
        <v>5.6413894138595833</v>
      </c>
      <c r="D122" s="204">
        <v>4734.083045481927</v>
      </c>
      <c r="E122" s="204">
        <v>1003.172507027298</v>
      </c>
      <c r="F122" s="208"/>
      <c r="G122" s="208"/>
      <c r="H122" s="204">
        <v>743.89370806944203</v>
      </c>
      <c r="I122" s="209">
        <f t="shared" si="12"/>
        <v>6486.7906499925266</v>
      </c>
      <c r="J122" s="211">
        <f>I122/1000</f>
        <v>6.4867906499925265</v>
      </c>
    </row>
    <row r="123" spans="2:15">
      <c r="B123" s="202" t="s">
        <v>610</v>
      </c>
      <c r="C123" s="205">
        <v>112.49277017424717</v>
      </c>
      <c r="D123" s="204">
        <v>12255.005461063607</v>
      </c>
      <c r="E123" s="207">
        <v>0</v>
      </c>
      <c r="F123" s="208"/>
      <c r="G123" s="208"/>
      <c r="H123" s="207">
        <v>0</v>
      </c>
      <c r="I123" s="209">
        <f t="shared" si="12"/>
        <v>12367.498231237854</v>
      </c>
      <c r="J123" s="211">
        <f>I123/1000</f>
        <v>12.367498231237855</v>
      </c>
    </row>
    <row r="124" spans="2:15">
      <c r="B124" s="202" t="s">
        <v>174</v>
      </c>
      <c r="C124" s="205">
        <v>117.84912783432496</v>
      </c>
      <c r="D124" s="204">
        <v>1044.8145378228473</v>
      </c>
      <c r="E124" s="204">
        <v>231.49632914261275</v>
      </c>
      <c r="F124" s="204">
        <v>51437</v>
      </c>
      <c r="G124" s="204"/>
      <c r="H124" s="204">
        <v>392.94391564343101</v>
      </c>
      <c r="I124" s="209">
        <f t="shared" si="12"/>
        <v>53224.103910443213</v>
      </c>
      <c r="J124" s="211">
        <f>I124/1000</f>
        <v>53.224103910443212</v>
      </c>
    </row>
    <row r="125" spans="2:15" ht="15" thickBot="1">
      <c r="B125" s="202" t="s">
        <v>739</v>
      </c>
      <c r="C125" s="206">
        <v>0</v>
      </c>
      <c r="D125" s="204">
        <v>321.47281106180424</v>
      </c>
      <c r="E125" s="207">
        <v>55.425611367415982</v>
      </c>
      <c r="F125" s="208"/>
      <c r="G125" s="208"/>
      <c r="H125" s="204">
        <v>32.142607196956931</v>
      </c>
      <c r="I125" s="209">
        <f t="shared" si="12"/>
        <v>409.04102962617714</v>
      </c>
      <c r="J125" s="212">
        <f t="shared" ref="J125" si="13">I125/1000</f>
        <v>0.40904102962617711</v>
      </c>
    </row>
  </sheetData>
  <hyperlinks>
    <hyperlink ref="O2" r:id="rId1" xr:uid="{00000000-0004-0000-0A00-000000000000}"/>
    <hyperlink ref="O3" r:id="rId2" xr:uid="{00000000-0004-0000-0A00-000001000000}"/>
    <hyperlink ref="D2" r:id="rId3" xr:uid="{F79AA406-9EDC-4382-B9A5-5BE4B8BAEAC6}"/>
    <hyperlink ref="N78" r:id="rId4" xr:uid="{FFD46DA6-2E72-456D-806E-BAD312056BBF}"/>
  </hyperlinks>
  <pageMargins left="0.7" right="0.7" top="0.78740157499999996" bottom="0.78740157499999996" header="0.3" footer="0.3"/>
  <pageSetup orientation="portrait"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AW104"/>
  <sheetViews>
    <sheetView topLeftCell="A66" workbookViewId="0">
      <selection activeCell="I89" sqref="I89"/>
    </sheetView>
  </sheetViews>
  <sheetFormatPr defaultColWidth="9.109375" defaultRowHeight="14.4"/>
  <cols>
    <col min="5" max="5" width="24.5546875" customWidth="1"/>
    <col min="6" max="6" width="11.109375" customWidth="1"/>
    <col min="8" max="9" width="11.6640625" customWidth="1"/>
    <col min="10" max="10" width="10" bestFit="1" customWidth="1"/>
    <col min="11" max="11" width="16" customWidth="1"/>
    <col min="12" max="12" width="13.33203125" customWidth="1"/>
    <col min="13" max="13" width="13.5546875" customWidth="1"/>
    <col min="14" max="14" width="12.88671875" customWidth="1"/>
    <col min="15" max="15" width="15.44140625" customWidth="1"/>
    <col min="16" max="16" width="21" bestFit="1" customWidth="1"/>
    <col min="17" max="17" width="25.6640625" customWidth="1"/>
    <col min="19" max="19" width="11.109375" customWidth="1"/>
    <col min="20" max="20" width="9.33203125" customWidth="1"/>
  </cols>
  <sheetData>
    <row r="2" spans="2:24">
      <c r="B2" s="7" t="s">
        <v>206</v>
      </c>
      <c r="C2" s="8"/>
      <c r="D2" s="4" t="s">
        <v>517</v>
      </c>
      <c r="E2" s="4"/>
      <c r="F2" s="4"/>
      <c r="G2" s="4"/>
      <c r="H2" s="4"/>
      <c r="I2" s="4"/>
      <c r="J2" s="4"/>
      <c r="K2" s="4"/>
      <c r="L2" s="4"/>
    </row>
    <row r="3" spans="2:24">
      <c r="D3" s="4" t="s">
        <v>518</v>
      </c>
      <c r="E3" s="4"/>
      <c r="F3" s="4"/>
      <c r="G3" s="4"/>
      <c r="H3" s="4"/>
      <c r="I3" s="4"/>
      <c r="J3" s="4"/>
      <c r="K3" s="4"/>
      <c r="L3" s="4"/>
    </row>
    <row r="5" spans="2:24">
      <c r="B5" s="7" t="s">
        <v>207</v>
      </c>
      <c r="C5" s="8"/>
      <c r="D5">
        <v>1</v>
      </c>
      <c r="E5" t="s">
        <v>722</v>
      </c>
    </row>
    <row r="7" spans="2:24">
      <c r="B7" s="7" t="s">
        <v>208</v>
      </c>
      <c r="C7" s="8"/>
      <c r="D7" t="s">
        <v>237</v>
      </c>
    </row>
    <row r="8" spans="2:24" ht="15" thickBot="1">
      <c r="D8" t="s">
        <v>160</v>
      </c>
    </row>
    <row r="9" spans="2:24" ht="15" thickBot="1">
      <c r="G9" s="1"/>
      <c r="I9" s="36"/>
      <c r="S9" s="108" t="s">
        <v>519</v>
      </c>
      <c r="T9" s="109">
        <v>650</v>
      </c>
      <c r="U9" s="110" t="s">
        <v>516</v>
      </c>
    </row>
    <row r="10" spans="2:24" ht="86.4">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c r="Q10" s="35" t="s">
        <v>733</v>
      </c>
    </row>
    <row r="11" spans="2:24">
      <c r="E11" t="s">
        <v>719</v>
      </c>
      <c r="F11" t="s">
        <v>721</v>
      </c>
      <c r="G11" t="s">
        <v>39</v>
      </c>
      <c r="H11" t="s">
        <v>40</v>
      </c>
      <c r="I11" s="36" t="s">
        <v>718</v>
      </c>
      <c r="K11">
        <f>R11/$T$9</f>
        <v>0.29815384615384616</v>
      </c>
      <c r="L11">
        <f t="shared" ref="L11:Q11" si="0">S11/$T$9</f>
        <v>3.4092307692307693</v>
      </c>
      <c r="M11">
        <f t="shared" si="0"/>
        <v>2.7338461538461535E-3</v>
      </c>
      <c r="N11">
        <f t="shared" si="0"/>
        <v>2.1575384615384618</v>
      </c>
      <c r="O11">
        <f t="shared" si="0"/>
        <v>0.13343076923076924</v>
      </c>
      <c r="P11">
        <f t="shared" si="0"/>
        <v>3.1166153846153843E-2</v>
      </c>
      <c r="Q11">
        <f t="shared" si="0"/>
        <v>1.8723076923076922</v>
      </c>
      <c r="R11">
        <v>193.8</v>
      </c>
      <c r="S11">
        <v>2216</v>
      </c>
      <c r="T11">
        <v>1.7769999999999999</v>
      </c>
      <c r="U11">
        <v>1402.4</v>
      </c>
      <c r="V11">
        <v>86.73</v>
      </c>
      <c r="W11">
        <v>20.257999999999999</v>
      </c>
      <c r="X11">
        <v>1217</v>
      </c>
    </row>
    <row r="12" spans="2:24">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24">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24">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24">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24">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row>
    <row r="47" spans="2:16">
      <c r="E47" s="7"/>
      <c r="H47" s="44" t="s">
        <v>724</v>
      </c>
      <c r="I47" s="44" t="s">
        <v>725</v>
      </c>
      <c r="J47" s="44" t="s">
        <v>726</v>
      </c>
      <c r="K47" s="44" t="s">
        <v>727</v>
      </c>
      <c r="L47" s="44" t="s">
        <v>728</v>
      </c>
      <c r="M47" s="44" t="s">
        <v>729</v>
      </c>
    </row>
    <row r="48" spans="2:16">
      <c r="E48" s="7" t="s">
        <v>212</v>
      </c>
      <c r="H48" s="44" t="s">
        <v>213</v>
      </c>
      <c r="I48" s="44" t="s">
        <v>213</v>
      </c>
      <c r="J48" s="44" t="s">
        <v>213</v>
      </c>
      <c r="K48" s="44" t="s">
        <v>213</v>
      </c>
      <c r="L48" s="44" t="s">
        <v>213</v>
      </c>
      <c r="M48" s="44" t="s">
        <v>213</v>
      </c>
    </row>
    <row r="49" spans="2:13">
      <c r="E49" s="7">
        <v>2010</v>
      </c>
      <c r="H49" s="44">
        <f>Q$11</f>
        <v>1.8723076923076922</v>
      </c>
      <c r="I49" s="44"/>
      <c r="J49" s="44"/>
      <c r="K49" s="44"/>
      <c r="L49" s="44"/>
      <c r="M49" s="44"/>
    </row>
    <row r="50" spans="2:13">
      <c r="E50" s="7">
        <v>2020</v>
      </c>
      <c r="H50" s="44">
        <f t="shared" ref="H50:H53" si="1">Q$11</f>
        <v>1.8723076923076922</v>
      </c>
      <c r="I50" s="44"/>
      <c r="J50" s="44"/>
      <c r="K50" s="44"/>
      <c r="L50" s="44"/>
      <c r="M50" s="44"/>
    </row>
    <row r="51" spans="2:13">
      <c r="E51" s="7">
        <v>2030</v>
      </c>
      <c r="H51" s="44">
        <f t="shared" si="1"/>
        <v>1.8723076923076922</v>
      </c>
      <c r="I51" s="44"/>
      <c r="J51" s="44"/>
      <c r="K51" s="44"/>
      <c r="L51" s="44"/>
      <c r="M51" s="44"/>
    </row>
    <row r="52" spans="2:13">
      <c r="E52" s="7">
        <v>2040</v>
      </c>
      <c r="H52" s="44">
        <f t="shared" si="1"/>
        <v>1.8723076923076922</v>
      </c>
      <c r="I52" s="44"/>
      <c r="J52" s="44"/>
      <c r="K52" s="44"/>
      <c r="L52" s="44"/>
      <c r="M52" s="44"/>
    </row>
    <row r="53" spans="2:13">
      <c r="E53" s="7">
        <v>2050</v>
      </c>
      <c r="H53" s="44">
        <f t="shared" si="1"/>
        <v>1.8723076923076922</v>
      </c>
      <c r="I53" s="44"/>
      <c r="J53" s="44"/>
      <c r="K53" s="44"/>
      <c r="L53" s="44"/>
      <c r="M53" s="44"/>
    </row>
    <row r="55" spans="2:13">
      <c r="B55" s="9" t="s">
        <v>214</v>
      </c>
      <c r="C55" s="10"/>
    </row>
    <row r="57" spans="2:13">
      <c r="E57" s="7"/>
      <c r="H57" s="9" t="s">
        <v>617</v>
      </c>
      <c r="J57" s="1" t="s">
        <v>14</v>
      </c>
    </row>
    <row r="58" spans="2:13">
      <c r="E58" s="7" t="s">
        <v>212</v>
      </c>
      <c r="H58" s="9" t="s">
        <v>216</v>
      </c>
    </row>
    <row r="59" spans="2:13">
      <c r="E59" s="7">
        <v>2010</v>
      </c>
      <c r="H59" s="9">
        <f>L$11</f>
        <v>3.4092307692307693</v>
      </c>
    </row>
    <row r="60" spans="2:13">
      <c r="E60" s="7">
        <v>2020</v>
      </c>
      <c r="H60" s="9">
        <f>$H$59</f>
        <v>3.4092307692307693</v>
      </c>
    </row>
    <row r="61" spans="2:13">
      <c r="E61" s="7">
        <v>2030</v>
      </c>
      <c r="H61" s="9">
        <f t="shared" ref="H61:H63" si="2">$H$59</f>
        <v>3.4092307692307693</v>
      </c>
    </row>
    <row r="62" spans="2:13">
      <c r="E62" s="7">
        <v>2040</v>
      </c>
      <c r="H62" s="9">
        <f t="shared" si="2"/>
        <v>3.4092307692307693</v>
      </c>
    </row>
    <row r="63" spans="2:13">
      <c r="E63" s="7">
        <v>2050</v>
      </c>
      <c r="H63" s="9">
        <f t="shared" si="2"/>
        <v>3.4092307692307693</v>
      </c>
    </row>
    <row r="65" spans="2:13">
      <c r="B65" s="2" t="s">
        <v>217</v>
      </c>
      <c r="C65" s="4"/>
    </row>
    <row r="67" spans="2:13">
      <c r="E67" s="7"/>
      <c r="H67" s="2" t="s">
        <v>618</v>
      </c>
      <c r="J67" s="1" t="s">
        <v>15</v>
      </c>
    </row>
    <row r="68" spans="2:13">
      <c r="E68" s="7" t="s">
        <v>212</v>
      </c>
      <c r="H68" s="2" t="s">
        <v>219</v>
      </c>
    </row>
    <row r="69" spans="2:13">
      <c r="E69" s="7">
        <v>2010</v>
      </c>
      <c r="H69" s="2">
        <f>M$11</f>
        <v>2.7338461538461535E-3</v>
      </c>
    </row>
    <row r="70" spans="2:13">
      <c r="E70" s="7">
        <v>2020</v>
      </c>
      <c r="H70" s="2">
        <f t="shared" ref="H70:H73" si="3">M$11</f>
        <v>2.7338461538461535E-3</v>
      </c>
    </row>
    <row r="71" spans="2:13">
      <c r="E71" s="7">
        <v>2030</v>
      </c>
      <c r="H71" s="2">
        <f t="shared" si="3"/>
        <v>2.7338461538461535E-3</v>
      </c>
    </row>
    <row r="72" spans="2:13">
      <c r="E72" s="7">
        <v>2040</v>
      </c>
      <c r="H72" s="2">
        <f t="shared" si="3"/>
        <v>2.7338461538461535E-3</v>
      </c>
    </row>
    <row r="73" spans="2:13">
      <c r="E73" s="7">
        <v>2050</v>
      </c>
      <c r="H73" s="2">
        <f t="shared" si="3"/>
        <v>2.7338461538461535E-3</v>
      </c>
    </row>
    <row r="75" spans="2:13">
      <c r="B75" s="3" t="s">
        <v>629</v>
      </c>
      <c r="C75" s="12"/>
    </row>
    <row r="76" spans="2:13">
      <c r="B76" s="165"/>
      <c r="C76" s="162"/>
    </row>
    <row r="77" spans="2:13">
      <c r="H77" s="3" t="s">
        <v>220</v>
      </c>
      <c r="J77" s="3" t="s">
        <v>221</v>
      </c>
      <c r="L77" t="s">
        <v>224</v>
      </c>
    </row>
    <row r="78" spans="2:13">
      <c r="E78" s="7"/>
      <c r="H78" s="3" t="s">
        <v>619</v>
      </c>
      <c r="J78" s="3" t="s">
        <v>619</v>
      </c>
      <c r="L78" s="113">
        <f>K11-H90*H21/1000-I90/H31*K28-I90*H30/1000</f>
        <v>0.20700650057163258</v>
      </c>
      <c r="M78" s="3" t="s">
        <v>223</v>
      </c>
    </row>
    <row r="79" spans="2:13">
      <c r="E79" s="7" t="s">
        <v>212</v>
      </c>
      <c r="H79" s="3" t="s">
        <v>223</v>
      </c>
      <c r="J79" s="3" t="s">
        <v>223</v>
      </c>
      <c r="L79" s="27">
        <f>L78/K11</f>
        <v>0.69429424856326716</v>
      </c>
    </row>
    <row r="80" spans="2:13">
      <c r="E80" s="7">
        <v>2010</v>
      </c>
      <c r="H80" s="178">
        <f>L78</f>
        <v>0.20700650057163258</v>
      </c>
      <c r="I80" s="26"/>
      <c r="J80" s="178">
        <f>L78</f>
        <v>0.20700650057163258</v>
      </c>
    </row>
    <row r="81" spans="2:49">
      <c r="E81" s="7">
        <v>2020</v>
      </c>
      <c r="H81" s="178">
        <f>$H$80</f>
        <v>0.20700650057163258</v>
      </c>
      <c r="J81" s="178">
        <f>$J$80</f>
        <v>0.20700650057163258</v>
      </c>
      <c r="L81" s="114"/>
    </row>
    <row r="82" spans="2:49">
      <c r="E82" s="7">
        <v>2030</v>
      </c>
      <c r="H82" s="178">
        <f t="shared" ref="H82:H84" si="4">$H$80</f>
        <v>0.20700650057163258</v>
      </c>
      <c r="J82" s="178">
        <f t="shared" ref="J82:J84" si="5">$J$80</f>
        <v>0.20700650057163258</v>
      </c>
      <c r="L82" s="114"/>
    </row>
    <row r="83" spans="2:49">
      <c r="E83" s="7">
        <v>2040</v>
      </c>
      <c r="H83" s="178">
        <f t="shared" si="4"/>
        <v>0.20700650057163258</v>
      </c>
      <c r="J83" s="178">
        <f t="shared" si="5"/>
        <v>0.20700650057163258</v>
      </c>
    </row>
    <row r="84" spans="2:49">
      <c r="E84" s="7">
        <v>2050</v>
      </c>
      <c r="H84" s="178">
        <f t="shared" si="4"/>
        <v>0.20700650057163258</v>
      </c>
      <c r="J84" s="178">
        <f t="shared" si="5"/>
        <v>0.20700650057163258</v>
      </c>
    </row>
    <row r="86" spans="2:49">
      <c r="B86" s="11" t="s">
        <v>225</v>
      </c>
      <c r="C86" s="13"/>
    </row>
    <row r="87" spans="2:49">
      <c r="AA87" s="30"/>
    </row>
    <row r="88" spans="2:49" s="30" customFormat="1" ht="30" customHeight="1">
      <c r="E88" s="40"/>
      <c r="H88" s="39" t="s">
        <v>751</v>
      </c>
      <c r="I88" s="39" t="s">
        <v>744</v>
      </c>
      <c r="J88" s="76" t="s">
        <v>199</v>
      </c>
      <c r="K88"/>
      <c r="L88"/>
      <c r="M88"/>
      <c r="N88"/>
      <c r="O88"/>
      <c r="P88"/>
      <c r="Q88"/>
      <c r="X88" s="41"/>
      <c r="Y88"/>
      <c r="AL88" s="41"/>
    </row>
    <row r="89" spans="2:49">
      <c r="E89" s="7" t="s">
        <v>212</v>
      </c>
      <c r="H89" s="11" t="s">
        <v>171</v>
      </c>
      <c r="I89" s="11" t="s">
        <v>171</v>
      </c>
      <c r="K89" s="165" t="s">
        <v>723</v>
      </c>
      <c r="S89" s="1"/>
      <c r="T89" s="1"/>
      <c r="U89" s="1"/>
      <c r="V89" s="1"/>
      <c r="W89" s="1"/>
      <c r="X89" s="1"/>
      <c r="AE89" s="1"/>
      <c r="AF89" s="1"/>
      <c r="AG89" s="1"/>
      <c r="AH89" s="1"/>
      <c r="AL89" s="11"/>
      <c r="AM89" s="11"/>
      <c r="AN89" s="11"/>
      <c r="AO89" s="11"/>
      <c r="AP89" s="11"/>
      <c r="AS89" s="11"/>
      <c r="AT89" s="11"/>
      <c r="AU89" s="11"/>
      <c r="AV89" s="11"/>
      <c r="AW89" s="11"/>
    </row>
    <row r="90" spans="2:49">
      <c r="E90" s="7">
        <v>2010</v>
      </c>
      <c r="H90" s="13">
        <f>3.6*94/T$9</f>
        <v>0.5206153846153847</v>
      </c>
      <c r="I90" s="13">
        <f>71.3/T$9</f>
        <v>0.10969230769230769</v>
      </c>
    </row>
    <row r="91" spans="2:49">
      <c r="E91" s="7">
        <v>2020</v>
      </c>
      <c r="H91" s="13">
        <f t="shared" ref="H91:H94" si="6">3.6*94/T$9</f>
        <v>0.5206153846153847</v>
      </c>
      <c r="I91" s="13">
        <f t="shared" ref="I91:I94" si="7">71.3/T$9</f>
        <v>0.10969230769230769</v>
      </c>
    </row>
    <row r="92" spans="2:49">
      <c r="E92" s="7">
        <v>2030</v>
      </c>
      <c r="H92" s="13">
        <f t="shared" si="6"/>
        <v>0.5206153846153847</v>
      </c>
      <c r="I92" s="13">
        <f t="shared" si="7"/>
        <v>0.10969230769230769</v>
      </c>
    </row>
    <row r="93" spans="2:49">
      <c r="E93" s="7">
        <v>2040</v>
      </c>
      <c r="H93" s="13">
        <f t="shared" si="6"/>
        <v>0.5206153846153847</v>
      </c>
      <c r="I93" s="13">
        <f t="shared" si="7"/>
        <v>0.10969230769230769</v>
      </c>
    </row>
    <row r="94" spans="2:49">
      <c r="E94" s="7">
        <v>2050</v>
      </c>
      <c r="H94" s="13">
        <f t="shared" si="6"/>
        <v>0.5206153846153847</v>
      </c>
      <c r="I94" s="13">
        <f t="shared" si="7"/>
        <v>0.10969230769230769</v>
      </c>
    </row>
    <row r="95" spans="2:49">
      <c r="L95" s="20"/>
      <c r="V95" s="19"/>
    </row>
    <row r="96" spans="2:49">
      <c r="L96" s="111"/>
      <c r="O96" s="112"/>
    </row>
    <row r="99" spans="15:43">
      <c r="AO99" s="1"/>
      <c r="AP99" s="1"/>
      <c r="AQ99" s="1"/>
    </row>
    <row r="100" spans="15:43">
      <c r="AO100" s="1"/>
      <c r="AP100" s="1"/>
      <c r="AQ100" s="1"/>
    </row>
    <row r="101" spans="15:43">
      <c r="AO101" s="1"/>
      <c r="AP101" s="1"/>
      <c r="AQ101" s="1"/>
    </row>
    <row r="104" spans="15:43">
      <c r="O104" s="18"/>
      <c r="P104" s="18"/>
      <c r="Q104" s="18"/>
      <c r="R104" s="18"/>
    </row>
  </sheetData>
  <pageMargins left="0.7" right="0.7" top="0.78740157499999996" bottom="0.78740157499999996"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X201"/>
  <sheetViews>
    <sheetView topLeftCell="A66" workbookViewId="0">
      <selection activeCell="L89" sqref="L89"/>
    </sheetView>
  </sheetViews>
  <sheetFormatPr defaultColWidth="9.109375" defaultRowHeight="14.4"/>
  <cols>
    <col min="2" max="2" width="9.109375" customWidth="1"/>
    <col min="5" max="5" width="24.5546875" customWidth="1"/>
    <col min="6" max="6" width="11.109375" customWidth="1"/>
    <col min="8" max="8" width="11.6640625" style="18" customWidth="1"/>
    <col min="9" max="9" width="11.6640625" customWidth="1"/>
    <col min="11" max="11" width="12.6640625" customWidth="1"/>
    <col min="12" max="12" width="13.33203125" customWidth="1"/>
    <col min="13" max="13" width="13.5546875" customWidth="1"/>
    <col min="14" max="14" width="12.88671875" customWidth="1"/>
    <col min="15" max="15" width="15.44140625" customWidth="1"/>
    <col min="16" max="16" width="15.88671875" customWidth="1"/>
    <col min="18" max="18" width="12.6640625" customWidth="1"/>
    <col min="22" max="22" width="10.5546875" customWidth="1"/>
    <col min="26" max="26" width="13.6640625" customWidth="1"/>
    <col min="34" max="34" width="9.109375" customWidth="1"/>
  </cols>
  <sheetData>
    <row r="2" spans="2:16">
      <c r="B2" s="7" t="s">
        <v>206</v>
      </c>
      <c r="C2" s="8"/>
      <c r="D2" s="4" t="s">
        <v>261</v>
      </c>
      <c r="E2" s="4"/>
      <c r="F2" s="4"/>
      <c r="G2" s="4"/>
      <c r="H2" s="43"/>
      <c r="I2" s="4"/>
      <c r="J2" s="4"/>
      <c r="K2" s="4"/>
      <c r="L2" s="4"/>
    </row>
    <row r="3" spans="2:16">
      <c r="D3" s="4" t="s">
        <v>262</v>
      </c>
      <c r="E3" s="4"/>
      <c r="F3" s="4"/>
      <c r="G3" s="4"/>
      <c r="H3" s="43"/>
      <c r="I3" s="4"/>
      <c r="J3" s="4"/>
      <c r="K3" s="4"/>
      <c r="L3" s="4"/>
    </row>
    <row r="5" spans="2:16">
      <c r="B5" s="7" t="s">
        <v>207</v>
      </c>
      <c r="C5" s="8"/>
      <c r="D5">
        <v>1</v>
      </c>
      <c r="E5" t="s">
        <v>263</v>
      </c>
    </row>
    <row r="7" spans="2:16">
      <c r="B7" s="7" t="s">
        <v>208</v>
      </c>
      <c r="C7" s="8"/>
      <c r="D7" t="s">
        <v>264</v>
      </c>
    </row>
    <row r="8" spans="2:16">
      <c r="D8" t="s">
        <v>160</v>
      </c>
    </row>
    <row r="9" spans="2:16" ht="15" thickBot="1"/>
    <row r="10" spans="2:16"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6" ht="15" thickBot="1">
      <c r="E11" s="72" t="s">
        <v>209</v>
      </c>
      <c r="F11" s="73" t="s">
        <v>137</v>
      </c>
      <c r="G11" s="73" t="s">
        <v>39</v>
      </c>
      <c r="H11" s="73" t="s">
        <v>40</v>
      </c>
      <c r="I11" s="74" t="s">
        <v>138</v>
      </c>
      <c r="J11" s="73"/>
      <c r="K11" s="73">
        <v>2.7</v>
      </c>
      <c r="L11" s="73">
        <v>-3.5999999999999997E-2</v>
      </c>
      <c r="M11" s="73">
        <v>8.5000000000000006E-2</v>
      </c>
      <c r="N11" s="73">
        <v>22.6</v>
      </c>
      <c r="O11" s="73">
        <v>1.36</v>
      </c>
      <c r="P11" s="75">
        <v>20.3</v>
      </c>
    </row>
    <row r="12" spans="2:16">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6">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16">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16">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16">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row>
    <row r="47" spans="2:16">
      <c r="E47" s="7"/>
      <c r="H47" s="44" t="s">
        <v>211</v>
      </c>
      <c r="J47" s="1" t="s">
        <v>16</v>
      </c>
    </row>
    <row r="48" spans="2:16">
      <c r="E48" s="7" t="s">
        <v>212</v>
      </c>
      <c r="H48" s="44" t="s">
        <v>213</v>
      </c>
    </row>
    <row r="49" spans="2:10">
      <c r="E49" s="7">
        <v>2010</v>
      </c>
      <c r="H49" s="44">
        <f>N11</f>
        <v>22.6</v>
      </c>
    </row>
    <row r="50" spans="2:10">
      <c r="E50" s="7">
        <v>2020</v>
      </c>
      <c r="H50" s="44">
        <v>22.6</v>
      </c>
    </row>
    <row r="51" spans="2:10">
      <c r="E51" s="7">
        <v>2030</v>
      </c>
      <c r="H51" s="44"/>
    </row>
    <row r="52" spans="2:10">
      <c r="E52" s="7">
        <v>2040</v>
      </c>
      <c r="H52" s="44"/>
    </row>
    <row r="53" spans="2:10">
      <c r="E53" s="7">
        <v>2050</v>
      </c>
      <c r="H53" s="44"/>
    </row>
    <row r="55" spans="2:10">
      <c r="B55" s="9" t="s">
        <v>214</v>
      </c>
      <c r="C55" s="10"/>
    </row>
    <row r="57" spans="2:10">
      <c r="E57" s="7"/>
      <c r="H57" s="45" t="s">
        <v>215</v>
      </c>
      <c r="J57" s="1" t="s">
        <v>14</v>
      </c>
    </row>
    <row r="58" spans="2:10">
      <c r="E58" s="7" t="s">
        <v>212</v>
      </c>
      <c r="H58" s="45" t="s">
        <v>216</v>
      </c>
    </row>
    <row r="59" spans="2:10">
      <c r="E59" s="7">
        <v>2010</v>
      </c>
      <c r="H59" s="45">
        <f>L11</f>
        <v>-3.5999999999999997E-2</v>
      </c>
    </row>
    <row r="60" spans="2:10">
      <c r="E60" s="7">
        <v>2020</v>
      </c>
      <c r="H60" s="45">
        <v>-3.5999999999999997E-2</v>
      </c>
    </row>
    <row r="61" spans="2:10">
      <c r="E61" s="7">
        <v>2030</v>
      </c>
      <c r="H61" s="45"/>
    </row>
    <row r="62" spans="2:10">
      <c r="E62" s="7">
        <v>2040</v>
      </c>
      <c r="H62" s="45"/>
    </row>
    <row r="63" spans="2:10">
      <c r="E63" s="7">
        <v>2050</v>
      </c>
      <c r="H63" s="45"/>
    </row>
    <row r="65" spans="2:17">
      <c r="B65" s="2" t="s">
        <v>217</v>
      </c>
      <c r="C65" s="4"/>
    </row>
    <row r="67" spans="2:17">
      <c r="E67" s="7"/>
      <c r="H67" s="46" t="s">
        <v>218</v>
      </c>
      <c r="J67" s="1" t="s">
        <v>15</v>
      </c>
    </row>
    <row r="68" spans="2:17">
      <c r="E68" s="7" t="s">
        <v>212</v>
      </c>
      <c r="H68" s="46" t="s">
        <v>219</v>
      </c>
    </row>
    <row r="69" spans="2:17">
      <c r="E69" s="7">
        <v>2010</v>
      </c>
      <c r="H69" s="46">
        <f>M11</f>
        <v>8.5000000000000006E-2</v>
      </c>
    </row>
    <row r="70" spans="2:17">
      <c r="E70" s="7">
        <v>2020</v>
      </c>
      <c r="H70" s="46">
        <f>$H$69</f>
        <v>8.5000000000000006E-2</v>
      </c>
    </row>
    <row r="71" spans="2:17">
      <c r="E71" s="7">
        <v>2030</v>
      </c>
      <c r="H71" s="46"/>
    </row>
    <row r="72" spans="2:17">
      <c r="E72" s="7">
        <v>2040</v>
      </c>
      <c r="H72" s="46"/>
    </row>
    <row r="73" spans="2:17">
      <c r="E73" s="7">
        <v>2050</v>
      </c>
      <c r="H73" s="46"/>
    </row>
    <row r="75" spans="2:17">
      <c r="B75" s="3" t="s">
        <v>629</v>
      </c>
      <c r="C75" s="12"/>
    </row>
    <row r="76" spans="2:17">
      <c r="B76" s="165"/>
      <c r="C76" s="162"/>
    </row>
    <row r="77" spans="2:17">
      <c r="H77" s="23" t="s">
        <v>220</v>
      </c>
      <c r="J77" s="3" t="s">
        <v>221</v>
      </c>
      <c r="L77" t="s">
        <v>224</v>
      </c>
    </row>
    <row r="78" spans="2:17" s="169" customFormat="1">
      <c r="E78" s="168"/>
      <c r="H78" s="23" t="s">
        <v>614</v>
      </c>
      <c r="J78" s="176" t="s">
        <v>614</v>
      </c>
      <c r="L78" s="177">
        <f>K11-H90*H21/1000-I90/H16*K13-I90*H15/1000-J90/H31*K28-J90*H30/1000-K90/H37*K34-K90*H36/1000-L90/H43*K40-L90*H42/1000</f>
        <v>-0.56350523281704568</v>
      </c>
      <c r="M78" s="176" t="s">
        <v>223</v>
      </c>
    </row>
    <row r="79" spans="2:17" ht="28.8">
      <c r="E79" s="7" t="s">
        <v>212</v>
      </c>
      <c r="H79" s="23" t="s">
        <v>223</v>
      </c>
      <c r="J79" s="21" t="s">
        <v>223</v>
      </c>
      <c r="L79" s="27">
        <f>L78/K11</f>
        <v>-0.20870564178409098</v>
      </c>
      <c r="Q79" s="27"/>
    </row>
    <row r="80" spans="2:17">
      <c r="E80" s="7">
        <v>2010</v>
      </c>
      <c r="H80" s="23">
        <f>L78</f>
        <v>-0.56350523281704568</v>
      </c>
      <c r="I80" s="1"/>
      <c r="J80" s="3">
        <f>L78</f>
        <v>-0.56350523281704568</v>
      </c>
    </row>
    <row r="81" spans="2:24">
      <c r="E81" s="7">
        <v>2020</v>
      </c>
      <c r="H81" s="23">
        <f>L78</f>
        <v>-0.56350523281704568</v>
      </c>
      <c r="I81" s="1"/>
      <c r="J81" s="3">
        <f>L78</f>
        <v>-0.56350523281704568</v>
      </c>
    </row>
    <row r="82" spans="2:24">
      <c r="E82" s="7">
        <v>2030</v>
      </c>
      <c r="H82" s="23"/>
      <c r="J82" s="3"/>
    </row>
    <row r="83" spans="2:24">
      <c r="E83" s="7">
        <v>2040</v>
      </c>
      <c r="H83" s="23"/>
      <c r="J83" s="3"/>
    </row>
    <row r="84" spans="2:24">
      <c r="E84" s="7">
        <v>2050</v>
      </c>
      <c r="H84" s="23"/>
      <c r="J84" s="3"/>
    </row>
    <row r="86" spans="2:24">
      <c r="B86" s="11" t="s">
        <v>225</v>
      </c>
      <c r="C86" s="13"/>
    </row>
    <row r="87" spans="2:24">
      <c r="O87" s="80" t="s">
        <v>734</v>
      </c>
      <c r="P87" s="76"/>
      <c r="Q87" s="76"/>
      <c r="R87" s="76"/>
      <c r="S87" s="76"/>
      <c r="T87" s="76"/>
      <c r="U87" s="80" t="s">
        <v>265</v>
      </c>
      <c r="V87" s="76"/>
      <c r="W87" s="76"/>
      <c r="X87" s="76"/>
    </row>
    <row r="88" spans="2:24" s="76" customFormat="1" ht="20.399999999999999" customHeight="1">
      <c r="E88" s="77"/>
      <c r="H88" s="78" t="s">
        <v>751</v>
      </c>
      <c r="I88" s="79" t="s">
        <v>747</v>
      </c>
      <c r="J88" s="79" t="s">
        <v>744</v>
      </c>
      <c r="K88" s="79" t="s">
        <v>745</v>
      </c>
      <c r="L88" s="79" t="s">
        <v>746</v>
      </c>
      <c r="M88" s="76" t="s">
        <v>199</v>
      </c>
      <c r="N88" s="82" t="s">
        <v>232</v>
      </c>
      <c r="O88" s="82" t="s">
        <v>163</v>
      </c>
      <c r="P88" s="82" t="s">
        <v>187</v>
      </c>
      <c r="Q88" s="82" t="s">
        <v>193</v>
      </c>
      <c r="R88" s="79" t="s">
        <v>195</v>
      </c>
      <c r="T88" s="82" t="s">
        <v>174</v>
      </c>
      <c r="U88" s="82" t="s">
        <v>163</v>
      </c>
      <c r="V88" s="82" t="s">
        <v>187</v>
      </c>
    </row>
    <row r="89" spans="2:24" s="76" customFormat="1">
      <c r="E89" s="77" t="s">
        <v>212</v>
      </c>
      <c r="H89" s="81" t="s">
        <v>171</v>
      </c>
      <c r="I89" s="82" t="s">
        <v>171</v>
      </c>
      <c r="J89" s="82" t="s">
        <v>171</v>
      </c>
      <c r="K89" s="82" t="s">
        <v>171</v>
      </c>
      <c r="L89" s="82" t="s">
        <v>171</v>
      </c>
      <c r="N89" s="82" t="s">
        <v>171</v>
      </c>
      <c r="O89" s="82" t="s">
        <v>171</v>
      </c>
      <c r="P89" s="82" t="s">
        <v>171</v>
      </c>
      <c r="Q89" s="82" t="s">
        <v>171</v>
      </c>
      <c r="R89" s="82" t="s">
        <v>171</v>
      </c>
      <c r="T89" s="82" t="s">
        <v>171</v>
      </c>
      <c r="U89" s="82" t="s">
        <v>171</v>
      </c>
      <c r="V89" s="82" t="s">
        <v>171</v>
      </c>
    </row>
    <row r="90" spans="2:24" s="76" customFormat="1">
      <c r="E90" s="77">
        <v>2010</v>
      </c>
      <c r="H90" s="83">
        <f>N90+T90</f>
        <v>19.234000000000002</v>
      </c>
      <c r="I90" s="83">
        <f>O90+U90</f>
        <v>0.65407999999999999</v>
      </c>
      <c r="J90" s="84">
        <f t="shared" ref="J90" si="0">P90+V90</f>
        <v>1.7903600000000002</v>
      </c>
      <c r="K90" s="84">
        <f>Q90</f>
        <v>4.6561199999999997E-3</v>
      </c>
      <c r="L90" s="84">
        <f>R90</f>
        <v>0.174398</v>
      </c>
      <c r="N90" s="175">
        <f>E122*2</f>
        <v>4.4340000000000002</v>
      </c>
      <c r="O90" s="84">
        <f>(E139*H16+E142*H16+E154+E155)*2</f>
        <v>0.21407999999999996</v>
      </c>
      <c r="P90" s="84">
        <f>E120*H31*2</f>
        <v>1.7123600000000001</v>
      </c>
      <c r="Q90" s="84">
        <f>E126*H37*2</f>
        <v>4.6561199999999997E-3</v>
      </c>
      <c r="R90" s="84">
        <f>(E128*H43+E132*H43+E153)*2</f>
        <v>0.174398</v>
      </c>
      <c r="T90" s="84">
        <f>14.8</f>
        <v>14.8</v>
      </c>
      <c r="U90" s="84">
        <v>0.44</v>
      </c>
      <c r="V90" s="84">
        <f>78/1000</f>
        <v>7.8E-2</v>
      </c>
    </row>
    <row r="91" spans="2:24" s="76" customFormat="1">
      <c r="E91" s="77">
        <v>2020</v>
      </c>
      <c r="H91" s="83">
        <f t="shared" ref="H91:H94" si="1">N91+T91</f>
        <v>19.234000000000002</v>
      </c>
      <c r="I91" s="83">
        <f t="shared" ref="I91:I94" si="2">O91+U91</f>
        <v>0.65407999999999999</v>
      </c>
      <c r="J91" s="84">
        <f t="shared" ref="J91:J94" si="3">P91+V91</f>
        <v>1.7903600000000002</v>
      </c>
      <c r="K91" s="84">
        <f t="shared" ref="K91:K94" si="4">Q91</f>
        <v>4.6561199999999997E-3</v>
      </c>
      <c r="L91" s="84">
        <f t="shared" ref="L91:L94" si="5">R91</f>
        <v>0.174398</v>
      </c>
      <c r="N91" s="84">
        <f t="shared" ref="N91:R91" si="6">N90</f>
        <v>4.4340000000000002</v>
      </c>
      <c r="O91" s="84">
        <f t="shared" si="6"/>
        <v>0.21407999999999996</v>
      </c>
      <c r="P91" s="84">
        <f t="shared" si="6"/>
        <v>1.7123600000000001</v>
      </c>
      <c r="Q91" s="84">
        <f t="shared" si="6"/>
        <v>4.6561199999999997E-3</v>
      </c>
      <c r="R91" s="84">
        <f t="shared" si="6"/>
        <v>0.174398</v>
      </c>
      <c r="T91" s="84">
        <f>T90</f>
        <v>14.8</v>
      </c>
      <c r="U91" s="84">
        <f>U90</f>
        <v>0.44</v>
      </c>
      <c r="V91" s="84">
        <f t="shared" ref="V91:V94" si="7">V90</f>
        <v>7.8E-2</v>
      </c>
    </row>
    <row r="92" spans="2:24" s="76" customFormat="1">
      <c r="E92" s="77">
        <v>2030</v>
      </c>
      <c r="H92" s="83">
        <f t="shared" si="1"/>
        <v>19.234000000000002</v>
      </c>
      <c r="I92" s="83">
        <f t="shared" si="2"/>
        <v>0.65407999999999999</v>
      </c>
      <c r="J92" s="84">
        <f t="shared" si="3"/>
        <v>1.7903600000000002</v>
      </c>
      <c r="K92" s="84">
        <f t="shared" si="4"/>
        <v>4.6561199999999997E-3</v>
      </c>
      <c r="L92" s="84">
        <f t="shared" si="5"/>
        <v>0.174398</v>
      </c>
      <c r="N92" s="84">
        <f t="shared" ref="N92:R92" si="8">N91</f>
        <v>4.4340000000000002</v>
      </c>
      <c r="O92" s="84">
        <f t="shared" si="8"/>
        <v>0.21407999999999996</v>
      </c>
      <c r="P92" s="84">
        <f t="shared" si="8"/>
        <v>1.7123600000000001</v>
      </c>
      <c r="Q92" s="84">
        <f t="shared" si="8"/>
        <v>4.6561199999999997E-3</v>
      </c>
      <c r="R92" s="84">
        <f t="shared" si="8"/>
        <v>0.174398</v>
      </c>
      <c r="T92" s="84">
        <f t="shared" ref="T92:T94" si="9">T91</f>
        <v>14.8</v>
      </c>
      <c r="U92" s="84">
        <f t="shared" ref="U92:U94" si="10">U91</f>
        <v>0.44</v>
      </c>
      <c r="V92" s="84">
        <f t="shared" si="7"/>
        <v>7.8E-2</v>
      </c>
    </row>
    <row r="93" spans="2:24" s="76" customFormat="1">
      <c r="E93" s="77">
        <v>2040</v>
      </c>
      <c r="H93" s="83">
        <f t="shared" si="1"/>
        <v>19.234000000000002</v>
      </c>
      <c r="I93" s="83">
        <f t="shared" si="2"/>
        <v>0.65407999999999999</v>
      </c>
      <c r="J93" s="84">
        <f t="shared" si="3"/>
        <v>1.7903600000000002</v>
      </c>
      <c r="K93" s="84">
        <f t="shared" si="4"/>
        <v>4.6561199999999997E-3</v>
      </c>
      <c r="L93" s="84">
        <f t="shared" si="5"/>
        <v>0.174398</v>
      </c>
      <c r="N93" s="84">
        <f t="shared" ref="N93:R93" si="11">N92</f>
        <v>4.4340000000000002</v>
      </c>
      <c r="O93" s="84">
        <f t="shared" si="11"/>
        <v>0.21407999999999996</v>
      </c>
      <c r="P93" s="84">
        <f t="shared" si="11"/>
        <v>1.7123600000000001</v>
      </c>
      <c r="Q93" s="84">
        <f t="shared" si="11"/>
        <v>4.6561199999999997E-3</v>
      </c>
      <c r="R93" s="84">
        <f t="shared" si="11"/>
        <v>0.174398</v>
      </c>
      <c r="T93" s="84">
        <f t="shared" si="9"/>
        <v>14.8</v>
      </c>
      <c r="U93" s="84">
        <f t="shared" si="10"/>
        <v>0.44</v>
      </c>
      <c r="V93" s="84">
        <f t="shared" si="7"/>
        <v>7.8E-2</v>
      </c>
    </row>
    <row r="94" spans="2:24" s="76" customFormat="1">
      <c r="E94" s="77">
        <v>2050</v>
      </c>
      <c r="H94" s="83">
        <f t="shared" si="1"/>
        <v>19.234000000000002</v>
      </c>
      <c r="I94" s="83">
        <f t="shared" si="2"/>
        <v>0.65407999999999999</v>
      </c>
      <c r="J94" s="84">
        <f t="shared" si="3"/>
        <v>1.7903600000000002</v>
      </c>
      <c r="K94" s="84">
        <f t="shared" si="4"/>
        <v>4.6561199999999997E-3</v>
      </c>
      <c r="L94" s="84">
        <f t="shared" si="5"/>
        <v>0.174398</v>
      </c>
      <c r="N94" s="84">
        <f t="shared" ref="N94:R94" si="12">N93</f>
        <v>4.4340000000000002</v>
      </c>
      <c r="O94" s="84">
        <f t="shared" si="12"/>
        <v>0.21407999999999996</v>
      </c>
      <c r="P94" s="84">
        <f t="shared" si="12"/>
        <v>1.7123600000000001</v>
      </c>
      <c r="Q94" s="84">
        <f t="shared" si="12"/>
        <v>4.6561199999999997E-3</v>
      </c>
      <c r="R94" s="84">
        <f t="shared" si="12"/>
        <v>0.174398</v>
      </c>
      <c r="T94" s="84">
        <f t="shared" si="9"/>
        <v>14.8</v>
      </c>
      <c r="U94" s="84">
        <f t="shared" si="10"/>
        <v>0.44</v>
      </c>
      <c r="V94" s="84">
        <f t="shared" si="7"/>
        <v>7.8E-2</v>
      </c>
    </row>
    <row r="95" spans="2:24" s="76" customFormat="1">
      <c r="H95" s="85"/>
      <c r="O95" s="76" t="s">
        <v>266</v>
      </c>
      <c r="U95" s="76" t="s">
        <v>267</v>
      </c>
    </row>
    <row r="96" spans="2:24" s="76" customFormat="1">
      <c r="H96" s="85"/>
      <c r="O96" s="105" t="s">
        <v>613</v>
      </c>
      <c r="U96" s="76" t="s">
        <v>268</v>
      </c>
    </row>
    <row r="97" spans="2:24" s="76" customFormat="1">
      <c r="H97" s="85"/>
      <c r="O97" s="76" t="s">
        <v>269</v>
      </c>
      <c r="U97" s="76" t="s">
        <v>269</v>
      </c>
    </row>
    <row r="98" spans="2:24" s="76" customFormat="1" ht="15">
      <c r="H98" s="85"/>
      <c r="N98" s="86"/>
      <c r="O98" s="76" t="s">
        <v>270</v>
      </c>
      <c r="U98" s="76" t="s">
        <v>270</v>
      </c>
    </row>
    <row r="99" spans="2:24" s="76" customFormat="1">
      <c r="H99" s="85"/>
      <c r="O99" s="76" t="s">
        <v>271</v>
      </c>
      <c r="U99" s="76" t="s">
        <v>271</v>
      </c>
    </row>
    <row r="100" spans="2:24" s="76" customFormat="1">
      <c r="H100" s="85"/>
      <c r="N100" s="87"/>
      <c r="U100" s="76" t="s">
        <v>272</v>
      </c>
    </row>
    <row r="101" spans="2:24" s="76" customFormat="1">
      <c r="H101" s="85"/>
    </row>
    <row r="102" spans="2:24" s="76" customFormat="1">
      <c r="H102" s="85"/>
    </row>
    <row r="103" spans="2:24" s="76" customFormat="1">
      <c r="H103" s="85"/>
    </row>
    <row r="104" spans="2:24" s="76" customFormat="1">
      <c r="H104" s="85"/>
      <c r="O104" s="85"/>
      <c r="P104" s="85"/>
      <c r="Q104" s="85"/>
      <c r="R104" s="85"/>
      <c r="X104" s="76" t="s">
        <v>735</v>
      </c>
    </row>
    <row r="105" spans="2:24">
      <c r="B105" s="88" t="s">
        <v>273</v>
      </c>
    </row>
    <row r="106" spans="2:24">
      <c r="B106" s="100" t="s">
        <v>274</v>
      </c>
    </row>
    <row r="107" spans="2:24">
      <c r="B107" s="88" t="s">
        <v>275</v>
      </c>
    </row>
    <row r="109" spans="2:24">
      <c r="B109" s="96" t="s">
        <v>276</v>
      </c>
      <c r="E109" s="10"/>
      <c r="L109" s="96" t="s">
        <v>277</v>
      </c>
    </row>
    <row r="110" spans="2:24" ht="15" thickBot="1">
      <c r="B110" s="89" t="s">
        <v>278</v>
      </c>
      <c r="C110" s="90" t="s">
        <v>279</v>
      </c>
      <c r="D110" s="91" t="s">
        <v>9</v>
      </c>
      <c r="E110" t="s">
        <v>280</v>
      </c>
      <c r="L110" s="89" t="s">
        <v>278</v>
      </c>
      <c r="M110" s="89" t="s">
        <v>279</v>
      </c>
      <c r="N110" s="91" t="s">
        <v>9</v>
      </c>
      <c r="O110" t="s">
        <v>281</v>
      </c>
    </row>
    <row r="111" spans="2:24">
      <c r="B111" s="92" t="s">
        <v>282</v>
      </c>
      <c r="C111" s="93">
        <v>20.742000000000001</v>
      </c>
      <c r="D111" s="95" t="s">
        <v>283</v>
      </c>
      <c r="E111">
        <f>20742/1000</f>
        <v>20.742000000000001</v>
      </c>
      <c r="L111" s="106" t="s">
        <v>284</v>
      </c>
      <c r="M111" s="106">
        <v>2</v>
      </c>
      <c r="N111" s="107" t="s">
        <v>283</v>
      </c>
    </row>
    <row r="112" spans="2:24">
      <c r="B112" s="92" t="s">
        <v>285</v>
      </c>
      <c r="C112" s="93" t="s">
        <v>286</v>
      </c>
      <c r="D112" s="95" t="s">
        <v>283</v>
      </c>
      <c r="L112" s="92" t="s">
        <v>287</v>
      </c>
      <c r="M112" s="92" t="s">
        <v>288</v>
      </c>
      <c r="N112" s="95" t="s">
        <v>283</v>
      </c>
    </row>
    <row r="113" spans="2:15">
      <c r="B113" s="92" t="s">
        <v>289</v>
      </c>
      <c r="C113" s="93">
        <v>457</v>
      </c>
      <c r="D113" s="95" t="s">
        <v>283</v>
      </c>
      <c r="L113" s="92" t="s">
        <v>290</v>
      </c>
      <c r="M113" s="92" t="s">
        <v>291</v>
      </c>
      <c r="N113" s="95" t="s">
        <v>283</v>
      </c>
    </row>
    <row r="114" spans="2:15">
      <c r="B114" s="92" t="s">
        <v>292</v>
      </c>
      <c r="C114" s="93" t="s">
        <v>293</v>
      </c>
      <c r="D114" s="95" t="s">
        <v>283</v>
      </c>
      <c r="L114" s="92" t="s">
        <v>294</v>
      </c>
      <c r="M114" s="92" t="s">
        <v>295</v>
      </c>
      <c r="N114" s="95" t="s">
        <v>283</v>
      </c>
    </row>
    <row r="115" spans="2:15">
      <c r="B115" s="92" t="s">
        <v>296</v>
      </c>
      <c r="C115" s="93" t="s">
        <v>297</v>
      </c>
      <c r="D115" s="95" t="s">
        <v>283</v>
      </c>
      <c r="L115" s="92" t="s">
        <v>298</v>
      </c>
      <c r="M115" s="92" t="s">
        <v>299</v>
      </c>
      <c r="N115" s="95" t="s">
        <v>283</v>
      </c>
    </row>
    <row r="116" spans="2:15">
      <c r="B116" s="92" t="s">
        <v>300</v>
      </c>
      <c r="C116" s="93" t="s">
        <v>301</v>
      </c>
      <c r="D116" s="95" t="s">
        <v>283</v>
      </c>
      <c r="L116" s="92" t="s">
        <v>302</v>
      </c>
      <c r="M116" s="92" t="s">
        <v>303</v>
      </c>
      <c r="N116" s="95" t="s">
        <v>283</v>
      </c>
    </row>
    <row r="117" spans="2:15">
      <c r="B117" s="92" t="s">
        <v>304</v>
      </c>
      <c r="C117" s="93" t="s">
        <v>305</v>
      </c>
      <c r="D117" s="95" t="s">
        <v>283</v>
      </c>
      <c r="L117" s="92" t="s">
        <v>306</v>
      </c>
      <c r="M117" s="92" t="s">
        <v>307</v>
      </c>
      <c r="N117" s="95" t="s">
        <v>283</v>
      </c>
    </row>
    <row r="118" spans="2:15">
      <c r="B118" s="92" t="s">
        <v>308</v>
      </c>
      <c r="C118" s="93" t="s">
        <v>309</v>
      </c>
      <c r="D118" s="95" t="s">
        <v>283</v>
      </c>
      <c r="L118" s="92" t="s">
        <v>310</v>
      </c>
      <c r="M118" s="92" t="s">
        <v>311</v>
      </c>
      <c r="N118" s="95" t="s">
        <v>283</v>
      </c>
    </row>
    <row r="119" spans="2:15">
      <c r="B119" s="92" t="s">
        <v>312</v>
      </c>
      <c r="C119" s="93" t="s">
        <v>313</v>
      </c>
      <c r="D119" s="95" t="s">
        <v>283</v>
      </c>
      <c r="L119" s="92" t="s">
        <v>314</v>
      </c>
      <c r="M119" s="92" t="s">
        <v>315</v>
      </c>
      <c r="N119" s="95" t="s">
        <v>283</v>
      </c>
    </row>
    <row r="120" spans="2:15">
      <c r="B120" s="97" t="s">
        <v>187</v>
      </c>
      <c r="C120" s="99" t="s">
        <v>316</v>
      </c>
      <c r="D120" s="98" t="s">
        <v>283</v>
      </c>
      <c r="E120">
        <f>17.8/1000</f>
        <v>1.78E-2</v>
      </c>
      <c r="L120" s="92" t="s">
        <v>285</v>
      </c>
      <c r="M120" s="92" t="s">
        <v>317</v>
      </c>
      <c r="N120" s="95" t="s">
        <v>283</v>
      </c>
    </row>
    <row r="121" spans="2:15">
      <c r="B121" s="92" t="s">
        <v>318</v>
      </c>
      <c r="C121" s="93" t="s">
        <v>319</v>
      </c>
      <c r="D121" s="95" t="s">
        <v>283</v>
      </c>
      <c r="L121" s="92" t="s">
        <v>320</v>
      </c>
      <c r="M121" s="92">
        <v>744</v>
      </c>
      <c r="N121" s="95" t="s">
        <v>283</v>
      </c>
    </row>
    <row r="122" spans="2:15">
      <c r="B122" s="97" t="s">
        <v>174</v>
      </c>
      <c r="C122" s="99">
        <v>2.2170000000000001</v>
      </c>
      <c r="D122" s="98" t="s">
        <v>321</v>
      </c>
      <c r="E122">
        <f>2217/1000</f>
        <v>2.2170000000000001</v>
      </c>
      <c r="L122" s="92" t="s">
        <v>322</v>
      </c>
      <c r="M122" s="92" t="s">
        <v>323</v>
      </c>
      <c r="N122" s="95" t="s">
        <v>283</v>
      </c>
    </row>
    <row r="123" spans="2:15">
      <c r="B123" s="92" t="s">
        <v>324</v>
      </c>
      <c r="C123" s="93" t="s">
        <v>325</v>
      </c>
      <c r="D123" s="95" t="s">
        <v>283</v>
      </c>
      <c r="L123" s="92" t="s">
        <v>326</v>
      </c>
      <c r="M123" s="92" t="s">
        <v>327</v>
      </c>
      <c r="N123" s="95" t="s">
        <v>283</v>
      </c>
    </row>
    <row r="124" spans="2:15">
      <c r="B124" s="92" t="s">
        <v>328</v>
      </c>
      <c r="C124" s="93" t="s">
        <v>329</v>
      </c>
      <c r="D124" s="95" t="s">
        <v>283</v>
      </c>
      <c r="L124" s="92" t="s">
        <v>330</v>
      </c>
      <c r="M124" s="92" t="s">
        <v>331</v>
      </c>
      <c r="N124" s="95" t="s">
        <v>283</v>
      </c>
    </row>
    <row r="125" spans="2:15">
      <c r="B125" s="92" t="s">
        <v>332</v>
      </c>
      <c r="C125" s="93" t="s">
        <v>333</v>
      </c>
      <c r="D125" s="95" t="s">
        <v>283</v>
      </c>
      <c r="L125" s="92" t="s">
        <v>334</v>
      </c>
      <c r="M125" s="92" t="s">
        <v>335</v>
      </c>
      <c r="N125" s="95" t="s">
        <v>283</v>
      </c>
    </row>
    <row r="126" spans="2:15">
      <c r="B126" s="97" t="s">
        <v>193</v>
      </c>
      <c r="C126" s="99" t="s">
        <v>336</v>
      </c>
      <c r="D126" s="98" t="s">
        <v>283</v>
      </c>
      <c r="E126">
        <f>0.0482/1000</f>
        <v>4.8199999999999999E-5</v>
      </c>
      <c r="L126" s="92" t="s">
        <v>337</v>
      </c>
      <c r="M126" s="92" t="s">
        <v>338</v>
      </c>
      <c r="N126" s="95" t="s">
        <v>283</v>
      </c>
    </row>
    <row r="127" spans="2:15">
      <c r="B127" s="92" t="s">
        <v>339</v>
      </c>
      <c r="C127" s="93" t="s">
        <v>340</v>
      </c>
      <c r="D127" s="95" t="s">
        <v>283</v>
      </c>
      <c r="L127" s="92" t="s">
        <v>341</v>
      </c>
      <c r="M127" s="92" t="s">
        <v>342</v>
      </c>
      <c r="N127" s="95" t="s">
        <v>283</v>
      </c>
    </row>
    <row r="128" spans="2:15">
      <c r="B128" s="97" t="s">
        <v>343</v>
      </c>
      <c r="C128" s="99" t="s">
        <v>344</v>
      </c>
      <c r="D128" s="98" t="s">
        <v>283</v>
      </c>
      <c r="E128">
        <f>0.55/1000</f>
        <v>5.5000000000000003E-4</v>
      </c>
      <c r="L128" s="97" t="s">
        <v>345</v>
      </c>
      <c r="M128" s="97" t="s">
        <v>346</v>
      </c>
      <c r="N128" s="98" t="s">
        <v>283</v>
      </c>
      <c r="O128">
        <f>0.0416/1000</f>
        <v>4.1599999999999995E-5</v>
      </c>
    </row>
    <row r="129" spans="2:15">
      <c r="B129" s="92" t="s">
        <v>347</v>
      </c>
      <c r="C129" s="93" t="s">
        <v>348</v>
      </c>
      <c r="D129" s="95" t="s">
        <v>283</v>
      </c>
      <c r="L129" s="92" t="s">
        <v>296</v>
      </c>
      <c r="M129" s="92" t="s">
        <v>349</v>
      </c>
      <c r="N129" s="95" t="s">
        <v>283</v>
      </c>
    </row>
    <row r="130" spans="2:15">
      <c r="B130" s="92" t="s">
        <v>350</v>
      </c>
      <c r="C130" s="93" t="s">
        <v>351</v>
      </c>
      <c r="D130" s="95" t="s">
        <v>283</v>
      </c>
      <c r="L130" s="92" t="s">
        <v>352</v>
      </c>
      <c r="M130" s="93" t="s">
        <v>353</v>
      </c>
      <c r="N130" s="95" t="s">
        <v>283</v>
      </c>
    </row>
    <row r="131" spans="2:15">
      <c r="B131" s="92" t="s">
        <v>354</v>
      </c>
      <c r="C131" s="93" t="s">
        <v>355</v>
      </c>
      <c r="D131" s="95" t="s">
        <v>283</v>
      </c>
      <c r="L131" s="92" t="s">
        <v>356</v>
      </c>
      <c r="M131" s="93" t="s">
        <v>357</v>
      </c>
      <c r="N131" s="95" t="s">
        <v>283</v>
      </c>
    </row>
    <row r="132" spans="2:15">
      <c r="B132" s="97" t="s">
        <v>358</v>
      </c>
      <c r="C132" s="99" t="s">
        <v>359</v>
      </c>
      <c r="D132" s="98" t="s">
        <v>283</v>
      </c>
      <c r="E132">
        <f>1.41/1000</f>
        <v>1.41E-3</v>
      </c>
      <c r="L132" s="92" t="s">
        <v>304</v>
      </c>
      <c r="M132" s="92" t="s">
        <v>360</v>
      </c>
      <c r="N132" s="95" t="s">
        <v>283</v>
      </c>
    </row>
    <row r="133" spans="2:15">
      <c r="B133" s="92" t="s">
        <v>361</v>
      </c>
      <c r="C133" s="93" t="s">
        <v>362</v>
      </c>
      <c r="D133" s="95" t="s">
        <v>283</v>
      </c>
      <c r="L133" s="92" t="s">
        <v>312</v>
      </c>
      <c r="M133" s="92" t="s">
        <v>363</v>
      </c>
      <c r="N133" s="95" t="s">
        <v>283</v>
      </c>
    </row>
    <row r="134" spans="2:15">
      <c r="B134" s="92" t="s">
        <v>364</v>
      </c>
      <c r="C134" s="93" t="s">
        <v>365</v>
      </c>
      <c r="D134" s="95" t="s">
        <v>283</v>
      </c>
      <c r="L134" s="92" t="s">
        <v>366</v>
      </c>
      <c r="M134" s="93" t="s">
        <v>367</v>
      </c>
      <c r="N134" s="95" t="s">
        <v>283</v>
      </c>
    </row>
    <row r="135" spans="2:15">
      <c r="B135" s="92" t="s">
        <v>368</v>
      </c>
      <c r="C135" s="93" t="s">
        <v>369</v>
      </c>
      <c r="D135" s="95" t="s">
        <v>283</v>
      </c>
      <c r="L135" s="97" t="s">
        <v>187</v>
      </c>
      <c r="M135" s="97" t="s">
        <v>370</v>
      </c>
      <c r="N135" s="98" t="s">
        <v>283</v>
      </c>
      <c r="O135">
        <f>16.7/1000</f>
        <v>1.67E-2</v>
      </c>
    </row>
    <row r="136" spans="2:15">
      <c r="B136" s="92" t="s">
        <v>371</v>
      </c>
      <c r="C136" s="93">
        <v>155</v>
      </c>
      <c r="D136" s="95" t="s">
        <v>321</v>
      </c>
      <c r="L136" s="97" t="s">
        <v>174</v>
      </c>
      <c r="M136" s="97">
        <v>16.596</v>
      </c>
      <c r="N136" s="98" t="s">
        <v>321</v>
      </c>
      <c r="O136">
        <f>16596/1000</f>
        <v>16.596</v>
      </c>
    </row>
    <row r="137" spans="2:15">
      <c r="B137" s="92" t="s">
        <v>372</v>
      </c>
      <c r="C137" s="93" t="s">
        <v>373</v>
      </c>
      <c r="D137" s="95" t="s">
        <v>283</v>
      </c>
      <c r="L137" s="92" t="s">
        <v>374</v>
      </c>
      <c r="M137" s="92" t="s">
        <v>375</v>
      </c>
      <c r="N137" s="95" t="s">
        <v>283</v>
      </c>
    </row>
    <row r="138" spans="2:15">
      <c r="B138" s="92" t="s">
        <v>376</v>
      </c>
      <c r="C138" s="93" t="s">
        <v>377</v>
      </c>
      <c r="D138" s="95" t="s">
        <v>283</v>
      </c>
      <c r="L138" s="92" t="s">
        <v>378</v>
      </c>
      <c r="M138" s="92" t="s">
        <v>379</v>
      </c>
      <c r="N138" s="95" t="s">
        <v>283</v>
      </c>
    </row>
    <row r="139" spans="2:15">
      <c r="B139" s="97" t="s">
        <v>163</v>
      </c>
      <c r="C139" s="99" t="s">
        <v>380</v>
      </c>
      <c r="D139" s="98" t="s">
        <v>283</v>
      </c>
      <c r="E139">
        <f>0.036/1000</f>
        <v>3.5999999999999994E-5</v>
      </c>
      <c r="L139" s="92" t="s">
        <v>381</v>
      </c>
      <c r="M139" s="93" t="s">
        <v>382</v>
      </c>
      <c r="N139" s="95" t="s">
        <v>283</v>
      </c>
    </row>
    <row r="140" spans="2:15">
      <c r="B140" s="92" t="s">
        <v>383</v>
      </c>
      <c r="C140" s="93" t="s">
        <v>384</v>
      </c>
      <c r="D140" s="95" t="s">
        <v>283</v>
      </c>
      <c r="L140" s="92" t="s">
        <v>385</v>
      </c>
      <c r="M140" s="92" t="s">
        <v>386</v>
      </c>
      <c r="N140" s="95" t="s">
        <v>283</v>
      </c>
    </row>
    <row r="141" spans="2:15">
      <c r="B141" s="92" t="s">
        <v>387</v>
      </c>
      <c r="C141" s="93" t="s">
        <v>319</v>
      </c>
      <c r="D141" s="95" t="s">
        <v>283</v>
      </c>
      <c r="L141" s="92" t="s">
        <v>388</v>
      </c>
      <c r="M141" s="92" t="s">
        <v>389</v>
      </c>
      <c r="N141" s="95" t="s">
        <v>283</v>
      </c>
    </row>
    <row r="142" spans="2:15">
      <c r="B142" s="97" t="s">
        <v>390</v>
      </c>
      <c r="C142" s="99" t="s">
        <v>391</v>
      </c>
      <c r="D142" s="98" t="s">
        <v>283</v>
      </c>
      <c r="E142">
        <f>1.25/1000</f>
        <v>1.25E-3</v>
      </c>
      <c r="L142" s="92" t="s">
        <v>392</v>
      </c>
      <c r="M142" s="92" t="s">
        <v>393</v>
      </c>
      <c r="N142" s="95" t="s">
        <v>283</v>
      </c>
    </row>
    <row r="143" spans="2:15">
      <c r="B143" s="92" t="s">
        <v>394</v>
      </c>
      <c r="C143" s="93" t="s">
        <v>395</v>
      </c>
      <c r="D143" s="95" t="s">
        <v>283</v>
      </c>
      <c r="L143" s="92" t="s">
        <v>396</v>
      </c>
      <c r="M143" s="92" t="s">
        <v>397</v>
      </c>
      <c r="N143" s="95" t="s">
        <v>283</v>
      </c>
    </row>
    <row r="144" spans="2:15">
      <c r="B144" s="92" t="s">
        <v>398</v>
      </c>
      <c r="C144" s="93" t="s">
        <v>399</v>
      </c>
      <c r="D144" s="95" t="s">
        <v>283</v>
      </c>
      <c r="L144" s="92" t="s">
        <v>328</v>
      </c>
      <c r="M144" s="92" t="s">
        <v>400</v>
      </c>
      <c r="N144" s="95" t="s">
        <v>283</v>
      </c>
    </row>
    <row r="145" spans="2:15">
      <c r="B145" s="92" t="s">
        <v>401</v>
      </c>
      <c r="C145" s="93" t="s">
        <v>402</v>
      </c>
      <c r="D145" s="95" t="s">
        <v>283</v>
      </c>
      <c r="L145" s="97" t="s">
        <v>193</v>
      </c>
      <c r="M145" s="97" t="s">
        <v>363</v>
      </c>
      <c r="N145" s="98" t="s">
        <v>283</v>
      </c>
      <c r="O145">
        <f>0.112/1000</f>
        <v>1.12E-4</v>
      </c>
    </row>
    <row r="146" spans="2:15">
      <c r="B146" s="92" t="s">
        <v>403</v>
      </c>
      <c r="C146" s="93" t="s">
        <v>404</v>
      </c>
      <c r="D146" s="95" t="s">
        <v>283</v>
      </c>
      <c r="L146" s="92" t="s">
        <v>405</v>
      </c>
      <c r="M146" s="93" t="s">
        <v>406</v>
      </c>
      <c r="N146" s="95" t="s">
        <v>283</v>
      </c>
    </row>
    <row r="147" spans="2:15">
      <c r="B147" s="92" t="s">
        <v>407</v>
      </c>
      <c r="C147" s="93" t="s">
        <v>408</v>
      </c>
      <c r="D147" s="95" t="s">
        <v>283</v>
      </c>
      <c r="L147" s="97" t="s">
        <v>409</v>
      </c>
      <c r="M147" s="97" t="s">
        <v>410</v>
      </c>
      <c r="N147" s="98" t="s">
        <v>283</v>
      </c>
      <c r="O147">
        <f>26.2/1000</f>
        <v>2.6199999999999998E-2</v>
      </c>
    </row>
    <row r="148" spans="2:15">
      <c r="B148" s="92" t="s">
        <v>411</v>
      </c>
      <c r="C148" s="93" t="s">
        <v>412</v>
      </c>
      <c r="D148" s="95" t="s">
        <v>283</v>
      </c>
      <c r="L148" s="97" t="s">
        <v>413</v>
      </c>
      <c r="M148" s="97" t="s">
        <v>414</v>
      </c>
      <c r="N148" s="98" t="s">
        <v>283</v>
      </c>
      <c r="O148">
        <f>27.1/1000</f>
        <v>2.7100000000000003E-2</v>
      </c>
    </row>
    <row r="149" spans="2:15">
      <c r="B149" s="92" t="s">
        <v>415</v>
      </c>
      <c r="C149" s="93" t="s">
        <v>416</v>
      </c>
      <c r="D149" s="95" t="s">
        <v>283</v>
      </c>
      <c r="L149" s="97" t="s">
        <v>343</v>
      </c>
      <c r="M149" s="97" t="s">
        <v>303</v>
      </c>
      <c r="N149" s="98" t="s">
        <v>283</v>
      </c>
      <c r="O149">
        <f>1.26/1000</f>
        <v>1.2600000000000001E-3</v>
      </c>
    </row>
    <row r="150" spans="2:15">
      <c r="B150" s="92" t="s">
        <v>417</v>
      </c>
      <c r="C150" s="93" t="s">
        <v>418</v>
      </c>
      <c r="D150" s="95" t="s">
        <v>283</v>
      </c>
      <c r="L150" s="92" t="s">
        <v>419</v>
      </c>
      <c r="M150" s="92" t="s">
        <v>420</v>
      </c>
      <c r="N150" s="95" t="s">
        <v>283</v>
      </c>
    </row>
    <row r="151" spans="2:15">
      <c r="B151" s="92" t="s">
        <v>421</v>
      </c>
      <c r="C151" s="93" t="s">
        <v>422</v>
      </c>
      <c r="D151" s="95" t="s">
        <v>283</v>
      </c>
      <c r="L151" s="92" t="s">
        <v>423</v>
      </c>
      <c r="M151" s="92" t="s">
        <v>424</v>
      </c>
      <c r="N151" s="95" t="s">
        <v>283</v>
      </c>
    </row>
    <row r="152" spans="2:15">
      <c r="B152" s="92" t="s">
        <v>425</v>
      </c>
      <c r="C152" s="93" t="s">
        <v>426</v>
      </c>
      <c r="D152" s="95" t="s">
        <v>283</v>
      </c>
      <c r="L152" s="92" t="s">
        <v>427</v>
      </c>
      <c r="M152" s="92" t="s">
        <v>428</v>
      </c>
      <c r="N152" s="95" t="s">
        <v>283</v>
      </c>
    </row>
    <row r="153" spans="2:15">
      <c r="B153" s="97" t="s">
        <v>429</v>
      </c>
      <c r="C153" s="99" t="s">
        <v>430</v>
      </c>
      <c r="D153" s="98" t="s">
        <v>321</v>
      </c>
      <c r="E153">
        <f>0.959/1000</f>
        <v>9.59E-4</v>
      </c>
      <c r="L153" s="92" t="s">
        <v>350</v>
      </c>
      <c r="M153" s="92" t="s">
        <v>431</v>
      </c>
      <c r="N153" s="95" t="s">
        <v>283</v>
      </c>
    </row>
    <row r="154" spans="2:15">
      <c r="B154" s="97" t="s">
        <v>432</v>
      </c>
      <c r="C154" s="99" t="s">
        <v>433</v>
      </c>
      <c r="D154" s="98" t="s">
        <v>321</v>
      </c>
      <c r="E154">
        <f>41.9/1000</f>
        <v>4.19E-2</v>
      </c>
      <c r="L154" s="92" t="s">
        <v>434</v>
      </c>
      <c r="M154" s="93" t="s">
        <v>435</v>
      </c>
      <c r="N154" s="95" t="s">
        <v>283</v>
      </c>
    </row>
    <row r="155" spans="2:15">
      <c r="B155" s="97" t="s">
        <v>436</v>
      </c>
      <c r="C155" s="99" t="s">
        <v>437</v>
      </c>
      <c r="D155" s="98" t="s">
        <v>321</v>
      </c>
      <c r="E155">
        <f>0.84/1000</f>
        <v>8.3999999999999993E-4</v>
      </c>
      <c r="L155" s="92" t="s">
        <v>438</v>
      </c>
      <c r="M155" s="92" t="s">
        <v>439</v>
      </c>
      <c r="N155" s="95" t="s">
        <v>283</v>
      </c>
    </row>
    <row r="156" spans="2:15">
      <c r="B156" s="92" t="s">
        <v>440</v>
      </c>
      <c r="C156" s="93">
        <v>59.468000000000004</v>
      </c>
      <c r="D156" s="95" t="s">
        <v>283</v>
      </c>
      <c r="L156" s="92" t="s">
        <v>441</v>
      </c>
      <c r="M156" s="92" t="s">
        <v>442</v>
      </c>
      <c r="N156" s="95" t="s">
        <v>283</v>
      </c>
    </row>
    <row r="157" spans="2:15">
      <c r="B157" s="92" t="s">
        <v>443</v>
      </c>
      <c r="C157" s="93" t="s">
        <v>444</v>
      </c>
      <c r="D157" s="95" t="s">
        <v>283</v>
      </c>
      <c r="L157" s="92" t="s">
        <v>445</v>
      </c>
      <c r="M157" s="92" t="s">
        <v>446</v>
      </c>
      <c r="N157" s="95" t="s">
        <v>283</v>
      </c>
    </row>
    <row r="158" spans="2:15">
      <c r="B158" s="92" t="s">
        <v>447</v>
      </c>
      <c r="C158" s="93" t="s">
        <v>448</v>
      </c>
      <c r="D158" s="95" t="s">
        <v>283</v>
      </c>
      <c r="L158" s="92" t="s">
        <v>449</v>
      </c>
      <c r="M158" s="93" t="s">
        <v>450</v>
      </c>
      <c r="N158" s="95" t="s">
        <v>283</v>
      </c>
    </row>
    <row r="159" spans="2:15">
      <c r="B159" s="30"/>
      <c r="C159" s="30"/>
      <c r="D159" s="94"/>
      <c r="L159" s="92" t="s">
        <v>451</v>
      </c>
      <c r="M159" s="93" t="s">
        <v>452</v>
      </c>
      <c r="N159" s="95" t="s">
        <v>283</v>
      </c>
    </row>
    <row r="160" spans="2:15">
      <c r="L160" s="97" t="s">
        <v>358</v>
      </c>
      <c r="M160" s="97" t="s">
        <v>453</v>
      </c>
      <c r="N160" s="98" t="s">
        <v>283</v>
      </c>
      <c r="O160">
        <f>2.27/1000</f>
        <v>2.2699999999999999E-3</v>
      </c>
    </row>
    <row r="161" spans="12:15">
      <c r="L161" s="92" t="s">
        <v>361</v>
      </c>
      <c r="M161" s="92" t="s">
        <v>454</v>
      </c>
      <c r="N161" s="95" t="s">
        <v>283</v>
      </c>
    </row>
    <row r="162" spans="12:15">
      <c r="L162" s="92" t="s">
        <v>364</v>
      </c>
      <c r="M162" s="92" t="s">
        <v>455</v>
      </c>
      <c r="N162" s="95" t="s">
        <v>283</v>
      </c>
    </row>
    <row r="163" spans="12:15">
      <c r="L163" s="92" t="s">
        <v>456</v>
      </c>
      <c r="M163" s="92" t="s">
        <v>457</v>
      </c>
      <c r="N163" s="95" t="s">
        <v>283</v>
      </c>
    </row>
    <row r="164" spans="12:15">
      <c r="L164" s="92" t="s">
        <v>458</v>
      </c>
      <c r="M164" s="92" t="s">
        <v>459</v>
      </c>
      <c r="N164" s="95" t="s">
        <v>283</v>
      </c>
    </row>
    <row r="165" spans="12:15">
      <c r="L165" s="92" t="s">
        <v>460</v>
      </c>
      <c r="M165" s="93" t="s">
        <v>461</v>
      </c>
      <c r="N165" s="95" t="s">
        <v>283</v>
      </c>
    </row>
    <row r="166" spans="12:15">
      <c r="L166" s="92" t="s">
        <v>462</v>
      </c>
      <c r="M166" s="92" t="s">
        <v>463</v>
      </c>
      <c r="N166" s="95" t="s">
        <v>283</v>
      </c>
    </row>
    <row r="167" spans="12:15">
      <c r="L167" s="92" t="s">
        <v>464</v>
      </c>
      <c r="M167" s="93" t="s">
        <v>465</v>
      </c>
      <c r="N167" s="95" t="s">
        <v>283</v>
      </c>
    </row>
    <row r="168" spans="12:15">
      <c r="L168" s="92" t="s">
        <v>466</v>
      </c>
      <c r="M168" s="92" t="s">
        <v>467</v>
      </c>
      <c r="N168" s="95" t="s">
        <v>321</v>
      </c>
    </row>
    <row r="169" spans="12:15">
      <c r="L169" s="97" t="s">
        <v>163</v>
      </c>
      <c r="M169" s="97" t="s">
        <v>468</v>
      </c>
      <c r="N169" s="98" t="s">
        <v>283</v>
      </c>
      <c r="O169">
        <f>36.2/1000</f>
        <v>3.6200000000000003E-2</v>
      </c>
    </row>
    <row r="170" spans="12:15">
      <c r="L170" s="92" t="s">
        <v>469</v>
      </c>
      <c r="M170" s="92" t="s">
        <v>470</v>
      </c>
      <c r="N170" s="95" t="s">
        <v>283</v>
      </c>
    </row>
    <row r="171" spans="12:15">
      <c r="L171" s="92" t="s">
        <v>383</v>
      </c>
      <c r="M171" s="92">
        <v>144</v>
      </c>
      <c r="N171" s="95" t="s">
        <v>283</v>
      </c>
    </row>
    <row r="172" spans="12:15">
      <c r="L172" s="92" t="s">
        <v>471</v>
      </c>
      <c r="M172" s="92" t="s">
        <v>472</v>
      </c>
      <c r="N172" s="95" t="s">
        <v>283</v>
      </c>
    </row>
    <row r="173" spans="12:15">
      <c r="L173" s="97" t="s">
        <v>473</v>
      </c>
      <c r="M173" s="97" t="s">
        <v>474</v>
      </c>
      <c r="N173" s="98" t="s">
        <v>283</v>
      </c>
      <c r="O173">
        <f>0.0431/1000</f>
        <v>4.3099999999999997E-5</v>
      </c>
    </row>
    <row r="174" spans="12:15">
      <c r="L174" s="92" t="s">
        <v>475</v>
      </c>
      <c r="M174" s="92" t="s">
        <v>476</v>
      </c>
      <c r="N174" s="95" t="s">
        <v>283</v>
      </c>
    </row>
    <row r="175" spans="12:15">
      <c r="L175" s="92" t="s">
        <v>477</v>
      </c>
      <c r="M175" s="92" t="s">
        <v>478</v>
      </c>
      <c r="N175" s="95" t="s">
        <v>283</v>
      </c>
    </row>
    <row r="176" spans="12:15">
      <c r="L176" s="92" t="s">
        <v>479</v>
      </c>
      <c r="M176" s="93" t="s">
        <v>480</v>
      </c>
      <c r="N176" s="95" t="s">
        <v>283</v>
      </c>
    </row>
    <row r="177" spans="12:15">
      <c r="L177" s="92" t="s">
        <v>481</v>
      </c>
      <c r="M177" s="92" t="s">
        <v>482</v>
      </c>
      <c r="N177" s="95" t="s">
        <v>283</v>
      </c>
    </row>
    <row r="178" spans="12:15">
      <c r="L178" s="97" t="s">
        <v>390</v>
      </c>
      <c r="M178" s="97" t="s">
        <v>483</v>
      </c>
      <c r="N178" s="98" t="s">
        <v>283</v>
      </c>
      <c r="O178">
        <f>0.934/1000</f>
        <v>9.3400000000000004E-4</v>
      </c>
    </row>
    <row r="179" spans="12:15">
      <c r="L179" s="92" t="s">
        <v>484</v>
      </c>
      <c r="M179" s="92" t="s">
        <v>485</v>
      </c>
      <c r="N179" s="95" t="s">
        <v>283</v>
      </c>
    </row>
    <row r="180" spans="12:15">
      <c r="L180" s="92" t="s">
        <v>486</v>
      </c>
      <c r="M180" s="92" t="s">
        <v>487</v>
      </c>
      <c r="N180" s="95" t="s">
        <v>283</v>
      </c>
    </row>
    <row r="181" spans="12:15">
      <c r="L181" s="92" t="s">
        <v>394</v>
      </c>
      <c r="M181" s="92">
        <v>28</v>
      </c>
      <c r="N181" s="95" t="s">
        <v>283</v>
      </c>
    </row>
    <row r="182" spans="12:15">
      <c r="L182" s="92" t="s">
        <v>488</v>
      </c>
      <c r="M182" s="92">
        <v>0</v>
      </c>
      <c r="N182" s="95" t="s">
        <v>283</v>
      </c>
    </row>
    <row r="183" spans="12:15">
      <c r="L183" s="92" t="s">
        <v>489</v>
      </c>
      <c r="M183" s="92">
        <v>0</v>
      </c>
      <c r="N183" s="95" t="s">
        <v>283</v>
      </c>
    </row>
    <row r="184" spans="12:15">
      <c r="L184" s="92" t="s">
        <v>490</v>
      </c>
      <c r="M184" s="92">
        <v>0</v>
      </c>
      <c r="N184" s="95" t="s">
        <v>283</v>
      </c>
    </row>
    <row r="185" spans="12:15">
      <c r="L185" s="92" t="s">
        <v>398</v>
      </c>
      <c r="M185" s="92">
        <v>0</v>
      </c>
      <c r="N185" s="95" t="s">
        <v>283</v>
      </c>
    </row>
    <row r="186" spans="12:15">
      <c r="L186" s="92" t="s">
        <v>401</v>
      </c>
      <c r="M186" s="92" t="s">
        <v>491</v>
      </c>
      <c r="N186" s="95" t="s">
        <v>283</v>
      </c>
    </row>
    <row r="187" spans="12:15">
      <c r="L187" s="92" t="s">
        <v>492</v>
      </c>
      <c r="M187" s="92">
        <v>0</v>
      </c>
      <c r="N187" s="95" t="s">
        <v>283</v>
      </c>
    </row>
    <row r="188" spans="12:15">
      <c r="L188" s="92" t="s">
        <v>407</v>
      </c>
      <c r="M188" s="92">
        <v>0</v>
      </c>
      <c r="N188" s="95" t="s">
        <v>283</v>
      </c>
    </row>
    <row r="189" spans="12:15">
      <c r="L189" s="92" t="s">
        <v>493</v>
      </c>
      <c r="M189" s="92" t="s">
        <v>494</v>
      </c>
      <c r="N189" s="95" t="s">
        <v>283</v>
      </c>
    </row>
    <row r="190" spans="12:15">
      <c r="L190" s="92" t="s">
        <v>495</v>
      </c>
      <c r="M190" s="92" t="s">
        <v>496</v>
      </c>
      <c r="N190" s="95" t="s">
        <v>283</v>
      </c>
    </row>
    <row r="191" spans="12:15">
      <c r="L191" s="92" t="s">
        <v>497</v>
      </c>
      <c r="M191" s="93" t="s">
        <v>498</v>
      </c>
      <c r="N191" s="95" t="s">
        <v>283</v>
      </c>
    </row>
    <row r="192" spans="12:15">
      <c r="L192" s="92" t="s">
        <v>499</v>
      </c>
      <c r="M192" s="93" t="s">
        <v>500</v>
      </c>
      <c r="N192" s="95" t="s">
        <v>283</v>
      </c>
    </row>
    <row r="193" spans="12:15">
      <c r="L193" s="92" t="s">
        <v>501</v>
      </c>
      <c r="M193" s="93" t="s">
        <v>502</v>
      </c>
      <c r="N193" s="95" t="s">
        <v>283</v>
      </c>
    </row>
    <row r="194" spans="12:15">
      <c r="L194" s="92" t="s">
        <v>503</v>
      </c>
      <c r="M194" s="93" t="s">
        <v>504</v>
      </c>
      <c r="N194" s="95" t="s">
        <v>283</v>
      </c>
    </row>
    <row r="195" spans="12:15">
      <c r="L195" s="92" t="s">
        <v>425</v>
      </c>
      <c r="M195" s="92" t="s">
        <v>505</v>
      </c>
      <c r="N195" s="95" t="s">
        <v>283</v>
      </c>
    </row>
    <row r="196" spans="12:15">
      <c r="L196" s="92" t="s">
        <v>506</v>
      </c>
      <c r="M196" s="93" t="s">
        <v>507</v>
      </c>
      <c r="N196" s="95" t="s">
        <v>283</v>
      </c>
    </row>
    <row r="197" spans="12:15">
      <c r="L197" s="97" t="s">
        <v>508</v>
      </c>
      <c r="M197" s="97" t="s">
        <v>509</v>
      </c>
      <c r="N197" s="98" t="s">
        <v>321</v>
      </c>
      <c r="O197">
        <f>5.71/1000</f>
        <v>5.7099999999999998E-3</v>
      </c>
    </row>
    <row r="198" spans="12:15">
      <c r="L198" s="97" t="s">
        <v>432</v>
      </c>
      <c r="M198" s="97">
        <v>159</v>
      </c>
      <c r="N198" s="98" t="s">
        <v>321</v>
      </c>
      <c r="O198">
        <f>159/1000</f>
        <v>0.159</v>
      </c>
    </row>
    <row r="199" spans="12:15">
      <c r="L199" s="97" t="s">
        <v>436</v>
      </c>
      <c r="M199" s="97" t="s">
        <v>510</v>
      </c>
      <c r="N199" s="98" t="s">
        <v>321</v>
      </c>
      <c r="O199">
        <f>0.259/1000</f>
        <v>2.5900000000000001E-4</v>
      </c>
    </row>
    <row r="200" spans="12:15">
      <c r="L200" s="92" t="s">
        <v>511</v>
      </c>
      <c r="M200" s="92" t="s">
        <v>512</v>
      </c>
      <c r="N200" s="95" t="s">
        <v>283</v>
      </c>
    </row>
    <row r="201" spans="12:15">
      <c r="L201" s="92" t="s">
        <v>440</v>
      </c>
      <c r="M201" s="92">
        <v>442.584</v>
      </c>
      <c r="N201" s="95" t="s">
        <v>283</v>
      </c>
    </row>
  </sheetData>
  <pageMargins left="0.7" right="0.7" top="0.78740157499999996" bottom="0.78740157499999996"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R180"/>
  <sheetViews>
    <sheetView topLeftCell="A64" workbookViewId="0">
      <selection activeCell="J89" sqref="J89"/>
    </sheetView>
  </sheetViews>
  <sheetFormatPr defaultColWidth="9.109375" defaultRowHeight="14.4"/>
  <cols>
    <col min="5" max="5" width="24.5546875" customWidth="1"/>
    <col min="6" max="6" width="11.109375" customWidth="1"/>
    <col min="8" max="8" width="11.6640625" style="18" customWidth="1"/>
    <col min="9" max="9" width="11.6640625" customWidth="1"/>
    <col min="11" max="11" width="12.6640625" customWidth="1"/>
    <col min="12" max="12" width="13.33203125" customWidth="1"/>
    <col min="13" max="13" width="13.5546875" customWidth="1"/>
    <col min="14" max="14" width="12.88671875" customWidth="1"/>
    <col min="15" max="15" width="15.44140625" customWidth="1"/>
    <col min="16" max="16" width="15.88671875" customWidth="1"/>
    <col min="17" max="17" width="10.6640625" customWidth="1"/>
    <col min="18" max="18" width="12.6640625" customWidth="1"/>
    <col min="22" max="22" width="10.5546875" customWidth="1"/>
    <col min="26" max="26" width="13.6640625" customWidth="1"/>
  </cols>
  <sheetData>
    <row r="2" spans="2:16">
      <c r="B2" s="7" t="s">
        <v>206</v>
      </c>
      <c r="C2" s="8"/>
      <c r="D2" s="201" t="s">
        <v>736</v>
      </c>
      <c r="E2" s="4"/>
      <c r="F2" s="4"/>
      <c r="G2" s="4"/>
      <c r="H2" s="43"/>
      <c r="I2" s="4"/>
      <c r="J2" s="4"/>
      <c r="K2" s="4"/>
      <c r="L2" s="4"/>
    </row>
    <row r="3" spans="2:16">
      <c r="D3" s="4" t="s">
        <v>738</v>
      </c>
      <c r="E3" s="4"/>
      <c r="F3" s="4"/>
      <c r="G3" s="4"/>
      <c r="H3" s="43"/>
      <c r="I3" s="4"/>
      <c r="J3" s="4"/>
      <c r="K3" s="4"/>
      <c r="L3" s="4"/>
    </row>
    <row r="5" spans="2:16">
      <c r="B5" s="7" t="s">
        <v>207</v>
      </c>
      <c r="C5" s="8"/>
      <c r="D5">
        <v>1</v>
      </c>
      <c r="E5" t="s">
        <v>577</v>
      </c>
    </row>
    <row r="7" spans="2:16">
      <c r="B7" s="7" t="s">
        <v>208</v>
      </c>
      <c r="C7" s="8"/>
      <c r="D7" t="s">
        <v>530</v>
      </c>
    </row>
    <row r="8" spans="2:16">
      <c r="D8" t="s">
        <v>160</v>
      </c>
    </row>
    <row r="9" spans="2:16" ht="15" thickBot="1"/>
    <row r="10" spans="2:16"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6" ht="15" thickBot="1">
      <c r="E11" s="72" t="s">
        <v>82</v>
      </c>
      <c r="F11" s="73" t="s">
        <v>84</v>
      </c>
      <c r="G11" s="73" t="s">
        <v>39</v>
      </c>
      <c r="H11" s="73" t="s">
        <v>40</v>
      </c>
      <c r="I11" s="74" t="s">
        <v>85</v>
      </c>
      <c r="J11" s="73"/>
      <c r="K11" s="73">
        <v>2.323</v>
      </c>
      <c r="L11" s="73">
        <v>1.4E-2</v>
      </c>
      <c r="M11" s="73">
        <v>4.6300000000000001E-2</v>
      </c>
      <c r="N11" s="73">
        <v>2.964</v>
      </c>
      <c r="O11" s="73">
        <v>1.8240000000000001</v>
      </c>
      <c r="P11" s="75">
        <v>0.23699999999999999</v>
      </c>
    </row>
    <row r="12" spans="2:16">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6">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16">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16">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16">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row>
    <row r="47" spans="2:16">
      <c r="E47" s="7"/>
      <c r="H47" s="44" t="s">
        <v>578</v>
      </c>
      <c r="J47" s="1" t="s">
        <v>16</v>
      </c>
    </row>
    <row r="48" spans="2:16">
      <c r="E48" s="7" t="s">
        <v>212</v>
      </c>
      <c r="H48" s="44" t="s">
        <v>213</v>
      </c>
    </row>
    <row r="49" spans="2:10">
      <c r="E49" s="7">
        <v>2010</v>
      </c>
      <c r="H49" s="44">
        <f>N11</f>
        <v>2.964</v>
      </c>
    </row>
    <row r="50" spans="2:10">
      <c r="E50" s="7">
        <v>2020</v>
      </c>
      <c r="H50" s="44">
        <f>$H$49</f>
        <v>2.964</v>
      </c>
    </row>
    <row r="51" spans="2:10">
      <c r="E51" s="7">
        <v>2030</v>
      </c>
      <c r="H51" s="44">
        <f t="shared" ref="H51:H53" si="0">$H$49</f>
        <v>2.964</v>
      </c>
    </row>
    <row r="52" spans="2:10">
      <c r="E52" s="7">
        <v>2040</v>
      </c>
      <c r="H52" s="44">
        <f t="shared" si="0"/>
        <v>2.964</v>
      </c>
    </row>
    <row r="53" spans="2:10">
      <c r="E53" s="7">
        <v>2050</v>
      </c>
      <c r="H53" s="44">
        <f t="shared" si="0"/>
        <v>2.964</v>
      </c>
    </row>
    <row r="55" spans="2:10">
      <c r="B55" s="9" t="s">
        <v>214</v>
      </c>
      <c r="C55" s="10"/>
    </row>
    <row r="57" spans="2:10">
      <c r="E57" s="7"/>
      <c r="H57" s="45" t="s">
        <v>579</v>
      </c>
      <c r="J57" s="1" t="s">
        <v>14</v>
      </c>
    </row>
    <row r="58" spans="2:10">
      <c r="E58" s="7" t="s">
        <v>212</v>
      </c>
      <c r="H58" s="45" t="s">
        <v>216</v>
      </c>
    </row>
    <row r="59" spans="2:10">
      <c r="E59" s="7">
        <v>2010</v>
      </c>
      <c r="H59" s="45">
        <f>L11</f>
        <v>1.4E-2</v>
      </c>
    </row>
    <row r="60" spans="2:10">
      <c r="E60" s="7">
        <v>2020</v>
      </c>
      <c r="H60" s="45">
        <f>$H$59</f>
        <v>1.4E-2</v>
      </c>
    </row>
    <row r="61" spans="2:10">
      <c r="E61" s="7">
        <v>2030</v>
      </c>
      <c r="H61" s="45">
        <f t="shared" ref="H61:H63" si="1">$H$59</f>
        <v>1.4E-2</v>
      </c>
    </row>
    <row r="62" spans="2:10">
      <c r="E62" s="7">
        <v>2040</v>
      </c>
      <c r="H62" s="45">
        <f t="shared" si="1"/>
        <v>1.4E-2</v>
      </c>
    </row>
    <row r="63" spans="2:10">
      <c r="E63" s="7">
        <v>2050</v>
      </c>
      <c r="H63" s="45">
        <f t="shared" si="1"/>
        <v>1.4E-2</v>
      </c>
    </row>
    <row r="65" spans="2:17">
      <c r="B65" s="2" t="s">
        <v>217</v>
      </c>
      <c r="C65" s="4"/>
    </row>
    <row r="67" spans="2:17">
      <c r="E67" s="7"/>
      <c r="H67" s="46" t="s">
        <v>580</v>
      </c>
      <c r="J67" s="1" t="s">
        <v>15</v>
      </c>
    </row>
    <row r="68" spans="2:17">
      <c r="E68" s="7" t="s">
        <v>212</v>
      </c>
      <c r="H68" s="46" t="s">
        <v>219</v>
      </c>
    </row>
    <row r="69" spans="2:17">
      <c r="E69" s="7">
        <v>2010</v>
      </c>
      <c r="H69" s="46">
        <f>M11</f>
        <v>4.6300000000000001E-2</v>
      </c>
    </row>
    <row r="70" spans="2:17">
      <c r="E70" s="7">
        <v>2020</v>
      </c>
      <c r="H70" s="46">
        <f>$H$69</f>
        <v>4.6300000000000001E-2</v>
      </c>
    </row>
    <row r="71" spans="2:17">
      <c r="E71" s="7">
        <v>2030</v>
      </c>
      <c r="H71" s="46">
        <f t="shared" ref="H71:H73" si="2">$H$69</f>
        <v>4.6300000000000001E-2</v>
      </c>
    </row>
    <row r="72" spans="2:17">
      <c r="E72" s="7">
        <v>2040</v>
      </c>
      <c r="H72" s="46">
        <f t="shared" si="2"/>
        <v>4.6300000000000001E-2</v>
      </c>
    </row>
    <row r="73" spans="2:17">
      <c r="E73" s="7">
        <v>2050</v>
      </c>
      <c r="H73" s="46">
        <f t="shared" si="2"/>
        <v>4.6300000000000001E-2</v>
      </c>
    </row>
    <row r="75" spans="2:17">
      <c r="B75" s="3" t="s">
        <v>629</v>
      </c>
      <c r="C75" s="12"/>
    </row>
    <row r="76" spans="2:17">
      <c r="B76" s="1"/>
    </row>
    <row r="77" spans="2:17">
      <c r="H77" s="23" t="s">
        <v>220</v>
      </c>
      <c r="J77" s="3" t="s">
        <v>221</v>
      </c>
      <c r="L77" t="s">
        <v>224</v>
      </c>
    </row>
    <row r="78" spans="2:17" ht="28.8">
      <c r="E78" s="7"/>
      <c r="H78" s="47" t="s">
        <v>222</v>
      </c>
      <c r="J78" s="21" t="s">
        <v>222</v>
      </c>
      <c r="L78">
        <f>K11-H90*H21/1000-I90/H16*K13-I90*H15/1000-J90/H31*K28-J90*H30/1000</f>
        <v>0.59635592709202956</v>
      </c>
      <c r="M78" s="3" t="s">
        <v>223</v>
      </c>
    </row>
    <row r="79" spans="2:17" s="169" customFormat="1">
      <c r="E79" s="168" t="s">
        <v>212</v>
      </c>
      <c r="H79" s="23" t="s">
        <v>223</v>
      </c>
      <c r="J79" s="176" t="s">
        <v>223</v>
      </c>
      <c r="L79" s="181"/>
      <c r="Q79" s="181"/>
    </row>
    <row r="80" spans="2:17">
      <c r="E80" s="7">
        <v>2010</v>
      </c>
      <c r="H80" s="23">
        <f>L78</f>
        <v>0.59635592709202956</v>
      </c>
      <c r="J80" s="3">
        <f>L78</f>
        <v>0.59635592709202956</v>
      </c>
    </row>
    <row r="81" spans="2:18">
      <c r="E81" s="7">
        <v>2020</v>
      </c>
      <c r="H81" s="23">
        <f>L78</f>
        <v>0.59635592709202956</v>
      </c>
      <c r="J81" s="3">
        <f>L78</f>
        <v>0.59635592709202956</v>
      </c>
    </row>
    <row r="82" spans="2:18">
      <c r="E82" s="7">
        <v>2030</v>
      </c>
      <c r="H82" s="23"/>
      <c r="J82" s="3"/>
    </row>
    <row r="83" spans="2:18">
      <c r="E83" s="7">
        <v>2040</v>
      </c>
      <c r="H83" s="23"/>
      <c r="J83" s="3"/>
    </row>
    <row r="84" spans="2:18">
      <c r="E84" s="7">
        <v>2050</v>
      </c>
      <c r="H84" s="23"/>
      <c r="J84" s="3"/>
    </row>
    <row r="86" spans="2:18">
      <c r="B86" s="11" t="s">
        <v>225</v>
      </c>
      <c r="C86" s="13"/>
    </row>
    <row r="87" spans="2:18">
      <c r="O87" s="76"/>
      <c r="P87" s="76"/>
      <c r="Q87" s="76"/>
      <c r="R87" s="76"/>
    </row>
    <row r="88" spans="2:18" s="76" customFormat="1" ht="20.399999999999999" customHeight="1">
      <c r="E88" s="77"/>
      <c r="H88" s="78" t="s">
        <v>751</v>
      </c>
      <c r="I88" s="79" t="s">
        <v>747</v>
      </c>
      <c r="J88" s="79" t="s">
        <v>744</v>
      </c>
      <c r="K88" s="76" t="s">
        <v>199</v>
      </c>
      <c r="M88" s="119"/>
      <c r="N88" s="119"/>
    </row>
    <row r="89" spans="2:18" s="76" customFormat="1">
      <c r="E89" s="77" t="s">
        <v>212</v>
      </c>
      <c r="H89" s="81" t="s">
        <v>171</v>
      </c>
      <c r="I89" s="82" t="s">
        <v>171</v>
      </c>
      <c r="J89" s="82" t="s">
        <v>171</v>
      </c>
      <c r="M89" s="119"/>
      <c r="N89" s="119"/>
    </row>
    <row r="90" spans="2:18" s="76" customFormat="1">
      <c r="E90" s="77">
        <v>2010</v>
      </c>
      <c r="H90" s="83">
        <v>3.94</v>
      </c>
      <c r="I90" s="83">
        <v>5.67</v>
      </c>
      <c r="J90" s="83">
        <v>7.03</v>
      </c>
    </row>
    <row r="91" spans="2:18" s="76" customFormat="1">
      <c r="E91" s="77">
        <v>2020</v>
      </c>
      <c r="H91" s="83">
        <f>H90</f>
        <v>3.94</v>
      </c>
      <c r="I91" s="83">
        <f t="shared" ref="I91:J91" si="3">I90</f>
        <v>5.67</v>
      </c>
      <c r="J91" s="83">
        <f t="shared" si="3"/>
        <v>7.03</v>
      </c>
    </row>
    <row r="92" spans="2:18" s="76" customFormat="1">
      <c r="E92" s="77">
        <v>2030</v>
      </c>
      <c r="H92" s="83">
        <f t="shared" ref="H92:H94" si="4">H91</f>
        <v>3.94</v>
      </c>
      <c r="I92" s="83">
        <f t="shared" ref="I92:I94" si="5">I91</f>
        <v>5.67</v>
      </c>
      <c r="J92" s="83">
        <f t="shared" ref="J92:J94" si="6">J91</f>
        <v>7.03</v>
      </c>
    </row>
    <row r="93" spans="2:18" s="76" customFormat="1">
      <c r="E93" s="77">
        <v>2040</v>
      </c>
      <c r="H93" s="83">
        <f t="shared" si="4"/>
        <v>3.94</v>
      </c>
      <c r="I93" s="83">
        <f t="shared" si="5"/>
        <v>5.67</v>
      </c>
      <c r="J93" s="83">
        <f t="shared" si="6"/>
        <v>7.03</v>
      </c>
    </row>
    <row r="94" spans="2:18" s="76" customFormat="1">
      <c r="E94" s="77">
        <v>2050</v>
      </c>
      <c r="H94" s="83">
        <f t="shared" si="4"/>
        <v>3.94</v>
      </c>
      <c r="I94" s="83">
        <f t="shared" si="5"/>
        <v>5.67</v>
      </c>
      <c r="J94" s="83">
        <f t="shared" si="6"/>
        <v>7.03</v>
      </c>
    </row>
    <row r="95" spans="2:18" s="76" customFormat="1">
      <c r="H95" s="85"/>
    </row>
    <row r="96" spans="2:18" s="76" customFormat="1">
      <c r="H96" s="85"/>
    </row>
    <row r="97" spans="2:14">
      <c r="B97" s="92"/>
      <c r="C97" s="93"/>
      <c r="D97" s="92"/>
      <c r="L97" s="92"/>
      <c r="M97" s="92"/>
      <c r="N97" s="92"/>
    </row>
    <row r="98" spans="2:14">
      <c r="B98" s="92"/>
      <c r="C98" s="93"/>
      <c r="D98" s="92"/>
      <c r="L98" s="92"/>
      <c r="M98" s="92"/>
      <c r="N98" s="92"/>
    </row>
    <row r="99" spans="2:14">
      <c r="B99" s="92"/>
      <c r="C99" s="93"/>
      <c r="D99" s="92"/>
      <c r="L99" s="92"/>
      <c r="M99" s="92"/>
      <c r="N99" s="92"/>
    </row>
    <row r="100" spans="2:14">
      <c r="B100" s="92"/>
      <c r="C100" s="93"/>
      <c r="D100" s="92"/>
      <c r="L100" s="92"/>
      <c r="M100" s="92"/>
      <c r="N100" s="92"/>
    </row>
    <row r="101" spans="2:14">
      <c r="B101" s="92"/>
      <c r="C101" s="93"/>
      <c r="D101" s="92"/>
      <c r="L101" s="92"/>
      <c r="M101" s="92"/>
      <c r="N101" s="92"/>
    </row>
    <row r="102" spans="2:14">
      <c r="B102" s="92"/>
      <c r="C102" s="93"/>
      <c r="D102" s="92"/>
      <c r="L102" s="92"/>
      <c r="M102" s="92"/>
      <c r="N102" s="92"/>
    </row>
    <row r="103" spans="2:14">
      <c r="B103" s="92"/>
      <c r="C103" s="201" t="s">
        <v>736</v>
      </c>
      <c r="D103" s="92"/>
      <c r="L103" s="92"/>
      <c r="M103" s="92"/>
      <c r="N103" s="92"/>
    </row>
    <row r="104" spans="2:14">
      <c r="B104" s="92"/>
      <c r="C104" s="93"/>
      <c r="D104" s="92"/>
      <c r="L104" s="92"/>
      <c r="M104" s="92"/>
      <c r="N104" s="92"/>
    </row>
    <row r="105" spans="2:14">
      <c r="B105" s="92"/>
      <c r="C105" s="93"/>
      <c r="D105" s="92"/>
      <c r="E105" t="s">
        <v>737</v>
      </c>
      <c r="L105" s="92"/>
      <c r="M105" s="92"/>
      <c r="N105" s="92"/>
    </row>
    <row r="106" spans="2:14">
      <c r="B106" s="92"/>
      <c r="C106" s="93"/>
      <c r="D106" s="92"/>
      <c r="L106" s="92"/>
      <c r="M106" s="92"/>
      <c r="N106" s="92"/>
    </row>
    <row r="107" spans="2:14">
      <c r="B107" s="92"/>
      <c r="C107" s="93"/>
      <c r="D107" s="92"/>
      <c r="L107" s="92"/>
      <c r="M107" s="92"/>
      <c r="N107" s="92"/>
    </row>
    <row r="108" spans="2:14">
      <c r="B108" s="92"/>
      <c r="C108" s="93"/>
      <c r="D108" s="92"/>
      <c r="L108" s="92"/>
      <c r="M108" s="92"/>
      <c r="N108" s="92"/>
    </row>
    <row r="109" spans="2:14">
      <c r="B109" s="92"/>
      <c r="C109" s="93"/>
      <c r="D109" s="92"/>
      <c r="L109" s="92"/>
      <c r="M109" s="93"/>
      <c r="N109" s="92"/>
    </row>
    <row r="110" spans="2:14">
      <c r="B110" s="92"/>
      <c r="C110" s="93"/>
      <c r="D110" s="92"/>
      <c r="L110" s="92"/>
      <c r="M110" s="93"/>
      <c r="N110" s="92"/>
    </row>
    <row r="111" spans="2:14">
      <c r="B111" s="92"/>
      <c r="C111" s="93"/>
      <c r="D111" s="92"/>
      <c r="L111" s="92"/>
      <c r="M111" s="92"/>
      <c r="N111" s="92"/>
    </row>
    <row r="112" spans="2:14">
      <c r="B112" s="92"/>
      <c r="C112" s="93"/>
      <c r="D112" s="92"/>
      <c r="L112" s="92"/>
      <c r="M112" s="92"/>
      <c r="N112" s="92"/>
    </row>
    <row r="113" spans="2:14">
      <c r="B113" s="92"/>
      <c r="C113" s="93"/>
      <c r="D113" s="92"/>
      <c r="L113" s="92"/>
      <c r="M113" s="93"/>
      <c r="N113" s="92"/>
    </row>
    <row r="114" spans="2:14">
      <c r="B114" s="92"/>
      <c r="C114" s="93"/>
      <c r="D114" s="92"/>
      <c r="L114" s="92"/>
      <c r="M114" s="92"/>
      <c r="N114" s="92"/>
    </row>
    <row r="115" spans="2:14">
      <c r="B115" s="92"/>
      <c r="C115" s="93"/>
      <c r="D115" s="92"/>
      <c r="L115" s="92"/>
      <c r="M115" s="92"/>
      <c r="N115" s="92"/>
    </row>
    <row r="116" spans="2:14">
      <c r="B116" s="92"/>
      <c r="C116" s="93"/>
      <c r="D116" s="92"/>
      <c r="L116" s="92"/>
      <c r="M116" s="92"/>
      <c r="N116" s="92"/>
    </row>
    <row r="117" spans="2:14">
      <c r="B117" s="92"/>
      <c r="C117" s="93"/>
      <c r="D117" s="92"/>
      <c r="L117" s="92"/>
      <c r="M117" s="92"/>
      <c r="N117" s="92"/>
    </row>
    <row r="118" spans="2:14">
      <c r="B118" s="92"/>
      <c r="C118" s="93"/>
      <c r="D118" s="92"/>
      <c r="L118" s="92"/>
      <c r="M118" s="93"/>
      <c r="N118" s="92"/>
    </row>
    <row r="119" spans="2:14">
      <c r="B119" s="92"/>
      <c r="C119" s="93"/>
      <c r="D119" s="92"/>
      <c r="L119" s="92"/>
      <c r="M119" s="92"/>
      <c r="N119" s="92"/>
    </row>
    <row r="120" spans="2:14">
      <c r="B120" s="92"/>
      <c r="C120" s="93"/>
      <c r="D120" s="92"/>
      <c r="L120" s="92"/>
      <c r="M120" s="92"/>
      <c r="N120" s="92"/>
    </row>
    <row r="121" spans="2:14">
      <c r="B121" s="92"/>
      <c r="C121" s="93"/>
      <c r="D121" s="92"/>
      <c r="L121" s="92"/>
      <c r="M121" s="92"/>
      <c r="N121" s="92"/>
    </row>
    <row r="122" spans="2:14">
      <c r="B122" s="92"/>
      <c r="C122" s="93"/>
      <c r="D122" s="92"/>
      <c r="L122" s="92"/>
      <c r="M122" s="92"/>
      <c r="N122" s="92"/>
    </row>
    <row r="123" spans="2:14">
      <c r="B123" s="92"/>
      <c r="C123" s="93"/>
      <c r="D123" s="92"/>
      <c r="L123" s="92"/>
      <c r="M123" s="92"/>
      <c r="N123" s="92"/>
    </row>
    <row r="124" spans="2:14">
      <c r="B124" s="92"/>
      <c r="C124" s="93"/>
      <c r="D124" s="92"/>
      <c r="L124" s="92"/>
      <c r="M124" s="92"/>
      <c r="N124" s="92"/>
    </row>
    <row r="125" spans="2:14">
      <c r="B125" s="92"/>
      <c r="C125" s="93"/>
      <c r="D125" s="92"/>
      <c r="L125" s="92"/>
      <c r="M125" s="93"/>
      <c r="N125" s="92"/>
    </row>
    <row r="126" spans="2:14">
      <c r="B126" s="92"/>
      <c r="C126" s="93"/>
      <c r="D126" s="92"/>
      <c r="L126" s="92"/>
      <c r="M126" s="92"/>
      <c r="N126" s="92"/>
    </row>
    <row r="127" spans="2:14">
      <c r="B127" s="92"/>
      <c r="C127" s="93"/>
      <c r="D127" s="92"/>
      <c r="L127" s="92"/>
      <c r="M127" s="92"/>
      <c r="N127" s="92"/>
    </row>
    <row r="128" spans="2:14">
      <c r="B128" s="92"/>
      <c r="C128" s="93"/>
      <c r="D128" s="92"/>
      <c r="L128" s="92"/>
      <c r="M128" s="92"/>
      <c r="N128" s="92"/>
    </row>
    <row r="129" spans="2:14">
      <c r="B129" s="92"/>
      <c r="C129" s="93"/>
      <c r="D129" s="92"/>
      <c r="L129" s="92"/>
      <c r="M129" s="92"/>
      <c r="N129" s="92"/>
    </row>
    <row r="130" spans="2:14">
      <c r="B130" s="92"/>
      <c r="C130" s="93"/>
      <c r="D130" s="92"/>
      <c r="L130" s="92"/>
      <c r="M130" s="92"/>
      <c r="N130" s="92"/>
    </row>
    <row r="131" spans="2:14">
      <c r="B131" s="92"/>
      <c r="C131" s="93"/>
      <c r="D131" s="92"/>
      <c r="L131" s="92"/>
      <c r="M131" s="92"/>
      <c r="N131" s="92"/>
    </row>
    <row r="132" spans="2:14">
      <c r="B132" s="92"/>
      <c r="C132" s="93"/>
      <c r="D132" s="92"/>
      <c r="L132" s="92"/>
      <c r="M132" s="92"/>
      <c r="N132" s="92"/>
    </row>
    <row r="133" spans="2:14">
      <c r="B133" s="92"/>
      <c r="C133" s="93"/>
      <c r="D133" s="92"/>
      <c r="L133" s="92"/>
      <c r="M133" s="93"/>
      <c r="N133" s="92"/>
    </row>
    <row r="134" spans="2:14">
      <c r="B134" s="92"/>
      <c r="C134" s="93"/>
      <c r="D134" s="92"/>
      <c r="L134" s="92"/>
      <c r="M134" s="92"/>
      <c r="N134" s="92"/>
    </row>
    <row r="135" spans="2:14">
      <c r="B135" s="92"/>
      <c r="C135" s="93"/>
      <c r="D135" s="92"/>
      <c r="L135" s="92"/>
      <c r="M135" s="92"/>
      <c r="N135" s="92"/>
    </row>
    <row r="136" spans="2:14">
      <c r="B136" s="92"/>
      <c r="C136" s="93"/>
      <c r="D136" s="92"/>
      <c r="L136" s="92"/>
      <c r="M136" s="92"/>
      <c r="N136" s="92"/>
    </row>
    <row r="137" spans="2:14">
      <c r="B137" s="92"/>
      <c r="C137" s="93"/>
      <c r="D137" s="92"/>
      <c r="L137" s="92"/>
      <c r="M137" s="93"/>
      <c r="N137" s="92"/>
    </row>
    <row r="138" spans="2:14">
      <c r="B138" s="30"/>
      <c r="C138" s="30"/>
      <c r="D138" s="30"/>
      <c r="L138" s="92"/>
      <c r="M138" s="93"/>
      <c r="N138" s="92"/>
    </row>
    <row r="139" spans="2:14">
      <c r="L139" s="92"/>
      <c r="M139" s="92"/>
      <c r="N139" s="92"/>
    </row>
    <row r="140" spans="2:14">
      <c r="L140" s="92"/>
      <c r="M140" s="92"/>
      <c r="N140" s="92"/>
    </row>
    <row r="141" spans="2:14">
      <c r="L141" s="92"/>
      <c r="M141" s="92"/>
      <c r="N141" s="92"/>
    </row>
    <row r="142" spans="2:14">
      <c r="L142" s="92"/>
      <c r="M142" s="92"/>
      <c r="N142" s="92"/>
    </row>
    <row r="143" spans="2:14">
      <c r="L143" s="92"/>
      <c r="M143" s="92"/>
      <c r="N143" s="92"/>
    </row>
    <row r="144" spans="2:14">
      <c r="L144" s="92"/>
      <c r="M144" s="93"/>
      <c r="N144" s="92"/>
    </row>
    <row r="145" spans="12:14">
      <c r="L145" s="92"/>
      <c r="M145" s="92"/>
      <c r="N145" s="92"/>
    </row>
    <row r="146" spans="12:14">
      <c r="L146" s="92"/>
      <c r="M146" s="93"/>
      <c r="N146" s="92"/>
    </row>
    <row r="147" spans="12:14">
      <c r="L147" s="92"/>
      <c r="M147" s="92"/>
      <c r="N147" s="92"/>
    </row>
    <row r="148" spans="12:14">
      <c r="L148" s="92"/>
      <c r="M148" s="92"/>
      <c r="N148" s="92"/>
    </row>
    <row r="149" spans="12:14">
      <c r="L149" s="92"/>
      <c r="M149" s="92"/>
      <c r="N149" s="92"/>
    </row>
    <row r="150" spans="12:14">
      <c r="L150" s="92"/>
      <c r="M150" s="92"/>
      <c r="N150" s="92"/>
    </row>
    <row r="151" spans="12:14">
      <c r="L151" s="92"/>
      <c r="M151" s="92"/>
      <c r="N151" s="92"/>
    </row>
    <row r="152" spans="12:14">
      <c r="L152" s="92"/>
      <c r="M152" s="92"/>
      <c r="N152" s="92"/>
    </row>
    <row r="153" spans="12:14">
      <c r="L153" s="92"/>
      <c r="M153" s="92"/>
      <c r="N153" s="92"/>
    </row>
    <row r="154" spans="12:14">
      <c r="L154" s="92"/>
      <c r="M154" s="92"/>
      <c r="N154" s="92"/>
    </row>
    <row r="155" spans="12:14">
      <c r="L155" s="92"/>
      <c r="M155" s="93"/>
      <c r="N155" s="92"/>
    </row>
    <row r="156" spans="12:14">
      <c r="L156" s="92"/>
      <c r="M156" s="92"/>
      <c r="N156" s="92"/>
    </row>
    <row r="157" spans="12:14">
      <c r="L157" s="92"/>
      <c r="M157" s="92"/>
      <c r="N157" s="92"/>
    </row>
    <row r="158" spans="12:14">
      <c r="L158" s="92"/>
      <c r="M158" s="92"/>
      <c r="N158" s="92"/>
    </row>
    <row r="159" spans="12:14">
      <c r="L159" s="92"/>
      <c r="M159" s="92"/>
      <c r="N159" s="92"/>
    </row>
    <row r="160" spans="12:14">
      <c r="L160" s="92"/>
      <c r="M160" s="92"/>
      <c r="N160" s="92"/>
    </row>
    <row r="161" spans="12:14">
      <c r="L161" s="92"/>
      <c r="M161" s="92"/>
      <c r="N161" s="92"/>
    </row>
    <row r="162" spans="12:14">
      <c r="L162" s="92"/>
      <c r="M162" s="92"/>
      <c r="N162" s="92"/>
    </row>
    <row r="163" spans="12:14">
      <c r="L163" s="92"/>
      <c r="M163" s="92"/>
      <c r="N163" s="92"/>
    </row>
    <row r="164" spans="12:14">
      <c r="L164" s="92"/>
      <c r="M164" s="92"/>
      <c r="N164" s="92"/>
    </row>
    <row r="165" spans="12:14">
      <c r="L165" s="92"/>
      <c r="M165" s="92"/>
      <c r="N165" s="92"/>
    </row>
    <row r="166" spans="12:14">
      <c r="L166" s="92"/>
      <c r="M166" s="92"/>
      <c r="N166" s="92"/>
    </row>
    <row r="167" spans="12:14">
      <c r="L167" s="92"/>
      <c r="M167" s="92"/>
      <c r="N167" s="92"/>
    </row>
    <row r="168" spans="12:14">
      <c r="L168" s="92"/>
      <c r="M168" s="92"/>
      <c r="N168" s="92"/>
    </row>
    <row r="169" spans="12:14">
      <c r="L169" s="92"/>
      <c r="M169" s="92"/>
      <c r="N169" s="92"/>
    </row>
    <row r="170" spans="12:14">
      <c r="L170" s="92"/>
      <c r="M170" s="93"/>
      <c r="N170" s="92"/>
    </row>
    <row r="171" spans="12:14">
      <c r="L171" s="92"/>
      <c r="M171" s="93"/>
      <c r="N171" s="92"/>
    </row>
    <row r="172" spans="12:14">
      <c r="L172" s="92"/>
      <c r="M172" s="93"/>
      <c r="N172" s="92"/>
    </row>
    <row r="173" spans="12:14">
      <c r="L173" s="92"/>
      <c r="M173" s="93"/>
      <c r="N173" s="92"/>
    </row>
    <row r="174" spans="12:14">
      <c r="L174" s="92"/>
      <c r="M174" s="92"/>
      <c r="N174" s="92"/>
    </row>
    <row r="175" spans="12:14">
      <c r="L175" s="92"/>
      <c r="M175" s="93"/>
      <c r="N175" s="92"/>
    </row>
    <row r="176" spans="12:14">
      <c r="L176" s="92"/>
      <c r="M176" s="92"/>
      <c r="N176" s="92"/>
    </row>
    <row r="177" spans="12:14">
      <c r="L177" s="92"/>
      <c r="M177" s="92"/>
      <c r="N177" s="92"/>
    </row>
    <row r="178" spans="12:14">
      <c r="L178" s="92"/>
      <c r="M178" s="92"/>
      <c r="N178" s="92"/>
    </row>
    <row r="179" spans="12:14">
      <c r="L179" s="92"/>
      <c r="M179" s="92"/>
      <c r="N179" s="92"/>
    </row>
    <row r="180" spans="12:14">
      <c r="L180" s="92"/>
      <c r="M180" s="92"/>
      <c r="N180" s="92"/>
    </row>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AF201"/>
  <sheetViews>
    <sheetView topLeftCell="A59" workbookViewId="0">
      <selection activeCell="J90" sqref="J90"/>
    </sheetView>
  </sheetViews>
  <sheetFormatPr defaultColWidth="9.109375" defaultRowHeight="14.4"/>
  <cols>
    <col min="4" max="4" width="10.33203125" bestFit="1" customWidth="1"/>
    <col min="5" max="5" width="24.5546875" customWidth="1"/>
    <col min="6" max="6" width="11.109375" customWidth="1"/>
    <col min="8" max="8" width="11.6640625" style="18" customWidth="1"/>
    <col min="9" max="9" width="11.6640625" customWidth="1"/>
    <col min="11" max="11" width="12.6640625" customWidth="1"/>
    <col min="12" max="12" width="13.33203125" customWidth="1"/>
    <col min="13" max="13" width="13.5546875" customWidth="1"/>
    <col min="14" max="14" width="12.88671875" customWidth="1"/>
    <col min="15" max="15" width="15.44140625" customWidth="1"/>
    <col min="16" max="16" width="15.88671875" customWidth="1"/>
    <col min="18" max="18" width="12.6640625" customWidth="1"/>
    <col min="22" max="22" width="10.5546875" customWidth="1"/>
    <col min="26" max="26" width="13.6640625" customWidth="1"/>
  </cols>
  <sheetData>
    <row r="2" spans="2:16">
      <c r="B2" s="7" t="s">
        <v>206</v>
      </c>
      <c r="C2" s="8"/>
      <c r="D2" s="118" t="s">
        <v>539</v>
      </c>
      <c r="E2" s="4"/>
      <c r="F2" s="4"/>
      <c r="G2" s="4" t="s">
        <v>540</v>
      </c>
      <c r="H2" s="43"/>
      <c r="I2" s="118" t="s">
        <v>541</v>
      </c>
      <c r="J2" s="4"/>
      <c r="K2" s="4"/>
      <c r="L2" s="4"/>
      <c r="M2" s="4"/>
      <c r="N2" s="4"/>
    </row>
    <row r="3" spans="2:16">
      <c r="D3" s="4" t="s">
        <v>542</v>
      </c>
      <c r="E3" s="4"/>
      <c r="F3" s="4"/>
      <c r="G3" s="4"/>
      <c r="H3" s="43"/>
      <c r="I3" s="4" t="s">
        <v>543</v>
      </c>
      <c r="J3" s="4"/>
      <c r="K3" s="4"/>
      <c r="L3" s="4"/>
      <c r="M3" s="4"/>
      <c r="N3" s="4"/>
    </row>
    <row r="5" spans="2:16">
      <c r="B5" s="7" t="s">
        <v>207</v>
      </c>
      <c r="C5" s="8"/>
      <c r="D5">
        <v>1</v>
      </c>
      <c r="E5" t="s">
        <v>544</v>
      </c>
    </row>
    <row r="7" spans="2:16">
      <c r="B7" s="7" t="s">
        <v>208</v>
      </c>
      <c r="C7" s="8"/>
      <c r="D7" t="s">
        <v>530</v>
      </c>
    </row>
    <row r="8" spans="2:16">
      <c r="D8" t="s">
        <v>160</v>
      </c>
    </row>
    <row r="9" spans="2:16" ht="15" thickBot="1"/>
    <row r="10" spans="2:16"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6" ht="15" thickBot="1">
      <c r="E11" s="72" t="s">
        <v>545</v>
      </c>
      <c r="F11" s="73" t="s">
        <v>108</v>
      </c>
      <c r="G11" s="73" t="s">
        <v>39</v>
      </c>
      <c r="H11" s="73" t="s">
        <v>56</v>
      </c>
      <c r="I11" s="74" t="s">
        <v>109</v>
      </c>
      <c r="J11" s="73"/>
      <c r="K11" s="73">
        <v>0.97</v>
      </c>
      <c r="L11" s="73">
        <v>2.4E-2</v>
      </c>
      <c r="M11" s="73">
        <v>5.7999999999999996E-3</v>
      </c>
      <c r="N11" s="73">
        <v>1.7</v>
      </c>
      <c r="O11" s="73">
        <v>0.28399999999999997</v>
      </c>
      <c r="P11" s="75">
        <v>0.10299999999999999</v>
      </c>
    </row>
    <row r="12" spans="2:16">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6">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16">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16">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16">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row>
    <row r="47" spans="2:16">
      <c r="E47" s="7"/>
      <c r="H47" s="44" t="s">
        <v>546</v>
      </c>
      <c r="J47" s="1" t="s">
        <v>16</v>
      </c>
    </row>
    <row r="48" spans="2:16">
      <c r="E48" s="7" t="s">
        <v>212</v>
      </c>
      <c r="H48" s="44" t="s">
        <v>213</v>
      </c>
    </row>
    <row r="49" spans="2:10">
      <c r="E49" s="7">
        <v>2010</v>
      </c>
      <c r="H49" s="44">
        <f>N11</f>
        <v>1.7</v>
      </c>
    </row>
    <row r="50" spans="2:10">
      <c r="E50" s="7">
        <v>2020</v>
      </c>
      <c r="H50" s="44">
        <f>$H$49</f>
        <v>1.7</v>
      </c>
    </row>
    <row r="51" spans="2:10">
      <c r="E51" s="7">
        <v>2030</v>
      </c>
      <c r="H51" s="44"/>
    </row>
    <row r="52" spans="2:10">
      <c r="E52" s="7">
        <v>2040</v>
      </c>
      <c r="H52" s="44"/>
    </row>
    <row r="53" spans="2:10">
      <c r="E53" s="7">
        <v>2050</v>
      </c>
      <c r="H53" s="44"/>
    </row>
    <row r="55" spans="2:10">
      <c r="B55" s="9" t="s">
        <v>214</v>
      </c>
      <c r="C55" s="10"/>
    </row>
    <row r="57" spans="2:10">
      <c r="E57" s="7"/>
      <c r="H57" s="45" t="s">
        <v>547</v>
      </c>
      <c r="J57" s="1" t="s">
        <v>14</v>
      </c>
    </row>
    <row r="58" spans="2:10">
      <c r="E58" s="7" t="s">
        <v>212</v>
      </c>
      <c r="H58" s="45" t="s">
        <v>216</v>
      </c>
    </row>
    <row r="59" spans="2:10">
      <c r="E59" s="7">
        <v>2010</v>
      </c>
      <c r="H59" s="45">
        <f>L11</f>
        <v>2.4E-2</v>
      </c>
    </row>
    <row r="60" spans="2:10">
      <c r="E60" s="7">
        <v>2020</v>
      </c>
      <c r="H60" s="45">
        <f>$H$59</f>
        <v>2.4E-2</v>
      </c>
    </row>
    <row r="61" spans="2:10">
      <c r="E61" s="7">
        <v>2030</v>
      </c>
      <c r="H61" s="45"/>
    </row>
    <row r="62" spans="2:10">
      <c r="E62" s="7">
        <v>2040</v>
      </c>
      <c r="H62" s="45"/>
    </row>
    <row r="63" spans="2:10">
      <c r="E63" s="7">
        <v>2050</v>
      </c>
      <c r="H63" s="45"/>
    </row>
    <row r="65" spans="2:23">
      <c r="B65" s="2" t="s">
        <v>217</v>
      </c>
      <c r="C65" s="4"/>
    </row>
    <row r="67" spans="2:23">
      <c r="E67" s="7"/>
      <c r="H67" s="46" t="s">
        <v>548</v>
      </c>
      <c r="J67" s="1" t="s">
        <v>15</v>
      </c>
    </row>
    <row r="68" spans="2:23">
      <c r="E68" s="7" t="s">
        <v>212</v>
      </c>
      <c r="H68" s="46" t="s">
        <v>219</v>
      </c>
    </row>
    <row r="69" spans="2:23">
      <c r="E69" s="7">
        <v>2010</v>
      </c>
      <c r="H69" s="46">
        <f>M11</f>
        <v>5.7999999999999996E-3</v>
      </c>
    </row>
    <row r="70" spans="2:23">
      <c r="E70" s="7">
        <v>2020</v>
      </c>
      <c r="H70" s="46">
        <f>$H$69</f>
        <v>5.7999999999999996E-3</v>
      </c>
    </row>
    <row r="71" spans="2:23">
      <c r="E71" s="7">
        <v>2030</v>
      </c>
      <c r="H71" s="46"/>
    </row>
    <row r="72" spans="2:23">
      <c r="E72" s="7">
        <v>2040</v>
      </c>
      <c r="H72" s="46"/>
    </row>
    <row r="73" spans="2:23">
      <c r="E73" s="7">
        <v>2050</v>
      </c>
      <c r="H73" s="46"/>
    </row>
    <row r="75" spans="2:23">
      <c r="B75" s="3" t="s">
        <v>629</v>
      </c>
      <c r="C75" s="12"/>
    </row>
    <row r="76" spans="2:23">
      <c r="B76" s="3"/>
      <c r="C76" s="12"/>
    </row>
    <row r="77" spans="2:23">
      <c r="H77" s="23" t="s">
        <v>220</v>
      </c>
      <c r="J77" s="3" t="s">
        <v>221</v>
      </c>
      <c r="L77" t="s">
        <v>224</v>
      </c>
    </row>
    <row r="78" spans="2:23">
      <c r="E78" s="7"/>
      <c r="H78" s="23" t="s">
        <v>549</v>
      </c>
      <c r="J78" s="3" t="s">
        <v>549</v>
      </c>
      <c r="L78">
        <f>K11-H90*H21/1000-I90/H16*K13-I90*H15/1000-J90/H43*K40-J90*H42/1000</f>
        <v>-8.3105014788151479E-2</v>
      </c>
      <c r="M78" s="3" t="s">
        <v>223</v>
      </c>
    </row>
    <row r="79" spans="2:23">
      <c r="E79" s="7" t="s">
        <v>212</v>
      </c>
      <c r="H79" s="23" t="s">
        <v>223</v>
      </c>
      <c r="J79" s="3" t="s">
        <v>223</v>
      </c>
      <c r="L79" s="180">
        <f>L78/K11</f>
        <v>-8.567527297747575E-2</v>
      </c>
      <c r="Q79" s="27"/>
      <c r="S79" t="s">
        <v>550</v>
      </c>
      <c r="W79" s="165"/>
    </row>
    <row r="80" spans="2:23">
      <c r="E80" s="7">
        <v>2010</v>
      </c>
      <c r="H80" s="23">
        <f>L78</f>
        <v>-8.3105014788151479E-2</v>
      </c>
      <c r="J80" s="3">
        <f>L78</f>
        <v>-8.3105014788151479E-2</v>
      </c>
      <c r="T80" s="111" t="s">
        <v>551</v>
      </c>
      <c r="U80">
        <f>I90*H15/1000+J90*H42/1000</f>
        <v>0.64399999999999991</v>
      </c>
      <c r="V80" t="s">
        <v>552</v>
      </c>
    </row>
    <row r="81" spans="2:32" ht="15" thickBot="1">
      <c r="E81" s="7">
        <v>2020</v>
      </c>
      <c r="H81" s="23">
        <f>L78</f>
        <v>-8.3105014788151479E-2</v>
      </c>
      <c r="J81" s="3">
        <f>L78</f>
        <v>-8.3105014788151479E-2</v>
      </c>
      <c r="S81" t="s">
        <v>553</v>
      </c>
      <c r="T81" s="19" t="s">
        <v>541</v>
      </c>
      <c r="V81" t="s">
        <v>554</v>
      </c>
    </row>
    <row r="82" spans="2:32" ht="15" thickBot="1">
      <c r="E82" s="7">
        <v>2030</v>
      </c>
      <c r="H82" s="23"/>
      <c r="J82" s="3"/>
      <c r="T82" s="111" t="s">
        <v>555</v>
      </c>
      <c r="U82" s="121">
        <f>U80/0.62*0.16</f>
        <v>0.16619354838709677</v>
      </c>
      <c r="V82" t="s">
        <v>556</v>
      </c>
    </row>
    <row r="83" spans="2:32">
      <c r="E83" s="7">
        <v>2040</v>
      </c>
      <c r="H83" s="23"/>
      <c r="J83" s="3"/>
    </row>
    <row r="84" spans="2:32">
      <c r="E84" s="7">
        <v>2050</v>
      </c>
      <c r="H84" s="23"/>
      <c r="J84" s="3"/>
      <c r="S84" s="96"/>
      <c r="Y84" s="18"/>
      <c r="AC84" s="96"/>
    </row>
    <row r="85" spans="2:32">
      <c r="S85" s="92"/>
      <c r="T85" s="93"/>
      <c r="U85" s="92"/>
      <c r="Y85" s="18"/>
      <c r="AC85" s="92"/>
    </row>
    <row r="86" spans="2:32">
      <c r="B86" s="11" t="s">
        <v>225</v>
      </c>
      <c r="C86" s="13"/>
      <c r="S86" s="92"/>
      <c r="T86" s="93"/>
      <c r="U86" s="92"/>
      <c r="Y86" s="18"/>
      <c r="AC86" s="115"/>
    </row>
    <row r="87" spans="2:32">
      <c r="O87" s="80"/>
      <c r="P87" s="76"/>
      <c r="Q87" s="76"/>
      <c r="S87" s="92"/>
      <c r="T87" s="93"/>
      <c r="U87" s="92"/>
      <c r="Y87" s="18"/>
      <c r="AC87" s="92"/>
    </row>
    <row r="88" spans="2:32" s="76" customFormat="1">
      <c r="E88" s="77"/>
      <c r="G88" s="76" t="s">
        <v>557</v>
      </c>
      <c r="H88" s="78" t="s">
        <v>751</v>
      </c>
      <c r="I88" s="79" t="s">
        <v>747</v>
      </c>
      <c r="J88" s="79" t="s">
        <v>768</v>
      </c>
      <c r="K88" s="76" t="s">
        <v>199</v>
      </c>
      <c r="L88" s="119"/>
      <c r="M88" s="119"/>
      <c r="N88" s="119"/>
      <c r="O88" s="119"/>
      <c r="P88" s="80"/>
      <c r="R88"/>
      <c r="S88" s="92"/>
      <c r="T88" s="93"/>
      <c r="U88" s="92"/>
      <c r="V88"/>
      <c r="W88"/>
      <c r="X88"/>
      <c r="Y88" s="18"/>
      <c r="Z88"/>
      <c r="AA88"/>
      <c r="AB88"/>
      <c r="AC88" s="92"/>
      <c r="AD88"/>
      <c r="AE88"/>
      <c r="AF88"/>
    </row>
    <row r="89" spans="2:32" s="76" customFormat="1">
      <c r="E89" s="77" t="s">
        <v>212</v>
      </c>
      <c r="G89" s="76" t="s">
        <v>171</v>
      </c>
      <c r="H89" s="81" t="s">
        <v>171</v>
      </c>
      <c r="I89" s="82" t="s">
        <v>171</v>
      </c>
      <c r="J89" s="82" t="s">
        <v>171</v>
      </c>
      <c r="L89" s="119"/>
      <c r="M89" s="119"/>
      <c r="N89" s="119"/>
      <c r="O89" s="119"/>
      <c r="P89" s="119"/>
      <c r="R89"/>
      <c r="S89" s="92"/>
      <c r="T89" s="93"/>
      <c r="U89" s="92"/>
      <c r="V89"/>
      <c r="W89"/>
      <c r="X89"/>
      <c r="Y89" s="18"/>
      <c r="Z89"/>
      <c r="AA89"/>
      <c r="AB89"/>
      <c r="AC89" s="92"/>
      <c r="AD89"/>
      <c r="AE89"/>
      <c r="AF89"/>
    </row>
    <row r="90" spans="2:32" s="76" customFormat="1">
      <c r="E90" s="77">
        <v>2010</v>
      </c>
      <c r="G90" s="76">
        <f>SUM(H90:J90)</f>
        <v>10.554838709677419</v>
      </c>
      <c r="H90" s="83">
        <f>D101</f>
        <v>1.3548387096774193</v>
      </c>
      <c r="I90" s="83">
        <f>D105</f>
        <v>6.8631999999999991</v>
      </c>
      <c r="J90" s="84">
        <f>D106</f>
        <v>2.3367999999999998</v>
      </c>
      <c r="L90" s="85"/>
      <c r="R90"/>
      <c r="S90" s="92"/>
      <c r="T90" s="93"/>
      <c r="U90" s="92"/>
      <c r="V90"/>
      <c r="W90"/>
      <c r="X90"/>
      <c r="Y90" s="18"/>
      <c r="Z90"/>
      <c r="AA90"/>
      <c r="AB90"/>
      <c r="AC90" s="92"/>
      <c r="AD90"/>
      <c r="AE90"/>
      <c r="AF90"/>
    </row>
    <row r="91" spans="2:32" s="76" customFormat="1">
      <c r="E91" s="77">
        <v>2020</v>
      </c>
      <c r="H91" s="83">
        <f t="shared" ref="H91:J91" si="0">H90</f>
        <v>1.3548387096774193</v>
      </c>
      <c r="I91" s="83">
        <f t="shared" si="0"/>
        <v>6.8631999999999991</v>
      </c>
      <c r="J91" s="84">
        <f t="shared" si="0"/>
        <v>2.3367999999999998</v>
      </c>
      <c r="R91"/>
      <c r="S91" s="92"/>
      <c r="T91" s="93"/>
      <c r="U91" s="92"/>
      <c r="V91"/>
      <c r="W91"/>
      <c r="X91"/>
      <c r="Y91" s="18"/>
      <c r="Z91"/>
      <c r="AA91"/>
      <c r="AB91"/>
      <c r="AC91" s="92"/>
      <c r="AD91"/>
      <c r="AE91"/>
      <c r="AF91"/>
    </row>
    <row r="92" spans="2:32" s="76" customFormat="1">
      <c r="E92" s="77">
        <v>2030</v>
      </c>
      <c r="H92" s="83">
        <f t="shared" ref="H92:J92" si="1">H91</f>
        <v>1.3548387096774193</v>
      </c>
      <c r="I92" s="83">
        <f t="shared" si="1"/>
        <v>6.8631999999999991</v>
      </c>
      <c r="J92" s="84">
        <f t="shared" si="1"/>
        <v>2.3367999999999998</v>
      </c>
      <c r="L92" s="105"/>
      <c r="R92"/>
      <c r="S92" s="92"/>
      <c r="T92" s="93"/>
      <c r="U92" s="92"/>
      <c r="V92"/>
      <c r="W92"/>
      <c r="X92"/>
      <c r="Y92" s="18"/>
      <c r="Z92"/>
      <c r="AA92"/>
      <c r="AB92"/>
      <c r="AC92" s="92"/>
      <c r="AD92"/>
      <c r="AE92"/>
      <c r="AF92"/>
    </row>
    <row r="93" spans="2:32" s="76" customFormat="1">
      <c r="E93" s="77">
        <v>2040</v>
      </c>
      <c r="H93" s="83">
        <f t="shared" ref="H93:J93" si="2">H92</f>
        <v>1.3548387096774193</v>
      </c>
      <c r="I93" s="83">
        <f t="shared" si="2"/>
        <v>6.8631999999999991</v>
      </c>
      <c r="J93" s="84">
        <f t="shared" si="2"/>
        <v>2.3367999999999998</v>
      </c>
      <c r="R93"/>
      <c r="S93" s="92"/>
      <c r="T93" s="93"/>
      <c r="U93" s="92"/>
      <c r="V93"/>
      <c r="W93"/>
      <c r="X93"/>
      <c r="Y93" s="18"/>
      <c r="Z93"/>
      <c r="AA93"/>
      <c r="AB93"/>
      <c r="AC93" s="92"/>
      <c r="AD93"/>
      <c r="AE93"/>
      <c r="AF93"/>
    </row>
    <row r="94" spans="2:32" s="76" customFormat="1">
      <c r="E94" s="77">
        <v>2050</v>
      </c>
      <c r="H94" s="83">
        <f t="shared" ref="H94:J94" si="3">H93</f>
        <v>1.3548387096774193</v>
      </c>
      <c r="I94" s="83">
        <f t="shared" si="3"/>
        <v>6.8631999999999991</v>
      </c>
      <c r="J94" s="84">
        <f t="shared" si="3"/>
        <v>2.3367999999999998</v>
      </c>
      <c r="R94"/>
      <c r="S94"/>
      <c r="T94"/>
      <c r="U94"/>
      <c r="V94"/>
      <c r="W94"/>
      <c r="X94"/>
      <c r="Y94"/>
      <c r="Z94"/>
      <c r="AA94"/>
      <c r="AB94"/>
      <c r="AC94"/>
      <c r="AD94"/>
      <c r="AE94"/>
      <c r="AF94"/>
    </row>
    <row r="95" spans="2:32" s="76" customFormat="1">
      <c r="H95" s="120"/>
      <c r="I95" s="120"/>
      <c r="J95" s="120"/>
    </row>
    <row r="96" spans="2:32" s="76" customFormat="1">
      <c r="H96" s="85"/>
    </row>
    <row r="97" spans="2:18" s="76" customFormat="1">
      <c r="B97" s="76" t="s">
        <v>558</v>
      </c>
      <c r="H97" s="85"/>
    </row>
    <row r="98" spans="2:18" s="76" customFormat="1" ht="15.6" thickBot="1">
      <c r="H98" s="85"/>
      <c r="N98" s="86"/>
    </row>
    <row r="99" spans="2:18" s="76" customFormat="1">
      <c r="B99" s="122"/>
      <c r="C99" s="123" t="s">
        <v>559</v>
      </c>
      <c r="D99" s="124">
        <f>9.3*1000000</f>
        <v>9300000</v>
      </c>
      <c r="E99" s="125" t="s">
        <v>560</v>
      </c>
      <c r="H99" s="85"/>
    </row>
    <row r="100" spans="2:18" s="76" customFormat="1">
      <c r="B100" s="126"/>
      <c r="C100" s="127" t="s">
        <v>561</v>
      </c>
      <c r="D100" s="76">
        <f>12.6*1000000</f>
        <v>12600000</v>
      </c>
      <c r="E100" s="128" t="s">
        <v>562</v>
      </c>
      <c r="H100" s="85"/>
      <c r="N100" s="87"/>
    </row>
    <row r="101" spans="2:18" s="76" customFormat="1">
      <c r="B101" s="131"/>
      <c r="C101" s="132" t="s">
        <v>563</v>
      </c>
      <c r="D101" s="79">
        <f>D100/D99</f>
        <v>1.3548387096774193</v>
      </c>
      <c r="E101" s="128" t="s">
        <v>564</v>
      </c>
      <c r="H101" s="85"/>
    </row>
    <row r="102" spans="2:18" s="76" customFormat="1">
      <c r="B102" s="126"/>
      <c r="C102" s="127" t="s">
        <v>565</v>
      </c>
      <c r="D102" s="76">
        <v>9.1999999999999993</v>
      </c>
      <c r="E102" s="128" t="s">
        <v>564</v>
      </c>
      <c r="H102" s="85"/>
    </row>
    <row r="103" spans="2:18" s="76" customFormat="1">
      <c r="B103" s="126"/>
      <c r="C103" s="127" t="s">
        <v>566</v>
      </c>
      <c r="D103" s="129">
        <v>0.746</v>
      </c>
      <c r="E103" s="128"/>
      <c r="H103" s="85"/>
    </row>
    <row r="104" spans="2:18" s="76" customFormat="1">
      <c r="B104" s="126"/>
      <c r="C104" s="127" t="s">
        <v>567</v>
      </c>
      <c r="D104" s="129">
        <v>0.254</v>
      </c>
      <c r="E104" s="128"/>
      <c r="H104" s="85"/>
      <c r="O104" s="85"/>
      <c r="P104" s="85"/>
      <c r="Q104" s="85"/>
      <c r="R104" s="85"/>
    </row>
    <row r="105" spans="2:18">
      <c r="B105" s="133"/>
      <c r="C105" s="134" t="s">
        <v>568</v>
      </c>
      <c r="D105" s="11">
        <f>D102*D103</f>
        <v>6.8631999999999991</v>
      </c>
      <c r="E105" s="128" t="s">
        <v>564</v>
      </c>
    </row>
    <row r="106" spans="2:18" ht="15" thickBot="1">
      <c r="B106" s="135"/>
      <c r="C106" s="136" t="s">
        <v>569</v>
      </c>
      <c r="D106" s="137">
        <f>D102*D104</f>
        <v>2.3367999999999998</v>
      </c>
      <c r="E106" s="130" t="s">
        <v>564</v>
      </c>
    </row>
    <row r="110" spans="2:18">
      <c r="M110" s="92"/>
      <c r="N110" s="92"/>
    </row>
    <row r="111" spans="2:18">
      <c r="M111" s="115"/>
      <c r="N111" s="115"/>
    </row>
    <row r="112" spans="2:18">
      <c r="M112" s="92"/>
      <c r="N112" s="92"/>
    </row>
    <row r="113" spans="2:14">
      <c r="M113" s="92"/>
      <c r="N113" s="92"/>
    </row>
    <row r="114" spans="2:14">
      <c r="M114" s="92"/>
      <c r="N114" s="92"/>
    </row>
    <row r="115" spans="2:14">
      <c r="M115" s="92"/>
      <c r="N115" s="92"/>
    </row>
    <row r="116" spans="2:14">
      <c r="M116" s="92"/>
      <c r="N116" s="92"/>
    </row>
    <row r="117" spans="2:14">
      <c r="M117" s="92"/>
      <c r="N117" s="92"/>
    </row>
    <row r="118" spans="2:14">
      <c r="M118" s="92"/>
      <c r="N118" s="92"/>
    </row>
    <row r="119" spans="2:14">
      <c r="B119" s="92"/>
      <c r="C119" s="93"/>
      <c r="D119" s="92"/>
      <c r="L119" s="92"/>
      <c r="M119" s="92"/>
      <c r="N119" s="92"/>
    </row>
    <row r="120" spans="2:14">
      <c r="B120" s="92"/>
      <c r="C120" s="93"/>
      <c r="D120" s="92"/>
      <c r="L120" s="92"/>
      <c r="M120" s="92"/>
      <c r="N120" s="92"/>
    </row>
    <row r="121" spans="2:14">
      <c r="B121" s="92"/>
      <c r="C121" s="93"/>
      <c r="D121" s="92"/>
      <c r="L121" s="92"/>
      <c r="M121" s="92"/>
      <c r="N121" s="92"/>
    </row>
    <row r="122" spans="2:14">
      <c r="B122" s="92"/>
      <c r="C122" s="93"/>
      <c r="D122" s="92"/>
      <c r="L122" s="92"/>
      <c r="M122" s="92"/>
      <c r="N122" s="92"/>
    </row>
    <row r="123" spans="2:14">
      <c r="B123" s="92"/>
      <c r="C123" s="93"/>
      <c r="D123" s="92"/>
      <c r="L123" s="92"/>
      <c r="M123" s="92"/>
      <c r="N123" s="92"/>
    </row>
    <row r="124" spans="2:14">
      <c r="B124" s="92"/>
      <c r="C124" s="93"/>
      <c r="D124" s="92"/>
      <c r="L124" s="92"/>
      <c r="M124" s="92"/>
      <c r="N124" s="92"/>
    </row>
    <row r="125" spans="2:14">
      <c r="B125" s="92"/>
      <c r="C125" s="93"/>
      <c r="D125" s="92"/>
      <c r="L125" s="92"/>
      <c r="M125" s="92"/>
      <c r="N125" s="92"/>
    </row>
    <row r="126" spans="2:14">
      <c r="B126" s="92"/>
      <c r="C126" s="93"/>
      <c r="D126" s="92"/>
      <c r="L126" s="92"/>
      <c r="M126" s="92"/>
      <c r="N126" s="92"/>
    </row>
    <row r="127" spans="2:14">
      <c r="B127" s="92"/>
      <c r="C127" s="93"/>
      <c r="D127" s="92"/>
      <c r="L127" s="92"/>
      <c r="M127" s="92"/>
      <c r="N127" s="92"/>
    </row>
    <row r="128" spans="2:14">
      <c r="B128" s="92"/>
      <c r="C128" s="93"/>
      <c r="D128" s="92"/>
      <c r="L128" s="92"/>
      <c r="M128" s="92"/>
      <c r="N128" s="92"/>
    </row>
    <row r="129" spans="2:14">
      <c r="B129" s="92"/>
      <c r="C129" s="93"/>
      <c r="D129" s="92"/>
      <c r="L129" s="92"/>
      <c r="M129" s="92"/>
      <c r="N129" s="92"/>
    </row>
    <row r="130" spans="2:14">
      <c r="B130" s="92"/>
      <c r="C130" s="93"/>
      <c r="D130" s="92"/>
      <c r="L130" s="92"/>
      <c r="M130" s="93"/>
      <c r="N130" s="92"/>
    </row>
    <row r="131" spans="2:14">
      <c r="B131" s="92"/>
      <c r="C131" s="93"/>
      <c r="D131" s="92"/>
      <c r="L131" s="92"/>
      <c r="M131" s="93"/>
      <c r="N131" s="92"/>
    </row>
    <row r="132" spans="2:14">
      <c r="B132" s="92"/>
      <c r="C132" s="93"/>
      <c r="D132" s="92"/>
      <c r="L132" s="92"/>
      <c r="M132" s="92"/>
      <c r="N132" s="92"/>
    </row>
    <row r="133" spans="2:14">
      <c r="B133" s="92"/>
      <c r="C133" s="93"/>
      <c r="D133" s="92"/>
      <c r="L133" s="92"/>
      <c r="M133" s="92"/>
      <c r="N133" s="92"/>
    </row>
    <row r="134" spans="2:14">
      <c r="B134" s="92"/>
      <c r="C134" s="93"/>
      <c r="D134" s="92"/>
      <c r="L134" s="92"/>
      <c r="M134" s="93"/>
      <c r="N134" s="92"/>
    </row>
    <row r="135" spans="2:14">
      <c r="B135" s="92"/>
      <c r="C135" s="93"/>
      <c r="D135" s="92"/>
      <c r="L135" s="92"/>
      <c r="M135" s="92"/>
      <c r="N135" s="92"/>
    </row>
    <row r="136" spans="2:14">
      <c r="B136" s="92"/>
      <c r="C136" s="93"/>
      <c r="D136" s="92"/>
      <c r="L136" s="92"/>
      <c r="M136" s="92"/>
      <c r="N136" s="92"/>
    </row>
    <row r="137" spans="2:14">
      <c r="B137" s="92"/>
      <c r="C137" s="93"/>
      <c r="D137" s="92"/>
      <c r="L137" s="92"/>
      <c r="M137" s="92"/>
      <c r="N137" s="92"/>
    </row>
    <row r="138" spans="2:14">
      <c r="B138" s="92"/>
      <c r="C138" s="93"/>
      <c r="D138" s="92"/>
      <c r="L138" s="92"/>
      <c r="M138" s="92"/>
      <c r="N138" s="92"/>
    </row>
    <row r="139" spans="2:14">
      <c r="B139" s="92"/>
      <c r="C139" s="93"/>
      <c r="D139" s="92"/>
      <c r="L139" s="92"/>
      <c r="M139" s="93"/>
      <c r="N139" s="92"/>
    </row>
    <row r="140" spans="2:14">
      <c r="B140" s="92"/>
      <c r="C140" s="93"/>
      <c r="D140" s="92"/>
      <c r="L140" s="92"/>
      <c r="M140" s="92"/>
      <c r="N140" s="92"/>
    </row>
    <row r="141" spans="2:14">
      <c r="B141" s="92"/>
      <c r="C141" s="93"/>
      <c r="D141" s="92"/>
      <c r="L141" s="92"/>
      <c r="M141" s="92"/>
      <c r="N141" s="92"/>
    </row>
    <row r="142" spans="2:14">
      <c r="B142" s="92"/>
      <c r="C142" s="93"/>
      <c r="D142" s="92"/>
      <c r="L142" s="92"/>
      <c r="M142" s="92"/>
      <c r="N142" s="92"/>
    </row>
    <row r="143" spans="2:14">
      <c r="B143" s="92"/>
      <c r="C143" s="93"/>
      <c r="D143" s="92"/>
      <c r="L143" s="92"/>
      <c r="M143" s="92"/>
      <c r="N143" s="92"/>
    </row>
    <row r="144" spans="2:14">
      <c r="B144" s="92"/>
      <c r="C144" s="93"/>
      <c r="D144" s="92"/>
      <c r="L144" s="92"/>
      <c r="M144" s="92"/>
      <c r="N144" s="92"/>
    </row>
    <row r="145" spans="2:14">
      <c r="B145" s="92"/>
      <c r="C145" s="93"/>
      <c r="D145" s="92"/>
      <c r="L145" s="92"/>
      <c r="M145" s="92"/>
      <c r="N145" s="92"/>
    </row>
    <row r="146" spans="2:14">
      <c r="B146" s="92"/>
      <c r="C146" s="93"/>
      <c r="D146" s="92"/>
      <c r="L146" s="92"/>
      <c r="M146" s="93"/>
      <c r="N146" s="92"/>
    </row>
    <row r="147" spans="2:14">
      <c r="B147" s="92"/>
      <c r="C147" s="93"/>
      <c r="D147" s="92"/>
      <c r="L147" s="92"/>
      <c r="M147" s="92"/>
      <c r="N147" s="92"/>
    </row>
    <row r="148" spans="2:14">
      <c r="B148" s="92"/>
      <c r="C148" s="93"/>
      <c r="D148" s="92"/>
      <c r="L148" s="92"/>
      <c r="M148" s="92"/>
      <c r="N148" s="92"/>
    </row>
    <row r="149" spans="2:14">
      <c r="B149" s="92"/>
      <c r="C149" s="93"/>
      <c r="D149" s="92"/>
      <c r="L149" s="92"/>
      <c r="M149" s="92"/>
      <c r="N149" s="92"/>
    </row>
    <row r="150" spans="2:14">
      <c r="B150" s="92"/>
      <c r="C150" s="93"/>
      <c r="D150" s="92"/>
      <c r="L150" s="92"/>
      <c r="M150" s="92"/>
      <c r="N150" s="92"/>
    </row>
    <row r="151" spans="2:14">
      <c r="B151" s="92"/>
      <c r="C151" s="93"/>
      <c r="D151" s="92"/>
      <c r="L151" s="92"/>
      <c r="M151" s="92"/>
      <c r="N151" s="92"/>
    </row>
    <row r="152" spans="2:14">
      <c r="B152" s="92"/>
      <c r="C152" s="93"/>
      <c r="D152" s="92"/>
      <c r="L152" s="92"/>
      <c r="M152" s="92"/>
      <c r="N152" s="92"/>
    </row>
    <row r="153" spans="2:14">
      <c r="B153" s="92"/>
      <c r="C153" s="93"/>
      <c r="D153" s="92"/>
      <c r="L153" s="92"/>
      <c r="M153" s="92"/>
      <c r="N153" s="92"/>
    </row>
    <row r="154" spans="2:14">
      <c r="B154" s="92"/>
      <c r="C154" s="93"/>
      <c r="D154" s="92"/>
      <c r="L154" s="92"/>
      <c r="M154" s="93"/>
      <c r="N154" s="92"/>
    </row>
    <row r="155" spans="2:14">
      <c r="B155" s="92"/>
      <c r="C155" s="93"/>
      <c r="D155" s="92"/>
      <c r="L155" s="92"/>
      <c r="M155" s="92"/>
      <c r="N155" s="92"/>
    </row>
    <row r="156" spans="2:14">
      <c r="B156" s="92"/>
      <c r="C156" s="93"/>
      <c r="D156" s="92"/>
      <c r="L156" s="92"/>
      <c r="M156" s="92"/>
      <c r="N156" s="92"/>
    </row>
    <row r="157" spans="2:14">
      <c r="B157" s="92"/>
      <c r="C157" s="93"/>
      <c r="D157" s="92"/>
      <c r="L157" s="92"/>
      <c r="M157" s="92"/>
      <c r="N157" s="92"/>
    </row>
    <row r="158" spans="2:14">
      <c r="B158" s="92"/>
      <c r="C158" s="93"/>
      <c r="D158" s="92"/>
      <c r="L158" s="92"/>
      <c r="M158" s="93"/>
      <c r="N158" s="92"/>
    </row>
    <row r="159" spans="2:14">
      <c r="B159" s="30"/>
      <c r="C159" s="30"/>
      <c r="D159" s="30"/>
      <c r="L159" s="92"/>
      <c r="M159" s="93"/>
      <c r="N159" s="92"/>
    </row>
    <row r="160" spans="2:14">
      <c r="L160" s="92"/>
      <c r="M160" s="92"/>
      <c r="N160" s="92"/>
    </row>
    <row r="161" spans="12:14">
      <c r="L161" s="92"/>
      <c r="M161" s="92"/>
      <c r="N161" s="92"/>
    </row>
    <row r="162" spans="12:14">
      <c r="L162" s="92"/>
      <c r="M162" s="92"/>
      <c r="N162" s="92"/>
    </row>
    <row r="163" spans="12:14">
      <c r="L163" s="92"/>
      <c r="M163" s="92"/>
      <c r="N163" s="92"/>
    </row>
    <row r="164" spans="12:14">
      <c r="L164" s="92"/>
      <c r="M164" s="92"/>
      <c r="N164" s="92"/>
    </row>
    <row r="165" spans="12:14">
      <c r="L165" s="92"/>
      <c r="M165" s="93"/>
      <c r="N165" s="92"/>
    </row>
    <row r="166" spans="12:14">
      <c r="L166" s="92"/>
      <c r="M166" s="92"/>
      <c r="N166" s="92"/>
    </row>
    <row r="167" spans="12:14">
      <c r="L167" s="92"/>
      <c r="M167" s="93"/>
      <c r="N167" s="92"/>
    </row>
    <row r="168" spans="12:14">
      <c r="L168" s="92"/>
      <c r="M168" s="92"/>
      <c r="N168" s="92"/>
    </row>
    <row r="169" spans="12:14">
      <c r="L169" s="92"/>
      <c r="M169" s="92"/>
      <c r="N169" s="92"/>
    </row>
    <row r="170" spans="12:14">
      <c r="L170" s="92"/>
      <c r="M170" s="92"/>
      <c r="N170" s="92"/>
    </row>
    <row r="171" spans="12:14">
      <c r="L171" s="92"/>
      <c r="M171" s="92"/>
      <c r="N171" s="92"/>
    </row>
    <row r="172" spans="12:14">
      <c r="L172" s="92"/>
      <c r="M172" s="92"/>
      <c r="N172" s="92"/>
    </row>
    <row r="173" spans="12:14">
      <c r="L173" s="92"/>
      <c r="M173" s="92"/>
      <c r="N173" s="92"/>
    </row>
    <row r="174" spans="12:14">
      <c r="L174" s="92"/>
      <c r="M174" s="92"/>
      <c r="N174" s="92"/>
    </row>
    <row r="175" spans="12:14">
      <c r="L175" s="92"/>
      <c r="M175" s="92"/>
      <c r="N175" s="92"/>
    </row>
    <row r="176" spans="12:14">
      <c r="L176" s="92"/>
      <c r="M176" s="93"/>
      <c r="N176" s="92"/>
    </row>
    <row r="177" spans="12:14">
      <c r="L177" s="92"/>
      <c r="M177" s="92"/>
      <c r="N177" s="92"/>
    </row>
    <row r="178" spans="12:14">
      <c r="L178" s="92"/>
      <c r="M178" s="92"/>
      <c r="N178" s="92"/>
    </row>
    <row r="179" spans="12:14">
      <c r="L179" s="92"/>
      <c r="M179" s="92"/>
      <c r="N179" s="92"/>
    </row>
    <row r="180" spans="12:14">
      <c r="L180" s="92"/>
      <c r="M180" s="92"/>
      <c r="N180" s="92"/>
    </row>
    <row r="181" spans="12:14">
      <c r="L181" s="92"/>
      <c r="M181" s="92"/>
      <c r="N181" s="92"/>
    </row>
    <row r="182" spans="12:14">
      <c r="L182" s="92"/>
      <c r="M182" s="92"/>
      <c r="N182" s="92"/>
    </row>
    <row r="183" spans="12:14">
      <c r="L183" s="92"/>
      <c r="M183" s="92"/>
      <c r="N183" s="92"/>
    </row>
    <row r="184" spans="12:14">
      <c r="L184" s="92"/>
      <c r="M184" s="92"/>
      <c r="N184" s="92"/>
    </row>
    <row r="185" spans="12:14">
      <c r="L185" s="92"/>
      <c r="M185" s="92"/>
      <c r="N185" s="92"/>
    </row>
    <row r="186" spans="12:14">
      <c r="L186" s="92"/>
      <c r="M186" s="92"/>
      <c r="N186" s="92"/>
    </row>
    <row r="187" spans="12:14">
      <c r="L187" s="92"/>
      <c r="M187" s="92"/>
      <c r="N187" s="92"/>
    </row>
    <row r="188" spans="12:14">
      <c r="L188" s="92"/>
      <c r="M188" s="92"/>
      <c r="N188" s="92"/>
    </row>
    <row r="189" spans="12:14">
      <c r="L189" s="92"/>
      <c r="M189" s="92"/>
      <c r="N189" s="92"/>
    </row>
    <row r="190" spans="12:14">
      <c r="L190" s="92"/>
      <c r="M190" s="92"/>
      <c r="N190" s="92"/>
    </row>
    <row r="191" spans="12:14">
      <c r="L191" s="92"/>
      <c r="M191" s="93"/>
      <c r="N191" s="92"/>
    </row>
    <row r="192" spans="12:14">
      <c r="L192" s="92"/>
      <c r="M192" s="93"/>
      <c r="N192" s="92"/>
    </row>
    <row r="193" spans="12:14">
      <c r="L193" s="92"/>
      <c r="M193" s="93"/>
      <c r="N193" s="92"/>
    </row>
    <row r="194" spans="12:14">
      <c r="L194" s="92"/>
      <c r="M194" s="93"/>
      <c r="N194" s="92"/>
    </row>
    <row r="195" spans="12:14">
      <c r="L195" s="92"/>
      <c r="M195" s="92"/>
      <c r="N195" s="92"/>
    </row>
    <row r="196" spans="12:14">
      <c r="L196" s="92"/>
      <c r="M196" s="93"/>
      <c r="N196" s="92"/>
    </row>
    <row r="197" spans="12:14">
      <c r="L197" s="92"/>
      <c r="M197" s="92"/>
      <c r="N197" s="92"/>
    </row>
    <row r="198" spans="12:14">
      <c r="L198" s="92"/>
      <c r="M198" s="92"/>
      <c r="N198" s="92"/>
    </row>
    <row r="199" spans="12:14">
      <c r="L199" s="92"/>
      <c r="M199" s="92"/>
      <c r="N199" s="92"/>
    </row>
    <row r="200" spans="12:14">
      <c r="L200" s="92"/>
      <c r="M200" s="92"/>
      <c r="N200" s="92"/>
    </row>
    <row r="201" spans="12:14">
      <c r="L201" s="92"/>
      <c r="M201" s="92"/>
      <c r="N201" s="92"/>
    </row>
  </sheetData>
  <hyperlinks>
    <hyperlink ref="D2" r:id="rId1" tooltip="Persistent link using digital object identifier" xr:uid="{00000000-0004-0000-0E00-000000000000}"/>
    <hyperlink ref="T81" r:id="rId2" xr:uid="{00000000-0004-0000-0E00-000001000000}"/>
    <hyperlink ref="I2" r:id="rId3" xr:uid="{00000000-0004-0000-0E00-000002000000}"/>
  </hyperlinks>
  <pageMargins left="0.7" right="0.7" top="0.75" bottom="0.75" header="0.3" footer="0.3"/>
  <pageSetup paperSize="9" orientation="portrait" r:id="rId4"/>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AA201"/>
  <sheetViews>
    <sheetView topLeftCell="A63" workbookViewId="0">
      <selection activeCell="J89" sqref="J89"/>
    </sheetView>
  </sheetViews>
  <sheetFormatPr defaultColWidth="9.109375" defaultRowHeight="14.4"/>
  <cols>
    <col min="5" max="5" width="24.5546875" customWidth="1"/>
    <col min="6" max="6" width="11.109375" customWidth="1"/>
    <col min="8" max="8" width="11.6640625" style="18" customWidth="1"/>
    <col min="9" max="9" width="11.6640625" customWidth="1"/>
    <col min="10" max="10" width="13.33203125" customWidth="1"/>
    <col min="11" max="11" width="12.6640625" customWidth="1"/>
    <col min="12" max="12" width="13.33203125" customWidth="1"/>
    <col min="13" max="13" width="13.5546875" customWidth="1"/>
    <col min="14" max="14" width="12.88671875" customWidth="1"/>
    <col min="15" max="15" width="15.44140625" customWidth="1"/>
    <col min="16" max="16" width="15.88671875" customWidth="1"/>
    <col min="18" max="18" width="12.6640625" customWidth="1"/>
    <col min="22" max="22" width="10.5546875" customWidth="1"/>
    <col min="26" max="26" width="13.6640625" customWidth="1"/>
  </cols>
  <sheetData>
    <row r="2" spans="2:16">
      <c r="B2" s="7" t="s">
        <v>206</v>
      </c>
      <c r="C2" s="8"/>
      <c r="D2" s="118" t="s">
        <v>570</v>
      </c>
      <c r="E2" s="4"/>
      <c r="F2" s="4"/>
      <c r="G2" s="4"/>
      <c r="H2" s="43"/>
      <c r="I2" s="4"/>
      <c r="J2" s="4"/>
      <c r="K2" s="4"/>
      <c r="L2" s="4"/>
    </row>
    <row r="3" spans="2:16">
      <c r="D3" s="4" t="s">
        <v>571</v>
      </c>
      <c r="E3" s="4"/>
      <c r="F3" s="4"/>
      <c r="G3" s="4"/>
      <c r="H3" s="43"/>
      <c r="I3" s="4"/>
      <c r="J3" s="4"/>
      <c r="K3" s="4"/>
      <c r="L3" s="4"/>
    </row>
    <row r="5" spans="2:16">
      <c r="B5" s="7" t="s">
        <v>207</v>
      </c>
      <c r="C5" s="8"/>
      <c r="D5">
        <v>1</v>
      </c>
      <c r="E5" t="s">
        <v>572</v>
      </c>
    </row>
    <row r="7" spans="2:16">
      <c r="B7" s="7" t="s">
        <v>208</v>
      </c>
      <c r="C7" s="8"/>
      <c r="D7" t="s">
        <v>530</v>
      </c>
    </row>
    <row r="8" spans="2:16">
      <c r="D8" t="s">
        <v>160</v>
      </c>
    </row>
    <row r="9" spans="2:16" ht="15" thickBot="1"/>
    <row r="10" spans="2:16"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6" ht="15" thickBot="1">
      <c r="E11" s="72" t="s">
        <v>144</v>
      </c>
      <c r="F11" s="73" t="s">
        <v>146</v>
      </c>
      <c r="G11" s="73" t="s">
        <v>39</v>
      </c>
      <c r="H11" s="73" t="s">
        <v>40</v>
      </c>
      <c r="I11" s="74" t="s">
        <v>147</v>
      </c>
      <c r="J11" s="73"/>
      <c r="K11" s="73">
        <v>4.74</v>
      </c>
      <c r="L11" s="73">
        <v>2.4E-2</v>
      </c>
      <c r="M11" s="73">
        <v>7.2999999999999995E-2</v>
      </c>
      <c r="N11" s="73">
        <v>2.72</v>
      </c>
      <c r="O11" s="73">
        <v>2.41</v>
      </c>
      <c r="P11" s="75">
        <v>0.04</v>
      </c>
    </row>
    <row r="12" spans="2:16">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6">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16">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16">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16">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row>
    <row r="47" spans="2:16">
      <c r="E47" s="7"/>
      <c r="H47" s="44" t="s">
        <v>573</v>
      </c>
      <c r="J47" s="1" t="s">
        <v>16</v>
      </c>
    </row>
    <row r="48" spans="2:16">
      <c r="E48" s="7" t="s">
        <v>212</v>
      </c>
      <c r="H48" s="44" t="s">
        <v>213</v>
      </c>
    </row>
    <row r="49" spans="2:10">
      <c r="E49" s="7">
        <v>2010</v>
      </c>
      <c r="H49" s="44">
        <f>N11</f>
        <v>2.72</v>
      </c>
    </row>
    <row r="50" spans="2:10">
      <c r="E50" s="7">
        <v>2020</v>
      </c>
      <c r="H50" s="44">
        <f>$H$49</f>
        <v>2.72</v>
      </c>
    </row>
    <row r="51" spans="2:10">
      <c r="E51" s="7">
        <v>2030</v>
      </c>
      <c r="H51" s="44"/>
    </row>
    <row r="52" spans="2:10">
      <c r="E52" s="7">
        <v>2040</v>
      </c>
      <c r="H52" s="44"/>
    </row>
    <row r="53" spans="2:10">
      <c r="E53" s="7">
        <v>2050</v>
      </c>
      <c r="H53" s="44"/>
    </row>
    <row r="55" spans="2:10">
      <c r="B55" s="9" t="s">
        <v>214</v>
      </c>
      <c r="C55" s="10"/>
    </row>
    <row r="57" spans="2:10">
      <c r="E57" s="7"/>
      <c r="H57" s="45" t="s">
        <v>574</v>
      </c>
      <c r="J57" s="1" t="s">
        <v>14</v>
      </c>
    </row>
    <row r="58" spans="2:10">
      <c r="E58" s="7" t="s">
        <v>212</v>
      </c>
      <c r="H58" s="45" t="s">
        <v>216</v>
      </c>
    </row>
    <row r="59" spans="2:10">
      <c r="E59" s="7">
        <v>2010</v>
      </c>
      <c r="H59" s="45">
        <f>L11</f>
        <v>2.4E-2</v>
      </c>
    </row>
    <row r="60" spans="2:10">
      <c r="E60" s="7">
        <v>2020</v>
      </c>
      <c r="H60" s="45">
        <f>$H$59</f>
        <v>2.4E-2</v>
      </c>
    </row>
    <row r="61" spans="2:10">
      <c r="E61" s="7">
        <v>2030</v>
      </c>
      <c r="H61" s="45"/>
    </row>
    <row r="62" spans="2:10">
      <c r="E62" s="7">
        <v>2040</v>
      </c>
      <c r="H62" s="45"/>
    </row>
    <row r="63" spans="2:10">
      <c r="E63" s="7">
        <v>2050</v>
      </c>
      <c r="H63" s="45"/>
    </row>
    <row r="65" spans="2:17">
      <c r="B65" s="2" t="s">
        <v>217</v>
      </c>
      <c r="C65" s="4"/>
    </row>
    <row r="67" spans="2:17">
      <c r="E67" s="7"/>
      <c r="H67" s="46" t="s">
        <v>575</v>
      </c>
      <c r="J67" s="1" t="s">
        <v>15</v>
      </c>
    </row>
    <row r="68" spans="2:17">
      <c r="E68" s="7" t="s">
        <v>212</v>
      </c>
      <c r="H68" s="46" t="s">
        <v>219</v>
      </c>
    </row>
    <row r="69" spans="2:17">
      <c r="E69" s="7">
        <v>2010</v>
      </c>
      <c r="H69" s="46">
        <f>M11</f>
        <v>7.2999999999999995E-2</v>
      </c>
    </row>
    <row r="70" spans="2:17">
      <c r="E70" s="7">
        <v>2020</v>
      </c>
      <c r="H70" s="46">
        <f>$H$69</f>
        <v>7.2999999999999995E-2</v>
      </c>
    </row>
    <row r="71" spans="2:17">
      <c r="E71" s="7">
        <v>2030</v>
      </c>
      <c r="H71" s="46"/>
    </row>
    <row r="72" spans="2:17">
      <c r="E72" s="7">
        <v>2040</v>
      </c>
      <c r="H72" s="46"/>
    </row>
    <row r="73" spans="2:17">
      <c r="E73" s="7">
        <v>2050</v>
      </c>
      <c r="H73" s="46"/>
    </row>
    <row r="75" spans="2:17">
      <c r="B75" s="3" t="s">
        <v>629</v>
      </c>
      <c r="C75" s="12"/>
    </row>
    <row r="76" spans="2:17">
      <c r="B76" s="1"/>
    </row>
    <row r="77" spans="2:17">
      <c r="H77" s="23" t="s">
        <v>220</v>
      </c>
      <c r="J77" s="3" t="s">
        <v>221</v>
      </c>
      <c r="L77" t="s">
        <v>224</v>
      </c>
    </row>
    <row r="78" spans="2:17">
      <c r="E78" s="7"/>
      <c r="H78" s="23" t="s">
        <v>576</v>
      </c>
      <c r="J78" s="3" t="s">
        <v>576</v>
      </c>
      <c r="L78">
        <f>K11-H90*H21/1000-I90/H16*K13-I90*H15/1000-J90/H31*K28-J90*H30/1000</f>
        <v>1.3674882582260255</v>
      </c>
      <c r="M78" s="3" t="s">
        <v>223</v>
      </c>
    </row>
    <row r="79" spans="2:17">
      <c r="E79" s="7" t="s">
        <v>212</v>
      </c>
      <c r="H79" s="138" t="s">
        <v>223</v>
      </c>
      <c r="I79" s="76"/>
      <c r="J79" s="139" t="s">
        <v>223</v>
      </c>
      <c r="L79" s="180">
        <f>L78/K11</f>
        <v>0.28849963253713617</v>
      </c>
      <c r="Q79" s="27"/>
    </row>
    <row r="80" spans="2:17">
      <c r="E80" s="7">
        <v>2010</v>
      </c>
      <c r="H80" s="23">
        <f>L78</f>
        <v>1.3674882582260255</v>
      </c>
      <c r="J80" s="3">
        <f>L78</f>
        <v>1.3674882582260255</v>
      </c>
    </row>
    <row r="81" spans="2:27">
      <c r="E81" s="7">
        <v>2020</v>
      </c>
      <c r="H81" s="23">
        <f>L78</f>
        <v>1.3674882582260255</v>
      </c>
      <c r="J81" s="3">
        <f>L78</f>
        <v>1.3674882582260255</v>
      </c>
    </row>
    <row r="82" spans="2:27">
      <c r="E82" s="7">
        <v>2030</v>
      </c>
      <c r="H82" s="23"/>
      <c r="J82" s="3"/>
    </row>
    <row r="83" spans="2:27">
      <c r="E83" s="7">
        <v>2040</v>
      </c>
      <c r="H83" s="23"/>
      <c r="J83" s="3"/>
    </row>
    <row r="84" spans="2:27">
      <c r="E84" s="7">
        <v>2050</v>
      </c>
      <c r="H84" s="23"/>
      <c r="J84" s="3"/>
    </row>
    <row r="86" spans="2:27">
      <c r="B86" s="11" t="s">
        <v>225</v>
      </c>
      <c r="C86" s="13"/>
    </row>
    <row r="87" spans="2:27">
      <c r="O87" s="80"/>
      <c r="P87" s="76"/>
      <c r="Q87" s="76"/>
      <c r="R87" s="76"/>
      <c r="S87" s="76"/>
      <c r="T87" s="76"/>
      <c r="U87" s="76"/>
      <c r="V87" s="76"/>
      <c r="W87" s="76"/>
      <c r="X87" s="76"/>
      <c r="Y87" s="76"/>
      <c r="Z87" s="76"/>
      <c r="AA87" s="76"/>
    </row>
    <row r="88" spans="2:27" s="76" customFormat="1">
      <c r="E88" s="77"/>
      <c r="H88" s="78" t="s">
        <v>751</v>
      </c>
      <c r="I88" s="79" t="s">
        <v>747</v>
      </c>
      <c r="J88" s="79" t="s">
        <v>744</v>
      </c>
      <c r="K88" s="76" t="s">
        <v>199</v>
      </c>
      <c r="L88" s="119"/>
      <c r="M88" s="119"/>
      <c r="N88" s="119"/>
      <c r="O88" s="119"/>
      <c r="P88" s="80"/>
      <c r="R88" s="119"/>
      <c r="S88" s="119"/>
      <c r="T88" s="119"/>
      <c r="U88" s="119"/>
      <c r="V88" s="119"/>
      <c r="W88" s="119"/>
    </row>
    <row r="89" spans="2:27" s="76" customFormat="1">
      <c r="E89" s="77" t="s">
        <v>212</v>
      </c>
      <c r="H89" s="81" t="s">
        <v>171</v>
      </c>
      <c r="I89" s="82" t="s">
        <v>171</v>
      </c>
      <c r="J89" s="82" t="s">
        <v>171</v>
      </c>
      <c r="L89" s="119"/>
      <c r="M89" s="119"/>
      <c r="N89" s="119"/>
      <c r="O89" s="119"/>
      <c r="P89" s="119"/>
      <c r="R89" s="119"/>
      <c r="S89" s="119"/>
      <c r="T89" s="119"/>
      <c r="U89" s="119"/>
      <c r="V89" s="119"/>
      <c r="W89" s="119"/>
    </row>
    <row r="90" spans="2:27" s="76" customFormat="1">
      <c r="E90" s="77">
        <v>2010</v>
      </c>
      <c r="H90" s="83">
        <v>2.0299999999999998</v>
      </c>
      <c r="I90" s="83">
        <v>18.8</v>
      </c>
      <c r="J90" s="84">
        <v>15.71</v>
      </c>
      <c r="L90" s="85"/>
    </row>
    <row r="91" spans="2:27" s="76" customFormat="1">
      <c r="E91" s="77">
        <v>2020</v>
      </c>
      <c r="H91" s="83">
        <f>H90</f>
        <v>2.0299999999999998</v>
      </c>
      <c r="I91" s="83">
        <f t="shared" ref="I91:J91" si="0">I90</f>
        <v>18.8</v>
      </c>
      <c r="J91" s="83">
        <f t="shared" si="0"/>
        <v>15.71</v>
      </c>
    </row>
    <row r="92" spans="2:27" s="76" customFormat="1">
      <c r="E92" s="77">
        <v>2030</v>
      </c>
      <c r="H92" s="83">
        <f t="shared" ref="H92:H94" si="1">H91</f>
        <v>2.0299999999999998</v>
      </c>
      <c r="I92" s="83">
        <f t="shared" ref="I92:I94" si="2">I91</f>
        <v>18.8</v>
      </c>
      <c r="J92" s="83">
        <f t="shared" ref="J92:J94" si="3">J91</f>
        <v>15.71</v>
      </c>
      <c r="L92" s="105"/>
    </row>
    <row r="93" spans="2:27" s="76" customFormat="1">
      <c r="E93" s="77">
        <v>2040</v>
      </c>
      <c r="H93" s="83">
        <f t="shared" si="1"/>
        <v>2.0299999999999998</v>
      </c>
      <c r="I93" s="83">
        <f t="shared" si="2"/>
        <v>18.8</v>
      </c>
      <c r="J93" s="83">
        <f t="shared" si="3"/>
        <v>15.71</v>
      </c>
    </row>
    <row r="94" spans="2:27" s="76" customFormat="1">
      <c r="E94" s="77">
        <v>2050</v>
      </c>
      <c r="H94" s="83">
        <f t="shared" si="1"/>
        <v>2.0299999999999998</v>
      </c>
      <c r="I94" s="83">
        <f t="shared" si="2"/>
        <v>18.8</v>
      </c>
      <c r="J94" s="83">
        <f t="shared" si="3"/>
        <v>15.71</v>
      </c>
    </row>
    <row r="95" spans="2:27" s="76" customFormat="1">
      <c r="H95" s="85"/>
    </row>
    <row r="96" spans="2:27" s="76" customFormat="1">
      <c r="H96" s="85"/>
    </row>
    <row r="97" spans="2:18" s="76" customFormat="1">
      <c r="D97" s="127"/>
      <c r="H97" s="85"/>
    </row>
    <row r="98" spans="2:18" s="76" customFormat="1" ht="15">
      <c r="D98" s="127"/>
      <c r="H98" s="85"/>
      <c r="N98" s="86"/>
    </row>
    <row r="99" spans="2:18" s="76" customFormat="1">
      <c r="D99" s="127"/>
      <c r="E99" s="76" t="s">
        <v>570</v>
      </c>
      <c r="H99" s="85"/>
    </row>
    <row r="100" spans="2:18" s="76" customFormat="1">
      <c r="D100" s="127"/>
      <c r="H100" s="85"/>
      <c r="N100" s="87"/>
    </row>
    <row r="101" spans="2:18" s="76" customFormat="1">
      <c r="H101" s="85"/>
    </row>
    <row r="102" spans="2:18" s="76" customFormat="1">
      <c r="H102" s="85"/>
    </row>
    <row r="103" spans="2:18" s="76" customFormat="1">
      <c r="H103" s="85"/>
    </row>
    <row r="104" spans="2:18" s="76" customFormat="1">
      <c r="H104" s="85"/>
      <c r="O104" s="85"/>
      <c r="P104" s="85"/>
      <c r="Q104" s="85"/>
      <c r="R104" s="85"/>
    </row>
    <row r="105" spans="2:18">
      <c r="B105" s="88"/>
    </row>
    <row r="106" spans="2:18">
      <c r="B106" s="100"/>
    </row>
    <row r="107" spans="2:18">
      <c r="B107" s="88"/>
    </row>
    <row r="109" spans="2:18">
      <c r="B109" s="96"/>
      <c r="L109" s="96"/>
    </row>
    <row r="110" spans="2:18">
      <c r="B110" s="92"/>
      <c r="C110" s="93"/>
      <c r="D110" s="92"/>
      <c r="L110" s="92"/>
      <c r="M110" s="92"/>
      <c r="N110" s="92"/>
    </row>
    <row r="111" spans="2:18">
      <c r="B111" s="92"/>
      <c r="C111" s="93"/>
      <c r="D111" s="92"/>
      <c r="L111" s="115"/>
      <c r="M111" s="115"/>
      <c r="N111" s="115"/>
    </row>
    <row r="112" spans="2:18">
      <c r="B112" s="92"/>
      <c r="C112" s="93"/>
      <c r="D112" s="92"/>
      <c r="L112" s="92"/>
      <c r="M112" s="92"/>
      <c r="N112" s="92"/>
    </row>
    <row r="113" spans="2:14">
      <c r="B113" s="92"/>
      <c r="C113" s="93"/>
      <c r="D113" s="92"/>
      <c r="L113" s="92"/>
      <c r="M113" s="92"/>
      <c r="N113" s="92"/>
    </row>
    <row r="114" spans="2:14">
      <c r="B114" s="92"/>
      <c r="C114" s="93"/>
      <c r="D114" s="92"/>
      <c r="L114" s="92"/>
      <c r="M114" s="92"/>
      <c r="N114" s="92"/>
    </row>
    <row r="115" spans="2:14">
      <c r="B115" s="92"/>
      <c r="C115" s="93"/>
      <c r="D115" s="92"/>
      <c r="L115" s="92"/>
      <c r="M115" s="92"/>
      <c r="N115" s="92"/>
    </row>
    <row r="116" spans="2:14">
      <c r="B116" s="92"/>
      <c r="C116" s="93"/>
      <c r="D116" s="92"/>
      <c r="L116" s="92"/>
      <c r="M116" s="92"/>
      <c r="N116" s="92"/>
    </row>
    <row r="117" spans="2:14">
      <c r="B117" s="92"/>
      <c r="C117" s="93"/>
      <c r="D117" s="92"/>
      <c r="L117" s="92"/>
      <c r="M117" s="92"/>
      <c r="N117" s="92"/>
    </row>
    <row r="118" spans="2:14">
      <c r="B118" s="92"/>
      <c r="C118" s="93"/>
      <c r="D118" s="92"/>
      <c r="L118" s="92"/>
      <c r="M118" s="92"/>
      <c r="N118" s="92"/>
    </row>
    <row r="119" spans="2:14">
      <c r="B119" s="92"/>
      <c r="C119" s="93"/>
      <c r="D119" s="92"/>
      <c r="L119" s="92"/>
      <c r="M119" s="92"/>
      <c r="N119" s="92"/>
    </row>
    <row r="120" spans="2:14">
      <c r="B120" s="92"/>
      <c r="C120" s="93"/>
      <c r="D120" s="92"/>
      <c r="L120" s="92"/>
      <c r="M120" s="92"/>
      <c r="N120" s="92"/>
    </row>
    <row r="121" spans="2:14">
      <c r="B121" s="92"/>
      <c r="C121" s="93"/>
      <c r="D121" s="92"/>
      <c r="L121" s="92"/>
      <c r="M121" s="92"/>
      <c r="N121" s="92"/>
    </row>
    <row r="122" spans="2:14">
      <c r="B122" s="92"/>
      <c r="C122" s="93"/>
      <c r="D122" s="92"/>
      <c r="L122" s="92"/>
      <c r="M122" s="92"/>
      <c r="N122" s="92"/>
    </row>
    <row r="123" spans="2:14">
      <c r="B123" s="92"/>
      <c r="C123" s="93"/>
      <c r="D123" s="92"/>
      <c r="L123" s="92"/>
      <c r="M123" s="92"/>
      <c r="N123" s="92"/>
    </row>
    <row r="124" spans="2:14">
      <c r="B124" s="92"/>
      <c r="C124" s="93"/>
      <c r="D124" s="92"/>
      <c r="L124" s="92"/>
      <c r="M124" s="92"/>
      <c r="N124" s="92"/>
    </row>
    <row r="125" spans="2:14">
      <c r="B125" s="92"/>
      <c r="C125" s="93"/>
      <c r="D125" s="92"/>
      <c r="L125" s="92"/>
      <c r="M125" s="92"/>
      <c r="N125" s="92"/>
    </row>
    <row r="126" spans="2:14">
      <c r="B126" s="92"/>
      <c r="C126" s="93"/>
      <c r="D126" s="92"/>
      <c r="L126" s="92"/>
      <c r="M126" s="92"/>
      <c r="N126" s="92"/>
    </row>
    <row r="127" spans="2:14">
      <c r="B127" s="92"/>
      <c r="C127" s="93"/>
      <c r="D127" s="92"/>
      <c r="L127" s="92"/>
      <c r="M127" s="92"/>
      <c r="N127" s="92"/>
    </row>
    <row r="128" spans="2:14">
      <c r="B128" s="92"/>
      <c r="C128" s="93"/>
      <c r="D128" s="92"/>
      <c r="L128" s="92"/>
      <c r="M128" s="92"/>
      <c r="N128" s="92"/>
    </row>
    <row r="129" spans="2:14">
      <c r="B129" s="92"/>
      <c r="C129" s="93"/>
      <c r="D129" s="92"/>
      <c r="L129" s="92"/>
      <c r="M129" s="92"/>
      <c r="N129" s="92"/>
    </row>
    <row r="130" spans="2:14">
      <c r="B130" s="92"/>
      <c r="C130" s="93"/>
      <c r="D130" s="92"/>
      <c r="L130" s="92"/>
      <c r="M130" s="93"/>
      <c r="N130" s="92"/>
    </row>
    <row r="131" spans="2:14">
      <c r="B131" s="92"/>
      <c r="C131" s="93"/>
      <c r="D131" s="92"/>
      <c r="L131" s="92"/>
      <c r="M131" s="93"/>
      <c r="N131" s="92"/>
    </row>
    <row r="132" spans="2:14">
      <c r="B132" s="92"/>
      <c r="C132" s="93"/>
      <c r="D132" s="92"/>
      <c r="L132" s="92"/>
      <c r="M132" s="92"/>
      <c r="N132" s="92"/>
    </row>
    <row r="133" spans="2:14">
      <c r="B133" s="92"/>
      <c r="C133" s="93"/>
      <c r="D133" s="92"/>
      <c r="L133" s="92"/>
      <c r="M133" s="92"/>
      <c r="N133" s="92"/>
    </row>
    <row r="134" spans="2:14">
      <c r="B134" s="92"/>
      <c r="C134" s="93"/>
      <c r="D134" s="92"/>
      <c r="L134" s="92"/>
      <c r="M134" s="93"/>
      <c r="N134" s="92"/>
    </row>
    <row r="135" spans="2:14">
      <c r="B135" s="92"/>
      <c r="C135" s="93"/>
      <c r="D135" s="92"/>
      <c r="L135" s="92"/>
      <c r="M135" s="92"/>
      <c r="N135" s="92"/>
    </row>
    <row r="136" spans="2:14">
      <c r="B136" s="92"/>
      <c r="C136" s="93"/>
      <c r="D136" s="92"/>
      <c r="L136" s="92"/>
      <c r="M136" s="92"/>
      <c r="N136" s="92"/>
    </row>
    <row r="137" spans="2:14">
      <c r="B137" s="92"/>
      <c r="C137" s="93"/>
      <c r="D137" s="92"/>
      <c r="L137" s="92"/>
      <c r="M137" s="92"/>
      <c r="N137" s="92"/>
    </row>
    <row r="138" spans="2:14">
      <c r="B138" s="92"/>
      <c r="C138" s="93"/>
      <c r="D138" s="92"/>
      <c r="L138" s="92"/>
      <c r="M138" s="92"/>
      <c r="N138" s="92"/>
    </row>
    <row r="139" spans="2:14">
      <c r="B139" s="92"/>
      <c r="C139" s="93"/>
      <c r="D139" s="92"/>
      <c r="L139" s="92"/>
      <c r="M139" s="93"/>
      <c r="N139" s="92"/>
    </row>
    <row r="140" spans="2:14">
      <c r="B140" s="92"/>
      <c r="C140" s="93"/>
      <c r="D140" s="92"/>
      <c r="L140" s="92"/>
      <c r="M140" s="92"/>
      <c r="N140" s="92"/>
    </row>
    <row r="141" spans="2:14">
      <c r="B141" s="92"/>
      <c r="C141" s="93"/>
      <c r="D141" s="92"/>
      <c r="L141" s="92"/>
      <c r="M141" s="92"/>
      <c r="N141" s="92"/>
    </row>
    <row r="142" spans="2:14">
      <c r="B142" s="92"/>
      <c r="C142" s="93"/>
      <c r="D142" s="92"/>
      <c r="L142" s="92"/>
      <c r="M142" s="92"/>
      <c r="N142" s="92"/>
    </row>
    <row r="143" spans="2:14">
      <c r="B143" s="92"/>
      <c r="C143" s="93"/>
      <c r="D143" s="92"/>
      <c r="L143" s="92"/>
      <c r="M143" s="92"/>
      <c r="N143" s="92"/>
    </row>
    <row r="144" spans="2:14">
      <c r="B144" s="92"/>
      <c r="C144" s="93"/>
      <c r="D144" s="92"/>
      <c r="L144" s="92"/>
      <c r="M144" s="92"/>
      <c r="N144" s="92"/>
    </row>
    <row r="145" spans="2:14">
      <c r="B145" s="92"/>
      <c r="C145" s="93"/>
      <c r="D145" s="92"/>
      <c r="L145" s="92"/>
      <c r="M145" s="92"/>
      <c r="N145" s="92"/>
    </row>
    <row r="146" spans="2:14">
      <c r="B146" s="92"/>
      <c r="C146" s="93"/>
      <c r="D146" s="92"/>
      <c r="L146" s="92"/>
      <c r="M146" s="93"/>
      <c r="N146" s="92"/>
    </row>
    <row r="147" spans="2:14">
      <c r="B147" s="92"/>
      <c r="C147" s="93"/>
      <c r="D147" s="92"/>
      <c r="L147" s="92"/>
      <c r="M147" s="92"/>
      <c r="N147" s="92"/>
    </row>
    <row r="148" spans="2:14">
      <c r="B148" s="92"/>
      <c r="C148" s="93"/>
      <c r="D148" s="92"/>
      <c r="L148" s="92"/>
      <c r="M148" s="92"/>
      <c r="N148" s="92"/>
    </row>
    <row r="149" spans="2:14">
      <c r="B149" s="92"/>
      <c r="C149" s="93"/>
      <c r="D149" s="92"/>
      <c r="L149" s="92"/>
      <c r="M149" s="92"/>
      <c r="N149" s="92"/>
    </row>
    <row r="150" spans="2:14">
      <c r="B150" s="92"/>
      <c r="C150" s="93"/>
      <c r="D150" s="92"/>
      <c r="L150" s="92"/>
      <c r="M150" s="92"/>
      <c r="N150" s="92"/>
    </row>
    <row r="151" spans="2:14">
      <c r="B151" s="92"/>
      <c r="C151" s="93"/>
      <c r="D151" s="92"/>
      <c r="L151" s="92"/>
      <c r="M151" s="92"/>
      <c r="N151" s="92"/>
    </row>
    <row r="152" spans="2:14">
      <c r="B152" s="92"/>
      <c r="C152" s="93"/>
      <c r="D152" s="92"/>
      <c r="L152" s="92"/>
      <c r="M152" s="92"/>
      <c r="N152" s="92"/>
    </row>
    <row r="153" spans="2:14">
      <c r="B153" s="92"/>
      <c r="C153" s="93"/>
      <c r="D153" s="92"/>
      <c r="L153" s="92"/>
      <c r="M153" s="92"/>
      <c r="N153" s="92"/>
    </row>
    <row r="154" spans="2:14">
      <c r="B154" s="92"/>
      <c r="C154" s="93"/>
      <c r="D154" s="92"/>
      <c r="L154" s="92"/>
      <c r="M154" s="93"/>
      <c r="N154" s="92"/>
    </row>
    <row r="155" spans="2:14">
      <c r="B155" s="92"/>
      <c r="C155" s="93"/>
      <c r="D155" s="92"/>
      <c r="L155" s="92"/>
      <c r="M155" s="92"/>
      <c r="N155" s="92"/>
    </row>
    <row r="156" spans="2:14">
      <c r="B156" s="92"/>
      <c r="C156" s="93"/>
      <c r="D156" s="92"/>
      <c r="L156" s="92"/>
      <c r="M156" s="92"/>
      <c r="N156" s="92"/>
    </row>
    <row r="157" spans="2:14">
      <c r="B157" s="92"/>
      <c r="C157" s="93"/>
      <c r="D157" s="92"/>
      <c r="L157" s="92"/>
      <c r="M157" s="92"/>
      <c r="N157" s="92"/>
    </row>
    <row r="158" spans="2:14">
      <c r="B158" s="92"/>
      <c r="C158" s="93"/>
      <c r="D158" s="92"/>
      <c r="L158" s="92"/>
      <c r="M158" s="93"/>
      <c r="N158" s="92"/>
    </row>
    <row r="159" spans="2:14">
      <c r="B159" s="30"/>
      <c r="C159" s="30"/>
      <c r="D159" s="30"/>
      <c r="L159" s="92"/>
      <c r="M159" s="93"/>
      <c r="N159" s="92"/>
    </row>
    <row r="160" spans="2:14">
      <c r="L160" s="92"/>
      <c r="M160" s="92"/>
      <c r="N160" s="92"/>
    </row>
    <row r="161" spans="12:14">
      <c r="L161" s="92"/>
      <c r="M161" s="92"/>
      <c r="N161" s="92"/>
    </row>
    <row r="162" spans="12:14">
      <c r="L162" s="92"/>
      <c r="M162" s="92"/>
      <c r="N162" s="92"/>
    </row>
    <row r="163" spans="12:14">
      <c r="L163" s="92"/>
      <c r="M163" s="92"/>
      <c r="N163" s="92"/>
    </row>
    <row r="164" spans="12:14">
      <c r="L164" s="92"/>
      <c r="M164" s="92"/>
      <c r="N164" s="92"/>
    </row>
    <row r="165" spans="12:14">
      <c r="L165" s="92"/>
      <c r="M165" s="93"/>
      <c r="N165" s="92"/>
    </row>
    <row r="166" spans="12:14">
      <c r="L166" s="92"/>
      <c r="M166" s="92"/>
      <c r="N166" s="92"/>
    </row>
    <row r="167" spans="12:14">
      <c r="L167" s="92"/>
      <c r="M167" s="93"/>
      <c r="N167" s="92"/>
    </row>
    <row r="168" spans="12:14">
      <c r="L168" s="92"/>
      <c r="M168" s="92"/>
      <c r="N168" s="92"/>
    </row>
    <row r="169" spans="12:14">
      <c r="L169" s="92"/>
      <c r="M169" s="92"/>
      <c r="N169" s="92"/>
    </row>
    <row r="170" spans="12:14">
      <c r="L170" s="92"/>
      <c r="M170" s="92"/>
      <c r="N170" s="92"/>
    </row>
    <row r="171" spans="12:14">
      <c r="L171" s="92"/>
      <c r="M171" s="92"/>
      <c r="N171" s="92"/>
    </row>
    <row r="172" spans="12:14">
      <c r="L172" s="92"/>
      <c r="M172" s="92"/>
      <c r="N172" s="92"/>
    </row>
    <row r="173" spans="12:14">
      <c r="L173" s="92"/>
      <c r="M173" s="92"/>
      <c r="N173" s="92"/>
    </row>
    <row r="174" spans="12:14">
      <c r="L174" s="92"/>
      <c r="M174" s="92"/>
      <c r="N174" s="92"/>
    </row>
    <row r="175" spans="12:14">
      <c r="L175" s="92"/>
      <c r="M175" s="92"/>
      <c r="N175" s="92"/>
    </row>
    <row r="176" spans="12:14">
      <c r="L176" s="92"/>
      <c r="M176" s="93"/>
      <c r="N176" s="92"/>
    </row>
    <row r="177" spans="12:14">
      <c r="L177" s="92"/>
      <c r="M177" s="92"/>
      <c r="N177" s="92"/>
    </row>
    <row r="178" spans="12:14">
      <c r="L178" s="92"/>
      <c r="M178" s="92"/>
      <c r="N178" s="92"/>
    </row>
    <row r="179" spans="12:14">
      <c r="L179" s="92"/>
      <c r="M179" s="92"/>
      <c r="N179" s="92"/>
    </row>
    <row r="180" spans="12:14">
      <c r="L180" s="92"/>
      <c r="M180" s="92"/>
      <c r="N180" s="92"/>
    </row>
    <row r="181" spans="12:14">
      <c r="L181" s="92"/>
      <c r="M181" s="92"/>
      <c r="N181" s="92"/>
    </row>
    <row r="182" spans="12:14">
      <c r="L182" s="92"/>
      <c r="M182" s="92"/>
      <c r="N182" s="92"/>
    </row>
    <row r="183" spans="12:14">
      <c r="L183" s="92"/>
      <c r="M183" s="92"/>
      <c r="N183" s="92"/>
    </row>
    <row r="184" spans="12:14">
      <c r="L184" s="92"/>
      <c r="M184" s="92"/>
      <c r="N184" s="92"/>
    </row>
    <row r="185" spans="12:14">
      <c r="L185" s="92"/>
      <c r="M185" s="92"/>
      <c r="N185" s="92"/>
    </row>
    <row r="186" spans="12:14">
      <c r="L186" s="92"/>
      <c r="M186" s="92"/>
      <c r="N186" s="92"/>
    </row>
    <row r="187" spans="12:14">
      <c r="L187" s="92"/>
      <c r="M187" s="92"/>
      <c r="N187" s="92"/>
    </row>
    <row r="188" spans="12:14">
      <c r="L188" s="92"/>
      <c r="M188" s="92"/>
      <c r="N188" s="92"/>
    </row>
    <row r="189" spans="12:14">
      <c r="L189" s="92"/>
      <c r="M189" s="92"/>
      <c r="N189" s="92"/>
    </row>
    <row r="190" spans="12:14">
      <c r="L190" s="92"/>
      <c r="M190" s="92"/>
      <c r="N190" s="92"/>
    </row>
    <row r="191" spans="12:14">
      <c r="L191" s="92"/>
      <c r="M191" s="93"/>
      <c r="N191" s="92"/>
    </row>
    <row r="192" spans="12:14">
      <c r="L192" s="92"/>
      <c r="M192" s="93"/>
      <c r="N192" s="92"/>
    </row>
    <row r="193" spans="12:14">
      <c r="L193" s="92"/>
      <c r="M193" s="93"/>
      <c r="N193" s="92"/>
    </row>
    <row r="194" spans="12:14">
      <c r="L194" s="92"/>
      <c r="M194" s="93"/>
      <c r="N194" s="92"/>
    </row>
    <row r="195" spans="12:14">
      <c r="L195" s="92"/>
      <c r="M195" s="92"/>
      <c r="N195" s="92"/>
    </row>
    <row r="196" spans="12:14">
      <c r="L196" s="92"/>
      <c r="M196" s="93"/>
      <c r="N196" s="92"/>
    </row>
    <row r="197" spans="12:14">
      <c r="L197" s="92"/>
      <c r="M197" s="92"/>
      <c r="N197" s="92"/>
    </row>
    <row r="198" spans="12:14">
      <c r="L198" s="92"/>
      <c r="M198" s="92"/>
      <c r="N198" s="92"/>
    </row>
    <row r="199" spans="12:14">
      <c r="L199" s="92"/>
      <c r="M199" s="92"/>
      <c r="N199" s="92"/>
    </row>
    <row r="200" spans="12:14">
      <c r="L200" s="92"/>
      <c r="M200" s="92"/>
      <c r="N200" s="92"/>
    </row>
    <row r="201" spans="12:14">
      <c r="L201" s="92"/>
      <c r="M201" s="92"/>
      <c r="N201" s="92"/>
    </row>
  </sheetData>
  <hyperlinks>
    <hyperlink ref="D2" r:id="rId1" xr:uid="{00000000-0004-0000-0F00-000000000000}"/>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AA201"/>
  <sheetViews>
    <sheetView topLeftCell="A60" workbookViewId="0">
      <selection activeCell="I89" sqref="I89"/>
    </sheetView>
  </sheetViews>
  <sheetFormatPr defaultColWidth="9.109375" defaultRowHeight="14.4"/>
  <cols>
    <col min="5" max="5" width="24.5546875" customWidth="1"/>
    <col min="6" max="6" width="11.109375" customWidth="1"/>
    <col min="8" max="8" width="11.6640625" style="18" customWidth="1"/>
    <col min="9" max="9" width="11.6640625" customWidth="1"/>
    <col min="11" max="11" width="12.6640625" customWidth="1"/>
    <col min="12" max="12" width="13.33203125" customWidth="1"/>
    <col min="13" max="13" width="13.5546875" customWidth="1"/>
    <col min="14" max="14" width="12.88671875" customWidth="1"/>
    <col min="15" max="15" width="15.44140625" customWidth="1"/>
    <col min="16" max="16" width="15.88671875" customWidth="1"/>
    <col min="18" max="18" width="12.6640625" customWidth="1"/>
    <col min="22" max="22" width="10.5546875" customWidth="1"/>
    <col min="26" max="26" width="13.6640625" customWidth="1"/>
  </cols>
  <sheetData>
    <row r="2" spans="2:16">
      <c r="B2" s="7" t="s">
        <v>206</v>
      </c>
      <c r="C2" s="8"/>
      <c r="D2" s="118" t="s">
        <v>581</v>
      </c>
      <c r="E2" s="4"/>
      <c r="F2" s="4"/>
      <c r="G2" s="4"/>
      <c r="H2" s="43"/>
      <c r="I2" s="4"/>
      <c r="J2" s="4"/>
      <c r="K2" s="4"/>
      <c r="L2" s="4"/>
    </row>
    <row r="3" spans="2:16">
      <c r="D3" s="4" t="s">
        <v>582</v>
      </c>
      <c r="E3" s="4"/>
      <c r="F3" s="4"/>
      <c r="G3" s="4"/>
      <c r="H3" s="43"/>
      <c r="I3" s="4"/>
      <c r="J3" s="4"/>
      <c r="K3" s="4"/>
      <c r="L3" s="4"/>
    </row>
    <row r="5" spans="2:16">
      <c r="B5" s="7" t="s">
        <v>207</v>
      </c>
      <c r="C5" s="8"/>
      <c r="D5">
        <v>1</v>
      </c>
      <c r="E5" t="s">
        <v>583</v>
      </c>
    </row>
    <row r="7" spans="2:16">
      <c r="B7" s="7" t="s">
        <v>208</v>
      </c>
      <c r="C7" s="8"/>
      <c r="D7" t="s">
        <v>530</v>
      </c>
    </row>
    <row r="8" spans="2:16">
      <c r="D8" t="s">
        <v>160</v>
      </c>
    </row>
    <row r="9" spans="2:16" ht="15" thickBot="1"/>
    <row r="10" spans="2:16" ht="87" thickBot="1">
      <c r="E10" s="48" t="str">
        <f>background!E10</f>
        <v>Product</v>
      </c>
      <c r="F10" s="49" t="str">
        <f>background!F10</f>
        <v>ecoinvent Product name</v>
      </c>
      <c r="G10" s="49" t="str">
        <f>background!G10</f>
        <v>Unit</v>
      </c>
      <c r="H10" s="49" t="str">
        <f>background!H10</f>
        <v>regional scope</v>
      </c>
      <c r="I10" s="49" t="str">
        <f>background!I10</f>
        <v>ecoinvent UUID</v>
      </c>
      <c r="J10" s="49" t="str">
        <f>background!J10</f>
        <v>Comment</v>
      </c>
      <c r="K10" s="49" t="str">
        <f>background!K10</f>
        <v>ReCiPe Global warming, kg CO2-eq (ReCiPe 2016, (H))</v>
      </c>
      <c r="L10" s="49" t="str">
        <f>background!L10</f>
        <v>ReCiPe Land occupation, m² crop-equivalents (ReCiPe 2016, (H))</v>
      </c>
      <c r="M10" s="49" t="str">
        <f>background!M10</f>
        <v>ReCiPe water depletion, m³  (ReCiPe 2016, (H))</v>
      </c>
      <c r="N10" s="49" t="str">
        <f>background!N10</f>
        <v>Material footprint (Raw material equivalent), all materials, kg</v>
      </c>
      <c r="O10" s="49" t="str">
        <f>background!O10</f>
        <v>Material footprint (Raw material equivalent), fossil fuels, kg</v>
      </c>
      <c r="P10" s="56" t="str">
        <f>background!P10</f>
        <v>Material footprint (Raw material equivalent), metal ores, kg</v>
      </c>
    </row>
    <row r="11" spans="2:16" ht="15" thickBot="1">
      <c r="E11" s="72" t="s">
        <v>126</v>
      </c>
      <c r="F11" s="73" t="s">
        <v>128</v>
      </c>
      <c r="G11" s="73" t="s">
        <v>39</v>
      </c>
      <c r="H11" s="73" t="s">
        <v>40</v>
      </c>
      <c r="I11" s="74" t="s">
        <v>129</v>
      </c>
      <c r="J11" s="73" t="s">
        <v>532</v>
      </c>
      <c r="K11" s="73">
        <v>0.71</v>
      </c>
      <c r="L11" s="73">
        <v>1.84</v>
      </c>
      <c r="M11" s="73">
        <v>1.0999999999999999E-2</v>
      </c>
      <c r="N11" s="73">
        <v>2.85</v>
      </c>
      <c r="O11" s="73">
        <v>0.34</v>
      </c>
      <c r="P11" s="75">
        <v>0.08</v>
      </c>
    </row>
    <row r="12" spans="2:16">
      <c r="E12" s="57" t="str">
        <f>background!E12</f>
        <v>Natural gas</v>
      </c>
      <c r="F12" s="58">
        <f>background!F12</f>
        <v>0</v>
      </c>
      <c r="G12" s="58">
        <f>background!G12</f>
        <v>0</v>
      </c>
      <c r="H12" s="58">
        <f>background!H12</f>
        <v>0</v>
      </c>
      <c r="I12" s="58">
        <f>background!I12</f>
        <v>0</v>
      </c>
      <c r="J12" s="58">
        <f>background!J12</f>
        <v>0</v>
      </c>
      <c r="K12" s="58">
        <f>background!K12</f>
        <v>0</v>
      </c>
      <c r="L12" s="58">
        <f>background!L12</f>
        <v>0</v>
      </c>
      <c r="M12" s="58">
        <f>background!M12</f>
        <v>0</v>
      </c>
      <c r="N12" s="58">
        <f>background!N12</f>
        <v>0</v>
      </c>
      <c r="O12" s="58">
        <f>background!O12</f>
        <v>0</v>
      </c>
      <c r="P12" s="59">
        <f>background!P12</f>
        <v>0</v>
      </c>
    </row>
    <row r="13" spans="2:16">
      <c r="E13" s="57">
        <f>background!E13</f>
        <v>0</v>
      </c>
      <c r="F13" s="58" t="str">
        <f>background!F13</f>
        <v>natural gas production, low pressure, vehicle grade</v>
      </c>
      <c r="G13" s="58" t="str">
        <f>background!G13</f>
        <v>1 kg</v>
      </c>
      <c r="H13" s="58" t="str">
        <f>background!H13</f>
        <v>Global</v>
      </c>
      <c r="I13" s="58" t="str">
        <f>background!I13</f>
        <v>b3be755c-b09e-326a-a4bd-d7fafb655a6b</v>
      </c>
      <c r="J13" s="58" t="str">
        <f>background!J13</f>
        <v xml:space="preserve">Unit is kg! </v>
      </c>
      <c r="K13" s="58">
        <f>background!K13</f>
        <v>1.282</v>
      </c>
      <c r="L13" s="58">
        <f>background!L13</f>
        <v>6.7000000000000002E-3</v>
      </c>
      <c r="M13" s="58">
        <f>background!M13</f>
        <v>4.3E-3</v>
      </c>
      <c r="N13" s="58">
        <f>background!N13</f>
        <v>1.6819999999999999</v>
      </c>
      <c r="O13" s="58">
        <f>background!O13</f>
        <v>1.4079999999999999</v>
      </c>
      <c r="P13" s="59">
        <f>background!P13</f>
        <v>6.7599999999999993E-2</v>
      </c>
    </row>
    <row r="14" spans="2:16">
      <c r="E14" s="57">
        <f>background!E14</f>
        <v>0</v>
      </c>
      <c r="F14" s="58" t="str">
        <f>background!F14</f>
        <v>Direct CO2 per kWh</v>
      </c>
      <c r="G14" s="58">
        <f>background!G14</f>
        <v>0</v>
      </c>
      <c r="H14" s="58">
        <f>background!H14</f>
        <v>252</v>
      </c>
      <c r="I14" s="58" t="str">
        <f>background!I14</f>
        <v>g CO2-eq/kWh</v>
      </c>
      <c r="J14" s="58">
        <f>background!J14</f>
        <v>0</v>
      </c>
      <c r="K14" s="58">
        <f>background!K14</f>
        <v>0</v>
      </c>
      <c r="L14" s="58">
        <f>background!L14</f>
        <v>0</v>
      </c>
      <c r="M14" s="58">
        <f>background!M14</f>
        <v>0</v>
      </c>
      <c r="N14" s="58">
        <f>background!N14</f>
        <v>0</v>
      </c>
      <c r="O14" s="58">
        <f>background!O14</f>
        <v>0</v>
      </c>
      <c r="P14" s="59">
        <f>background!P14</f>
        <v>0</v>
      </c>
    </row>
    <row r="15" spans="2:16">
      <c r="E15" s="57">
        <f>background!E15</f>
        <v>0</v>
      </c>
      <c r="F15" s="58" t="str">
        <f>background!F15</f>
        <v>Direct CO2 per MJ</v>
      </c>
      <c r="G15" s="58">
        <f>background!G15</f>
        <v>0</v>
      </c>
      <c r="H15" s="58">
        <f>background!H15</f>
        <v>70</v>
      </c>
      <c r="I15" s="58" t="str">
        <f>background!I15</f>
        <v>g CO2-eq/MJ</v>
      </c>
      <c r="J15" s="58">
        <f>background!J15</f>
        <v>0</v>
      </c>
      <c r="K15" s="58" t="str">
        <f>background!K15</f>
        <v>6_PR_DirectEmissions_V1.2</v>
      </c>
      <c r="L15" s="58">
        <f>background!L15</f>
        <v>0</v>
      </c>
      <c r="M15" s="58">
        <f>background!M15</f>
        <v>0</v>
      </c>
      <c r="N15" s="58">
        <f>background!N15</f>
        <v>0</v>
      </c>
      <c r="O15" s="58">
        <f>background!O15</f>
        <v>0</v>
      </c>
      <c r="P15" s="59">
        <f>background!P15</f>
        <v>0</v>
      </c>
    </row>
    <row r="16" spans="2:16">
      <c r="E16" s="57">
        <f>background!E16</f>
        <v>0</v>
      </c>
      <c r="F16" s="58" t="str">
        <f>background!F16</f>
        <v xml:space="preserve">Specific energy </v>
      </c>
      <c r="G16" s="58" t="str">
        <f>background!G16</f>
        <v>MJ/kg</v>
      </c>
      <c r="H16" s="58">
        <f>background!H16</f>
        <v>50</v>
      </c>
      <c r="I16" s="58" t="str">
        <f>background!I16</f>
        <v>MJ/Kg</v>
      </c>
      <c r="J16" s="58">
        <f>background!J16</f>
        <v>0</v>
      </c>
      <c r="K16" s="58" t="str">
        <f>background!K16</f>
        <v>https://en.wikipedia.org/wiki/Energy_content_of_biofuel</v>
      </c>
      <c r="L16" s="58">
        <f>background!L16</f>
        <v>0</v>
      </c>
      <c r="M16" s="58">
        <f>background!M16</f>
        <v>0</v>
      </c>
      <c r="N16" s="58">
        <f>background!N16</f>
        <v>0</v>
      </c>
      <c r="O16" s="58">
        <f>background!O16</f>
        <v>0</v>
      </c>
      <c r="P16" s="59">
        <f>background!P16</f>
        <v>0</v>
      </c>
    </row>
    <row r="17" spans="5:16">
      <c r="E17" s="57" t="str">
        <f>background!E17</f>
        <v>Electricity</v>
      </c>
      <c r="F17" s="58">
        <f>background!F17</f>
        <v>0</v>
      </c>
      <c r="G17" s="58">
        <f>background!G17</f>
        <v>0</v>
      </c>
      <c r="H17" s="58">
        <f>background!H17</f>
        <v>0</v>
      </c>
      <c r="I17" s="58">
        <f>background!I17</f>
        <v>0</v>
      </c>
      <c r="J17" s="58">
        <f>background!J17</f>
        <v>0</v>
      </c>
      <c r="K17" s="58">
        <f>background!K17</f>
        <v>0</v>
      </c>
      <c r="L17" s="58">
        <f>background!L17</f>
        <v>0</v>
      </c>
      <c r="M17" s="58">
        <f>background!M17</f>
        <v>0</v>
      </c>
      <c r="N17" s="58">
        <f>background!N17</f>
        <v>0</v>
      </c>
      <c r="O17" s="58">
        <f>background!O17</f>
        <v>0</v>
      </c>
      <c r="P17" s="59">
        <f>background!P17</f>
        <v>0</v>
      </c>
    </row>
    <row r="18" spans="5:16">
      <c r="E18" s="57">
        <f>background!E18</f>
        <v>0</v>
      </c>
      <c r="F18" s="58" t="str">
        <f>background!F18</f>
        <v>Total generation:</v>
      </c>
      <c r="G18" s="58">
        <f>background!G18</f>
        <v>0</v>
      </c>
      <c r="H18" s="58">
        <f>background!H18</f>
        <v>21500</v>
      </c>
      <c r="I18" s="58" t="str">
        <f>background!I18</f>
        <v>TWh in 2010</v>
      </c>
      <c r="J18" s="58">
        <f>background!J18</f>
        <v>0</v>
      </c>
      <c r="K18" s="58" t="str">
        <f>background!K18</f>
        <v>https://www.worldenergydata.org/world-electricity-generation/</v>
      </c>
      <c r="L18" s="58">
        <f>background!L18</f>
        <v>0</v>
      </c>
      <c r="M18" s="58">
        <f>background!M18</f>
        <v>0</v>
      </c>
      <c r="N18" s="58">
        <f>background!N18</f>
        <v>0</v>
      </c>
      <c r="O18" s="58">
        <f>background!O18</f>
        <v>0</v>
      </c>
      <c r="P18" s="59">
        <f>background!P18</f>
        <v>0</v>
      </c>
    </row>
    <row r="19" spans="5:16">
      <c r="E19" s="57">
        <f>background!E19</f>
        <v>0</v>
      </c>
      <c r="F19" s="58" t="str">
        <f>background!F19</f>
        <v>Direct sectoral CO2:</v>
      </c>
      <c r="G19" s="58">
        <f>background!G19</f>
        <v>0</v>
      </c>
      <c r="H19" s="58">
        <f>background!H19</f>
        <v>12.25</v>
      </c>
      <c r="I19" s="58" t="str">
        <f>background!I19</f>
        <v>Gt CO2-eq in 2010</v>
      </c>
      <c r="J19" s="58">
        <f>background!J19</f>
        <v>0</v>
      </c>
      <c r="K19" s="58" t="str">
        <f>background!K19</f>
        <v>https://www.researchgate.net/figure/Greenhouse-gas-emissions-by-economic-sectors-2010_fig1_327161641</v>
      </c>
      <c r="L19" s="58">
        <f>background!L19</f>
        <v>0</v>
      </c>
      <c r="M19" s="58">
        <f>background!M19</f>
        <v>0</v>
      </c>
      <c r="N19" s="58">
        <f>background!N19</f>
        <v>0</v>
      </c>
      <c r="O19" s="58">
        <f>background!O19</f>
        <v>0</v>
      </c>
      <c r="P19" s="59">
        <f>background!P19</f>
        <v>0</v>
      </c>
    </row>
    <row r="20" spans="5:16">
      <c r="E20" s="57">
        <f>background!E20</f>
        <v>0</v>
      </c>
      <c r="F20" s="58" t="str">
        <f>background!F20</f>
        <v>Direct CO2 per kWh</v>
      </c>
      <c r="G20" s="58">
        <f>background!G20</f>
        <v>0</v>
      </c>
      <c r="H20" s="58">
        <f>background!H20</f>
        <v>569.76744186046506</v>
      </c>
      <c r="I20" s="58" t="str">
        <f>background!I20</f>
        <v>g CO2-eq/kWh</v>
      </c>
      <c r="J20" s="58">
        <f>background!J20</f>
        <v>0</v>
      </c>
      <c r="K20" s="58">
        <f>background!K20</f>
        <v>0</v>
      </c>
      <c r="L20" s="58">
        <f>background!L20</f>
        <v>0</v>
      </c>
      <c r="M20" s="58">
        <f>background!M20</f>
        <v>0</v>
      </c>
      <c r="N20" s="58">
        <f>background!N20</f>
        <v>0</v>
      </c>
      <c r="O20" s="58">
        <f>background!O20</f>
        <v>0</v>
      </c>
      <c r="P20" s="59">
        <f>background!P20</f>
        <v>0</v>
      </c>
    </row>
    <row r="21" spans="5:16">
      <c r="E21" s="57">
        <f>background!E21</f>
        <v>0</v>
      </c>
      <c r="F21" s="58" t="str">
        <f>background!F21</f>
        <v>Direct CO2 per MJ</v>
      </c>
      <c r="G21" s="58">
        <f>background!G21</f>
        <v>0</v>
      </c>
      <c r="H21" s="58">
        <f>background!H21</f>
        <v>158.26873385012917</v>
      </c>
      <c r="I21" s="58" t="str">
        <f>background!I21</f>
        <v>g CO2-eq/MJ</v>
      </c>
      <c r="J21" s="58">
        <f>background!J21</f>
        <v>0</v>
      </c>
      <c r="K21" s="58">
        <f>background!K21</f>
        <v>0</v>
      </c>
      <c r="L21" s="58">
        <f>background!L21</f>
        <v>0</v>
      </c>
      <c r="M21" s="58">
        <f>background!M21</f>
        <v>0</v>
      </c>
      <c r="N21" s="58">
        <f>background!N21</f>
        <v>0</v>
      </c>
      <c r="O21" s="58">
        <f>background!O21</f>
        <v>0</v>
      </c>
      <c r="P21" s="59">
        <f>background!P21</f>
        <v>0</v>
      </c>
    </row>
    <row r="22" spans="5:16">
      <c r="E22" s="57" t="str">
        <f>background!E22</f>
        <v>Coal, Hard Coal</v>
      </c>
      <c r="F22" s="58">
        <f>background!F22</f>
        <v>0</v>
      </c>
      <c r="G22" s="58">
        <f>background!G22</f>
        <v>0</v>
      </c>
      <c r="H22" s="58">
        <f>background!H22</f>
        <v>0</v>
      </c>
      <c r="I22" s="58">
        <f>background!I22</f>
        <v>0</v>
      </c>
      <c r="J22" s="58">
        <f>background!J22</f>
        <v>0</v>
      </c>
      <c r="K22" s="58">
        <f>background!K22</f>
        <v>0</v>
      </c>
      <c r="L22" s="58">
        <f>background!L22</f>
        <v>0</v>
      </c>
      <c r="M22" s="58">
        <f>background!M22</f>
        <v>0</v>
      </c>
      <c r="N22" s="58">
        <f>background!N22</f>
        <v>0</v>
      </c>
      <c r="O22" s="58">
        <f>background!O22</f>
        <v>0</v>
      </c>
      <c r="P22" s="59">
        <f>background!P22</f>
        <v>0</v>
      </c>
    </row>
    <row r="23" spans="5:16">
      <c r="E23" s="57">
        <f>background!E23</f>
        <v>0</v>
      </c>
      <c r="F23" s="58" t="str">
        <f>background!F23</f>
        <v>Hard Coal Production</v>
      </c>
      <c r="G23" s="58" t="str">
        <f>background!G23</f>
        <v>1 kg</v>
      </c>
      <c r="H23" s="58" t="str">
        <f>background!H23</f>
        <v>Global</v>
      </c>
      <c r="I23" s="58">
        <f>background!I23</f>
        <v>0</v>
      </c>
      <c r="J23" s="58">
        <f>background!J23</f>
        <v>0</v>
      </c>
      <c r="K23" s="58">
        <f>background!K23</f>
        <v>0.31878000000000001</v>
      </c>
      <c r="L23" s="58">
        <f>background!L23</f>
        <v>2.4039999999999999E-2</v>
      </c>
      <c r="M23" s="58">
        <f>background!M23</f>
        <v>2.2655000000000002E-3</v>
      </c>
      <c r="N23" s="58">
        <f>background!N23</f>
        <v>0</v>
      </c>
      <c r="O23" s="58">
        <f>background!O23</f>
        <v>0</v>
      </c>
      <c r="P23" s="59">
        <f>background!P23</f>
        <v>0</v>
      </c>
    </row>
    <row r="24" spans="5:16">
      <c r="E24" s="57">
        <f>background!E24</f>
        <v>0</v>
      </c>
      <c r="F24" s="58" t="str">
        <f>background!F24</f>
        <v>Direct CO2 per kWh</v>
      </c>
      <c r="G24" s="58">
        <f>background!G24</f>
        <v>0</v>
      </c>
      <c r="H24" s="58">
        <f>background!H24</f>
        <v>396</v>
      </c>
      <c r="I24" s="58" t="str">
        <f>background!I24</f>
        <v>g CO2-eq/kWh</v>
      </c>
      <c r="J24" s="58">
        <f>background!J24</f>
        <v>0</v>
      </c>
      <c r="K24" s="58">
        <f>background!K24</f>
        <v>0</v>
      </c>
      <c r="L24" s="58">
        <f>background!L24</f>
        <v>0</v>
      </c>
      <c r="M24" s="58">
        <f>background!M24</f>
        <v>0</v>
      </c>
      <c r="N24" s="58">
        <f>background!N24</f>
        <v>0</v>
      </c>
      <c r="O24" s="58">
        <f>background!O24</f>
        <v>0</v>
      </c>
      <c r="P24" s="59">
        <f>background!P24</f>
        <v>0</v>
      </c>
    </row>
    <row r="25" spans="5:16">
      <c r="E25" s="57">
        <f>background!E25</f>
        <v>0</v>
      </c>
      <c r="F25" s="58" t="str">
        <f>background!F25</f>
        <v>Direct CO2 per MJ</v>
      </c>
      <c r="G25" s="58">
        <f>background!G25</f>
        <v>0</v>
      </c>
      <c r="H25" s="58">
        <f>background!H25</f>
        <v>110</v>
      </c>
      <c r="I25" s="58" t="str">
        <f>background!I25</f>
        <v>g CO2-eq/MJ</v>
      </c>
      <c r="J25" s="58">
        <f>background!J25</f>
        <v>0</v>
      </c>
      <c r="K25" s="58" t="str">
        <f>background!K25</f>
        <v>6_PR_DirectEmissions_V1.2</v>
      </c>
      <c r="L25" s="58">
        <f>background!L25</f>
        <v>0</v>
      </c>
      <c r="M25" s="58">
        <f>background!M25</f>
        <v>0</v>
      </c>
      <c r="N25" s="58">
        <f>background!N25</f>
        <v>0</v>
      </c>
      <c r="O25" s="58">
        <f>background!O25</f>
        <v>0</v>
      </c>
      <c r="P25" s="59">
        <f>background!P25</f>
        <v>0</v>
      </c>
    </row>
    <row r="26" spans="5:16">
      <c r="E26" s="57">
        <f>background!E26</f>
        <v>0</v>
      </c>
      <c r="F26" s="58" t="str">
        <f>background!F26</f>
        <v>Specific Energy</v>
      </c>
      <c r="G26" s="58">
        <f>background!G26</f>
        <v>0</v>
      </c>
      <c r="H26" s="58">
        <f>background!H26</f>
        <v>33.5</v>
      </c>
      <c r="I26" s="58" t="str">
        <f>background!I26</f>
        <v>MJ/Kg</v>
      </c>
      <c r="J26" s="58">
        <f>background!J26</f>
        <v>0</v>
      </c>
      <c r="K26" s="58" t="str">
        <f>background!K26</f>
        <v>https://en.wikipedia.org/wiki/Energy_content_of_biofuel</v>
      </c>
      <c r="L26" s="58">
        <f>background!L26</f>
        <v>0</v>
      </c>
      <c r="M26" s="58">
        <f>background!M26</f>
        <v>0</v>
      </c>
      <c r="N26" s="58">
        <f>background!N26</f>
        <v>0</v>
      </c>
      <c r="O26" s="58">
        <f>background!O26</f>
        <v>0</v>
      </c>
      <c r="P26" s="59">
        <f>background!P26</f>
        <v>0</v>
      </c>
    </row>
    <row r="27" spans="5:16">
      <c r="E27" s="57" t="str">
        <f>background!E27</f>
        <v>Diesel</v>
      </c>
      <c r="F27" s="58">
        <f>background!F27</f>
        <v>0</v>
      </c>
      <c r="G27" s="58">
        <f>background!G27</f>
        <v>0</v>
      </c>
      <c r="H27" s="58">
        <f>background!H27</f>
        <v>0</v>
      </c>
      <c r="I27" s="58">
        <f>background!I27</f>
        <v>0</v>
      </c>
      <c r="J27" s="58">
        <f>background!J27</f>
        <v>0</v>
      </c>
      <c r="K27" s="58">
        <f>background!K27</f>
        <v>0</v>
      </c>
      <c r="L27" s="58">
        <f>background!L27</f>
        <v>0</v>
      </c>
      <c r="M27" s="58">
        <f>background!M27</f>
        <v>0</v>
      </c>
      <c r="N27" s="58">
        <f>background!N27</f>
        <v>0</v>
      </c>
      <c r="O27" s="58">
        <f>background!O27</f>
        <v>0</v>
      </c>
      <c r="P27" s="59">
        <f>background!P27</f>
        <v>0</v>
      </c>
    </row>
    <row r="28" spans="5:16">
      <c r="E28" s="57">
        <f>background!E28</f>
        <v>0</v>
      </c>
      <c r="F28" s="58" t="str">
        <f>background!F28</f>
        <v>Diesel Production</v>
      </c>
      <c r="G28" s="58" t="str">
        <f>background!G28</f>
        <v>1 kg</v>
      </c>
      <c r="H28" s="58" t="str">
        <f>background!H28</f>
        <v>Global</v>
      </c>
      <c r="I28" s="58">
        <f>background!I28</f>
        <v>0</v>
      </c>
      <c r="J28" s="58">
        <f>background!J28</f>
        <v>0</v>
      </c>
      <c r="K28" s="58">
        <f>background!K28</f>
        <v>0.46995999999999999</v>
      </c>
      <c r="L28" s="58">
        <f>background!L28</f>
        <v>6.8723999999999999E-3</v>
      </c>
      <c r="M28" s="58">
        <f>background!M28</f>
        <v>1.5552000000000001E-3</v>
      </c>
      <c r="N28" s="58">
        <f>background!N28</f>
        <v>0</v>
      </c>
      <c r="O28" s="58">
        <f>background!O28</f>
        <v>0</v>
      </c>
      <c r="P28" s="59">
        <f>background!P28</f>
        <v>0</v>
      </c>
    </row>
    <row r="29" spans="5:16">
      <c r="E29" s="57">
        <f>background!E29</f>
        <v>0</v>
      </c>
      <c r="F29" s="58" t="str">
        <f>background!F29</f>
        <v>Direct CO2 per kWh</v>
      </c>
      <c r="G29" s="58">
        <f>background!G29</f>
        <v>0</v>
      </c>
      <c r="H29" s="58">
        <f>background!H29</f>
        <v>252</v>
      </c>
      <c r="I29" s="58" t="str">
        <f>background!I29</f>
        <v>g CO2-eq/kWh</v>
      </c>
      <c r="J29" s="58">
        <f>background!J29</f>
        <v>0</v>
      </c>
      <c r="K29" s="58">
        <f>background!K29</f>
        <v>0</v>
      </c>
      <c r="L29" s="58">
        <f>background!L29</f>
        <v>0</v>
      </c>
      <c r="M29" s="58">
        <f>background!M29</f>
        <v>0</v>
      </c>
      <c r="N29" s="58">
        <f>background!N29</f>
        <v>0</v>
      </c>
      <c r="O29" s="58">
        <f>background!O29</f>
        <v>0</v>
      </c>
      <c r="P29" s="59">
        <f>background!P29</f>
        <v>0</v>
      </c>
    </row>
    <row r="30" spans="5:16">
      <c r="E30" s="57">
        <f>background!E30</f>
        <v>0</v>
      </c>
      <c r="F30" s="58" t="str">
        <f>background!F30</f>
        <v>Direct CO2 per MJ</v>
      </c>
      <c r="G30" s="58">
        <f>background!G30</f>
        <v>0</v>
      </c>
      <c r="H30" s="58">
        <f>background!H30</f>
        <v>70</v>
      </c>
      <c r="I30" s="58" t="str">
        <f>background!I30</f>
        <v>g CO2-eq/MJ</v>
      </c>
      <c r="J30" s="58">
        <f>background!J30</f>
        <v>0</v>
      </c>
      <c r="K30" s="58" t="str">
        <f>background!K30</f>
        <v>6_PR_DirectEmissions_V1.2</v>
      </c>
      <c r="L30" s="58">
        <f>background!L30</f>
        <v>0</v>
      </c>
      <c r="M30" s="58">
        <f>background!M30</f>
        <v>0</v>
      </c>
      <c r="N30" s="58">
        <f>background!N30</f>
        <v>0</v>
      </c>
      <c r="O30" s="58">
        <f>background!O30</f>
        <v>0</v>
      </c>
      <c r="P30" s="59">
        <f>background!P30</f>
        <v>0</v>
      </c>
    </row>
    <row r="31" spans="5:16">
      <c r="E31" s="57">
        <f>background!E31</f>
        <v>0</v>
      </c>
      <c r="F31" s="58" t="str">
        <f>background!F31</f>
        <v>Specific Energy</v>
      </c>
      <c r="G31" s="58">
        <f>background!G31</f>
        <v>0</v>
      </c>
      <c r="H31" s="58">
        <f>background!H31</f>
        <v>48.1</v>
      </c>
      <c r="I31" s="58" t="str">
        <f>background!I31</f>
        <v>MJ/Kg</v>
      </c>
      <c r="J31" s="58">
        <f>background!J31</f>
        <v>0</v>
      </c>
      <c r="K31" s="58" t="str">
        <f>background!K31</f>
        <v>https://en.wikipedia.org/wiki/Energy_content_of_biofuel</v>
      </c>
      <c r="L31" s="58">
        <f>background!L31</f>
        <v>0</v>
      </c>
      <c r="M31" s="58">
        <f>background!M31</f>
        <v>0</v>
      </c>
      <c r="N31" s="58">
        <f>background!N31</f>
        <v>0</v>
      </c>
      <c r="O31" s="58">
        <f>background!O31</f>
        <v>0</v>
      </c>
      <c r="P31" s="59">
        <f>background!P31</f>
        <v>0</v>
      </c>
    </row>
    <row r="32" spans="5:16">
      <c r="E32" s="57">
        <f>background!E32</f>
        <v>0</v>
      </c>
      <c r="F32" s="58" t="str">
        <f>background!F32</f>
        <v>Energy density</v>
      </c>
      <c r="G32" s="58">
        <f>background!G32</f>
        <v>0</v>
      </c>
      <c r="H32" s="58">
        <f>background!H32</f>
        <v>40.299999999999997</v>
      </c>
      <c r="I32" s="58" t="str">
        <f>background!I32</f>
        <v>MJ/L</v>
      </c>
      <c r="J32" s="58">
        <f>background!J32</f>
        <v>0</v>
      </c>
      <c r="K32" s="58" t="str">
        <f>background!K32</f>
        <v>https://en.wikipedia.org/wiki/Energy_content_of_biofuel</v>
      </c>
      <c r="L32" s="58">
        <f>background!L32</f>
        <v>0</v>
      </c>
      <c r="M32" s="58">
        <f>background!M32</f>
        <v>0</v>
      </c>
      <c r="N32" s="58">
        <f>background!N32</f>
        <v>0</v>
      </c>
      <c r="O32" s="58">
        <f>background!O32</f>
        <v>0</v>
      </c>
      <c r="P32" s="59">
        <f>background!P32</f>
        <v>0</v>
      </c>
    </row>
    <row r="33" spans="2:16">
      <c r="E33" s="57" t="str">
        <f>background!E33</f>
        <v>Gasoline</v>
      </c>
      <c r="F33" s="58">
        <f>background!F33</f>
        <v>0</v>
      </c>
      <c r="G33" s="58">
        <f>background!G33</f>
        <v>0</v>
      </c>
      <c r="H33" s="58">
        <f>background!H33</f>
        <v>0</v>
      </c>
      <c r="I33" s="58">
        <f>background!I33</f>
        <v>0</v>
      </c>
      <c r="J33" s="58">
        <f>background!J33</f>
        <v>0</v>
      </c>
      <c r="K33" s="58">
        <f>background!K33</f>
        <v>0</v>
      </c>
      <c r="L33" s="58">
        <f>background!L33</f>
        <v>0</v>
      </c>
      <c r="M33" s="58">
        <f>background!M33</f>
        <v>0</v>
      </c>
      <c r="N33" s="58">
        <f>background!N33</f>
        <v>0</v>
      </c>
      <c r="O33" s="58">
        <f>background!O33</f>
        <v>0</v>
      </c>
      <c r="P33" s="59">
        <f>background!P33</f>
        <v>0</v>
      </c>
    </row>
    <row r="34" spans="2:16">
      <c r="E34" s="57">
        <f>background!E34</f>
        <v>0</v>
      </c>
      <c r="F34" s="58" t="str">
        <f>background!F34</f>
        <v>Gasoline Production</v>
      </c>
      <c r="G34" s="58" t="str">
        <f>background!G34</f>
        <v>1 kg</v>
      </c>
      <c r="H34" s="58" t="str">
        <f>background!H34</f>
        <v>Global</v>
      </c>
      <c r="I34" s="58">
        <f>background!I34</f>
        <v>0</v>
      </c>
      <c r="J34" s="58">
        <f>background!J34</f>
        <v>0</v>
      </c>
      <c r="K34" s="58">
        <f>background!K34</f>
        <v>0.629</v>
      </c>
      <c r="L34" s="58">
        <f>background!L34</f>
        <v>5.7000000000000002E-3</v>
      </c>
      <c r="M34" s="58">
        <f>background!M34</f>
        <v>5.9000000000000003E-4</v>
      </c>
      <c r="N34" s="58">
        <f>background!N34</f>
        <v>1.367</v>
      </c>
      <c r="O34" s="58">
        <f>background!O34</f>
        <v>1.2</v>
      </c>
      <c r="P34" s="59">
        <f>background!P34</f>
        <v>9.0999999999999998E-2</v>
      </c>
    </row>
    <row r="35" spans="2:16">
      <c r="E35" s="57">
        <f>background!E35</f>
        <v>0</v>
      </c>
      <c r="F35" s="58" t="str">
        <f>background!F35</f>
        <v>Direct CO2 per kWh</v>
      </c>
      <c r="G35" s="58">
        <f>background!G35</f>
        <v>0</v>
      </c>
      <c r="H35" s="58">
        <f>background!H35</f>
        <v>252</v>
      </c>
      <c r="I35" s="58" t="str">
        <f>background!I35</f>
        <v>g CO2-eq/kWh</v>
      </c>
      <c r="J35" s="58">
        <f>background!J35</f>
        <v>0</v>
      </c>
      <c r="K35" s="58">
        <f>background!K35</f>
        <v>0</v>
      </c>
      <c r="L35" s="58">
        <f>background!L35</f>
        <v>0</v>
      </c>
      <c r="M35" s="58">
        <f>background!M35</f>
        <v>0</v>
      </c>
      <c r="N35" s="58">
        <f>background!N35</f>
        <v>0</v>
      </c>
      <c r="O35" s="58">
        <f>background!O35</f>
        <v>0</v>
      </c>
      <c r="P35" s="59">
        <f>background!P35</f>
        <v>0</v>
      </c>
    </row>
    <row r="36" spans="2:16">
      <c r="E36" s="57">
        <f>background!E36</f>
        <v>0</v>
      </c>
      <c r="F36" s="58" t="str">
        <f>background!F36</f>
        <v>Direct CO2 per MJ</v>
      </c>
      <c r="G36" s="58">
        <f>background!G36</f>
        <v>0</v>
      </c>
      <c r="H36" s="58">
        <f>background!H36</f>
        <v>70</v>
      </c>
      <c r="I36" s="58" t="str">
        <f>background!I36</f>
        <v>g CO2-eq/MJ</v>
      </c>
      <c r="J36" s="58">
        <f>background!J36</f>
        <v>0</v>
      </c>
      <c r="K36" s="58" t="str">
        <f>background!K36</f>
        <v>6_PR_DirectEmissions_V1.2</v>
      </c>
      <c r="L36" s="58">
        <f>background!L36</f>
        <v>0</v>
      </c>
      <c r="M36" s="58">
        <f>background!M36</f>
        <v>0</v>
      </c>
      <c r="N36" s="58">
        <f>background!N36</f>
        <v>0</v>
      </c>
      <c r="O36" s="58">
        <f>background!O36</f>
        <v>0</v>
      </c>
      <c r="P36" s="59">
        <f>background!P36</f>
        <v>0</v>
      </c>
    </row>
    <row r="37" spans="2:16">
      <c r="E37" s="57">
        <f>background!E37</f>
        <v>0</v>
      </c>
      <c r="F37" s="58" t="str">
        <f>background!F37</f>
        <v>Specific Energy</v>
      </c>
      <c r="G37" s="58">
        <f>background!G37</f>
        <v>0</v>
      </c>
      <c r="H37" s="58">
        <f>background!H37</f>
        <v>48.3</v>
      </c>
      <c r="I37" s="58" t="str">
        <f>background!I37</f>
        <v>MJ/Kg</v>
      </c>
      <c r="J37" s="58">
        <f>background!J37</f>
        <v>0</v>
      </c>
      <c r="K37" s="58" t="str">
        <f>background!K37</f>
        <v>https://en.wikipedia.org/wiki/Energy_content_of_biofuel</v>
      </c>
      <c r="L37" s="58">
        <f>background!L37</f>
        <v>0</v>
      </c>
      <c r="M37" s="58">
        <f>background!M37</f>
        <v>0</v>
      </c>
      <c r="N37" s="58">
        <f>background!N37</f>
        <v>0</v>
      </c>
      <c r="O37" s="58">
        <f>background!O37</f>
        <v>0</v>
      </c>
      <c r="P37" s="59">
        <f>background!P37</f>
        <v>0</v>
      </c>
    </row>
    <row r="38" spans="2:16">
      <c r="E38" s="57">
        <f>background!E38</f>
        <v>0</v>
      </c>
      <c r="F38" s="58" t="str">
        <f>background!F38</f>
        <v>Energy density</v>
      </c>
      <c r="G38" s="58">
        <f>background!G38</f>
        <v>0</v>
      </c>
      <c r="H38" s="58">
        <f>background!H38</f>
        <v>34.799999999999997</v>
      </c>
      <c r="I38" s="58" t="str">
        <f>background!I38</f>
        <v>MJ/L</v>
      </c>
      <c r="J38" s="58">
        <f>background!J38</f>
        <v>0</v>
      </c>
      <c r="K38" s="58" t="str">
        <f>background!K38</f>
        <v>https://en.wikipedia.org/wiki/Energy_content_of_biofuel</v>
      </c>
      <c r="L38" s="58">
        <f>background!L38</f>
        <v>0</v>
      </c>
      <c r="M38" s="58">
        <f>background!M38</f>
        <v>0</v>
      </c>
      <c r="N38" s="58">
        <f>background!N38</f>
        <v>0</v>
      </c>
      <c r="O38" s="58">
        <f>background!O38</f>
        <v>0</v>
      </c>
      <c r="P38" s="59">
        <f>background!P38</f>
        <v>0</v>
      </c>
    </row>
    <row r="39" spans="2:16">
      <c r="E39" s="57" t="str">
        <f>background!E39</f>
        <v>Fuel oil</v>
      </c>
      <c r="F39" s="58">
        <f>background!F39</f>
        <v>0</v>
      </c>
      <c r="G39" s="58">
        <f>background!G39</f>
        <v>0</v>
      </c>
      <c r="H39" s="58">
        <f>background!H39</f>
        <v>0</v>
      </c>
      <c r="I39" s="58">
        <f>background!I39</f>
        <v>0</v>
      </c>
      <c r="J39" s="58">
        <f>background!J39</f>
        <v>0</v>
      </c>
      <c r="K39" s="58">
        <f>background!K39</f>
        <v>0</v>
      </c>
      <c r="L39" s="58">
        <f>background!L39</f>
        <v>0</v>
      </c>
      <c r="M39" s="58">
        <f>background!M39</f>
        <v>0</v>
      </c>
      <c r="N39" s="58">
        <f>background!N39</f>
        <v>0</v>
      </c>
      <c r="O39" s="58">
        <f>background!O39</f>
        <v>0</v>
      </c>
      <c r="P39" s="59">
        <f>background!P39</f>
        <v>0</v>
      </c>
    </row>
    <row r="40" spans="2:16">
      <c r="E40" s="57">
        <f>background!E40</f>
        <v>0</v>
      </c>
      <c r="F40" s="58" t="str">
        <f>background!F40</f>
        <v>Fuel oil</v>
      </c>
      <c r="G40" s="58" t="str">
        <f>background!G40</f>
        <v>1 kg</v>
      </c>
      <c r="H40" s="58" t="str">
        <f>background!H40</f>
        <v>Global</v>
      </c>
      <c r="I40" s="58">
        <f>background!I40</f>
        <v>0</v>
      </c>
      <c r="J40" s="58">
        <f>background!J40</f>
        <v>0</v>
      </c>
      <c r="K40" s="58">
        <f>background!K40</f>
        <v>0.35217999999999999</v>
      </c>
      <c r="L40" s="58">
        <f>background!L40</f>
        <v>5.8314999999999999E-3</v>
      </c>
      <c r="M40" s="58">
        <f>background!M40</f>
        <v>1.1795E-3</v>
      </c>
      <c r="N40" s="58">
        <f>background!N40</f>
        <v>0</v>
      </c>
      <c r="O40" s="58">
        <f>background!O40</f>
        <v>0</v>
      </c>
      <c r="P40" s="59">
        <f>background!P40</f>
        <v>0</v>
      </c>
    </row>
    <row r="41" spans="2:16">
      <c r="E41" s="57">
        <f>background!E41</f>
        <v>0</v>
      </c>
      <c r="F41" s="58" t="str">
        <f>background!F41</f>
        <v>Direct CO2 per kWh</v>
      </c>
      <c r="G41" s="58">
        <f>background!G41</f>
        <v>0</v>
      </c>
      <c r="H41" s="58">
        <f>background!H41</f>
        <v>252</v>
      </c>
      <c r="I41" s="58" t="str">
        <f>background!I41</f>
        <v>g CO2-eq/kWh</v>
      </c>
      <c r="J41" s="58">
        <f>background!J41</f>
        <v>0</v>
      </c>
      <c r="K41" s="58">
        <f>background!K41</f>
        <v>0</v>
      </c>
      <c r="L41" s="58">
        <f>background!L41</f>
        <v>0</v>
      </c>
      <c r="M41" s="58">
        <f>background!M41</f>
        <v>0</v>
      </c>
      <c r="N41" s="58">
        <f>background!N41</f>
        <v>0</v>
      </c>
      <c r="O41" s="58">
        <f>background!O41</f>
        <v>0</v>
      </c>
      <c r="P41" s="59">
        <f>background!P41</f>
        <v>0</v>
      </c>
    </row>
    <row r="42" spans="2:16">
      <c r="E42" s="57">
        <f>background!E42</f>
        <v>0</v>
      </c>
      <c r="F42" s="58" t="str">
        <f>background!F42</f>
        <v>Direct CO2 per MJ</v>
      </c>
      <c r="G42" s="58">
        <f>background!G42</f>
        <v>0</v>
      </c>
      <c r="H42" s="58">
        <f>background!H42</f>
        <v>70</v>
      </c>
      <c r="I42" s="58" t="str">
        <f>background!I42</f>
        <v>g CO2-eq/MJ</v>
      </c>
      <c r="J42" s="58">
        <f>background!J42</f>
        <v>0</v>
      </c>
      <c r="K42" s="58" t="str">
        <f>background!K42</f>
        <v>6_PR_DirectEmissions_V1.2</v>
      </c>
      <c r="L42" s="58">
        <f>background!L42</f>
        <v>0</v>
      </c>
      <c r="M42" s="58">
        <f>background!M42</f>
        <v>0</v>
      </c>
      <c r="N42" s="58">
        <f>background!N42</f>
        <v>0</v>
      </c>
      <c r="O42" s="58">
        <f>background!O42</f>
        <v>0</v>
      </c>
      <c r="P42" s="59">
        <f>background!P42</f>
        <v>0</v>
      </c>
    </row>
    <row r="43" spans="2:16" ht="15" thickBot="1">
      <c r="E43" s="102">
        <f>background!E43</f>
        <v>0</v>
      </c>
      <c r="F43" s="103" t="str">
        <f>background!F43</f>
        <v>Specific Energy</v>
      </c>
      <c r="G43" s="103">
        <f>background!G43</f>
        <v>0</v>
      </c>
      <c r="H43" s="103">
        <f>background!H43</f>
        <v>44</v>
      </c>
      <c r="I43" s="103" t="str">
        <f>background!I43</f>
        <v>MJ/Kg</v>
      </c>
      <c r="J43" s="103">
        <f>background!J43</f>
        <v>0</v>
      </c>
      <c r="K43" s="103" t="str">
        <f>background!K43</f>
        <v>https://www.claverton-energy.com/wordpress/wp-content/uploads/2012/08/the_energy_and_fuel_data_sheet1.pdf</v>
      </c>
      <c r="L43" s="103">
        <f>background!L43</f>
        <v>0</v>
      </c>
      <c r="M43" s="103">
        <f>background!M43</f>
        <v>0</v>
      </c>
      <c r="N43" s="103">
        <f>background!N43</f>
        <v>0</v>
      </c>
      <c r="O43" s="103">
        <f>background!O43</f>
        <v>0</v>
      </c>
      <c r="P43" s="104">
        <f>background!P43</f>
        <v>0</v>
      </c>
    </row>
    <row r="45" spans="2:16">
      <c r="B45" s="5" t="s">
        <v>210</v>
      </c>
      <c r="C45" s="6"/>
    </row>
    <row r="47" spans="2:16">
      <c r="E47" s="7"/>
      <c r="H47" s="44" t="s">
        <v>584</v>
      </c>
      <c r="J47" s="1" t="s">
        <v>16</v>
      </c>
    </row>
    <row r="48" spans="2:16">
      <c r="E48" s="7" t="s">
        <v>212</v>
      </c>
      <c r="H48" s="44" t="s">
        <v>213</v>
      </c>
    </row>
    <row r="49" spans="2:10">
      <c r="E49" s="7">
        <v>2010</v>
      </c>
      <c r="H49" s="44">
        <f>N11</f>
        <v>2.85</v>
      </c>
    </row>
    <row r="50" spans="2:10">
      <c r="E50" s="7">
        <v>2020</v>
      </c>
      <c r="H50" s="44">
        <f>N11</f>
        <v>2.85</v>
      </c>
    </row>
    <row r="51" spans="2:10">
      <c r="E51" s="7">
        <v>2030</v>
      </c>
      <c r="H51" s="44"/>
    </row>
    <row r="52" spans="2:10">
      <c r="E52" s="7">
        <v>2040</v>
      </c>
      <c r="H52" s="44"/>
    </row>
    <row r="53" spans="2:10">
      <c r="E53" s="7">
        <v>2050</v>
      </c>
      <c r="H53" s="44"/>
    </row>
    <row r="55" spans="2:10">
      <c r="B55" s="9" t="s">
        <v>214</v>
      </c>
      <c r="C55" s="10"/>
    </row>
    <row r="57" spans="2:10">
      <c r="E57" s="7"/>
      <c r="H57" s="45" t="s">
        <v>585</v>
      </c>
      <c r="J57" s="1" t="s">
        <v>14</v>
      </c>
    </row>
    <row r="58" spans="2:10">
      <c r="E58" s="7" t="s">
        <v>212</v>
      </c>
      <c r="H58" s="45" t="s">
        <v>216</v>
      </c>
    </row>
    <row r="59" spans="2:10">
      <c r="E59" s="7">
        <v>2010</v>
      </c>
      <c r="H59" s="45">
        <f>L11</f>
        <v>1.84</v>
      </c>
    </row>
    <row r="60" spans="2:10">
      <c r="E60" s="7">
        <v>2020</v>
      </c>
      <c r="H60" s="45">
        <f>L11</f>
        <v>1.84</v>
      </c>
    </row>
    <row r="61" spans="2:10">
      <c r="E61" s="7">
        <v>2030</v>
      </c>
      <c r="H61" s="45"/>
    </row>
    <row r="62" spans="2:10">
      <c r="E62" s="7">
        <v>2040</v>
      </c>
      <c r="H62" s="45"/>
    </row>
    <row r="63" spans="2:10">
      <c r="E63" s="7">
        <v>2050</v>
      </c>
      <c r="H63" s="45"/>
    </row>
    <row r="65" spans="2:17">
      <c r="B65" s="2" t="s">
        <v>217</v>
      </c>
      <c r="C65" s="4"/>
    </row>
    <row r="67" spans="2:17">
      <c r="E67" s="7"/>
      <c r="H67" s="46" t="s">
        <v>586</v>
      </c>
      <c r="J67" s="1" t="s">
        <v>15</v>
      </c>
    </row>
    <row r="68" spans="2:17">
      <c r="E68" s="7" t="s">
        <v>212</v>
      </c>
      <c r="H68" s="46" t="s">
        <v>219</v>
      </c>
    </row>
    <row r="69" spans="2:17">
      <c r="E69" s="7">
        <v>2010</v>
      </c>
      <c r="H69" s="46">
        <f>M11</f>
        <v>1.0999999999999999E-2</v>
      </c>
    </row>
    <row r="70" spans="2:17">
      <c r="E70" s="7">
        <v>2020</v>
      </c>
      <c r="H70" s="46">
        <f>M11</f>
        <v>1.0999999999999999E-2</v>
      </c>
    </row>
    <row r="71" spans="2:17">
      <c r="E71" s="7">
        <v>2030</v>
      </c>
      <c r="H71" s="46"/>
    </row>
    <row r="72" spans="2:17">
      <c r="E72" s="7">
        <v>2040</v>
      </c>
      <c r="H72" s="46"/>
    </row>
    <row r="73" spans="2:17">
      <c r="E73" s="7">
        <v>2050</v>
      </c>
      <c r="H73" s="46"/>
    </row>
    <row r="75" spans="2:17">
      <c r="B75" s="3" t="s">
        <v>629</v>
      </c>
      <c r="C75" s="12"/>
    </row>
    <row r="76" spans="2:17">
      <c r="B76" s="3"/>
      <c r="C76" s="12"/>
    </row>
    <row r="77" spans="2:17">
      <c r="H77" s="23" t="s">
        <v>220</v>
      </c>
      <c r="J77" s="3" t="s">
        <v>221</v>
      </c>
      <c r="L77" t="s">
        <v>224</v>
      </c>
    </row>
    <row r="78" spans="2:17">
      <c r="E78" s="7"/>
      <c r="H78" s="23" t="s">
        <v>587</v>
      </c>
      <c r="J78" s="3" t="s">
        <v>587</v>
      </c>
      <c r="L78">
        <f>K11-H90*H21/1000-I90/H16*K13-I90*H15/1000</f>
        <v>-1.0068218306976746</v>
      </c>
      <c r="M78" s="3" t="s">
        <v>223</v>
      </c>
    </row>
    <row r="79" spans="2:17" ht="28.8">
      <c r="E79" s="7" t="s">
        <v>212</v>
      </c>
      <c r="H79" s="23" t="s">
        <v>223</v>
      </c>
      <c r="J79" s="21" t="s">
        <v>223</v>
      </c>
      <c r="L79" s="27">
        <f>L78/K11</f>
        <v>-1.4180589164755981</v>
      </c>
      <c r="Q79" s="27"/>
    </row>
    <row r="80" spans="2:17">
      <c r="E80" s="7">
        <v>2010</v>
      </c>
      <c r="H80" s="23">
        <f>L78</f>
        <v>-1.0068218306976746</v>
      </c>
      <c r="J80" s="3">
        <f>L78</f>
        <v>-1.0068218306976746</v>
      </c>
    </row>
    <row r="81" spans="2:27">
      <c r="E81" s="7">
        <v>2020</v>
      </c>
      <c r="H81" s="23">
        <f>L78</f>
        <v>-1.0068218306976746</v>
      </c>
      <c r="J81" s="3">
        <f>L78</f>
        <v>-1.0068218306976746</v>
      </c>
    </row>
    <row r="82" spans="2:27">
      <c r="E82" s="7">
        <v>2030</v>
      </c>
      <c r="H82" s="23"/>
      <c r="J82" s="3"/>
    </row>
    <row r="83" spans="2:27">
      <c r="E83" s="7">
        <v>2040</v>
      </c>
      <c r="H83" s="23"/>
      <c r="J83" s="3"/>
    </row>
    <row r="84" spans="2:27">
      <c r="E84" s="7">
        <v>2050</v>
      </c>
      <c r="H84" s="23"/>
      <c r="J84" s="3"/>
    </row>
    <row r="86" spans="2:27">
      <c r="B86" s="11" t="s">
        <v>225</v>
      </c>
      <c r="C86" s="13"/>
      <c r="D86" t="s">
        <v>226</v>
      </c>
    </row>
    <row r="87" spans="2:27">
      <c r="O87" s="80"/>
      <c r="P87" s="76"/>
      <c r="Q87" s="76"/>
      <c r="R87" s="76"/>
      <c r="S87" s="76"/>
      <c r="T87" s="76"/>
      <c r="U87" s="76"/>
      <c r="V87" s="76"/>
      <c r="W87" s="76"/>
      <c r="X87" s="76"/>
      <c r="Y87" s="76"/>
      <c r="Z87" s="76"/>
      <c r="AA87" s="76"/>
    </row>
    <row r="88" spans="2:27" s="76" customFormat="1" ht="20.399999999999999" customHeight="1">
      <c r="E88" s="77"/>
      <c r="H88" s="78" t="s">
        <v>751</v>
      </c>
      <c r="I88" s="79" t="s">
        <v>747</v>
      </c>
      <c r="J88" s="76" t="s">
        <v>199</v>
      </c>
      <c r="K88" s="119"/>
      <c r="L88" s="119"/>
      <c r="M88" s="119"/>
      <c r="N88" s="119"/>
      <c r="O88" s="80"/>
      <c r="Q88" s="119"/>
      <c r="R88" s="119"/>
      <c r="S88" s="119"/>
      <c r="T88" s="119"/>
      <c r="U88" s="119"/>
      <c r="V88" s="119"/>
    </row>
    <row r="89" spans="2:27" s="76" customFormat="1">
      <c r="E89" s="77" t="s">
        <v>212</v>
      </c>
      <c r="H89" s="81" t="s">
        <v>171</v>
      </c>
      <c r="I89" s="82" t="s">
        <v>171</v>
      </c>
      <c r="K89" s="119"/>
      <c r="L89" s="119"/>
      <c r="M89" s="119"/>
      <c r="N89" s="119"/>
      <c r="O89" s="119"/>
      <c r="Q89" s="119"/>
      <c r="R89" s="119"/>
      <c r="S89" s="119"/>
      <c r="T89" s="119"/>
      <c r="U89" s="119"/>
      <c r="V89" s="119"/>
    </row>
    <row r="90" spans="2:27" s="76" customFormat="1">
      <c r="E90" s="77">
        <v>2010</v>
      </c>
      <c r="H90" s="83">
        <f>0.59*3.6</f>
        <v>2.1240000000000001</v>
      </c>
      <c r="I90" s="83">
        <f>4.01*3.6</f>
        <v>14.436</v>
      </c>
      <c r="K90" s="85"/>
    </row>
    <row r="91" spans="2:27" s="76" customFormat="1">
      <c r="E91" s="77">
        <v>2020</v>
      </c>
      <c r="H91" s="83">
        <f>H90</f>
        <v>2.1240000000000001</v>
      </c>
      <c r="I91" s="83">
        <f>I90</f>
        <v>14.436</v>
      </c>
    </row>
    <row r="92" spans="2:27" s="76" customFormat="1">
      <c r="E92" s="77">
        <v>2030</v>
      </c>
      <c r="H92" s="83">
        <f t="shared" ref="H92:H94" si="0">H91</f>
        <v>2.1240000000000001</v>
      </c>
      <c r="I92" s="83">
        <f t="shared" ref="I92:I94" si="1">I91</f>
        <v>14.436</v>
      </c>
      <c r="K92" s="105"/>
      <c r="W92" s="140"/>
      <c r="X92" s="140"/>
    </row>
    <row r="93" spans="2:27" s="76" customFormat="1">
      <c r="E93" s="77">
        <v>2040</v>
      </c>
      <c r="H93" s="83">
        <f t="shared" si="0"/>
        <v>2.1240000000000001</v>
      </c>
      <c r="I93" s="83">
        <f t="shared" si="1"/>
        <v>14.436</v>
      </c>
      <c r="V93" s="140"/>
      <c r="W93" s="141"/>
      <c r="X93" s="141"/>
    </row>
    <row r="94" spans="2:27" s="76" customFormat="1">
      <c r="E94" s="77">
        <v>2050</v>
      </c>
      <c r="H94" s="83">
        <f t="shared" si="0"/>
        <v>2.1240000000000001</v>
      </c>
      <c r="I94" s="83">
        <f t="shared" si="1"/>
        <v>14.436</v>
      </c>
      <c r="V94" s="140"/>
      <c r="W94" s="141"/>
      <c r="X94" s="141"/>
    </row>
    <row r="95" spans="2:27" s="76" customFormat="1">
      <c r="H95" s="85"/>
    </row>
    <row r="96" spans="2:27" s="76" customFormat="1">
      <c r="H96" s="85"/>
    </row>
    <row r="97" spans="2:18" s="76" customFormat="1">
      <c r="H97" s="85"/>
    </row>
    <row r="98" spans="2:18" s="76" customFormat="1" ht="15">
      <c r="H98" s="85"/>
      <c r="N98" s="86"/>
    </row>
    <row r="99" spans="2:18" s="76" customFormat="1">
      <c r="H99" s="85"/>
    </row>
    <row r="100" spans="2:18" s="76" customFormat="1">
      <c r="H100" s="85"/>
      <c r="N100" s="87"/>
    </row>
    <row r="101" spans="2:18" s="76" customFormat="1">
      <c r="H101" s="85"/>
    </row>
    <row r="102" spans="2:18" s="76" customFormat="1">
      <c r="H102" s="85"/>
    </row>
    <row r="103" spans="2:18" s="76" customFormat="1">
      <c r="H103" s="85"/>
    </row>
    <row r="104" spans="2:18" s="76" customFormat="1">
      <c r="H104" s="85"/>
      <c r="O104" s="85"/>
      <c r="P104" s="85"/>
      <c r="Q104" s="85"/>
      <c r="R104" s="85"/>
    </row>
    <row r="105" spans="2:18">
      <c r="B105" s="88"/>
    </row>
    <row r="106" spans="2:18">
      <c r="B106" s="100"/>
    </row>
    <row r="107" spans="2:18">
      <c r="B107" s="88"/>
      <c r="F107" t="s">
        <v>588</v>
      </c>
    </row>
    <row r="109" spans="2:18">
      <c r="B109" s="96"/>
      <c r="L109" s="96"/>
    </row>
    <row r="110" spans="2:18">
      <c r="B110" s="92"/>
      <c r="C110" s="93"/>
      <c r="D110" s="92"/>
      <c r="L110" s="92"/>
      <c r="M110" s="92"/>
      <c r="N110" s="92"/>
    </row>
    <row r="111" spans="2:18">
      <c r="B111" s="92"/>
      <c r="C111" s="93"/>
      <c r="D111" s="92"/>
      <c r="L111" s="115"/>
      <c r="M111" s="115"/>
      <c r="N111" s="115"/>
    </row>
    <row r="112" spans="2:18">
      <c r="B112" s="92"/>
      <c r="C112" s="93"/>
      <c r="D112" s="92"/>
      <c r="L112" s="92"/>
      <c r="M112" s="92"/>
      <c r="N112" s="92"/>
    </row>
    <row r="113" spans="2:14">
      <c r="B113" s="92"/>
      <c r="C113" s="93"/>
      <c r="D113" s="92"/>
      <c r="L113" s="92"/>
      <c r="M113" s="92"/>
      <c r="N113" s="92"/>
    </row>
    <row r="114" spans="2:14">
      <c r="B114" s="92"/>
      <c r="C114" s="93"/>
      <c r="D114" s="92"/>
      <c r="L114" s="92"/>
      <c r="M114" s="92"/>
      <c r="N114" s="92"/>
    </row>
    <row r="115" spans="2:14">
      <c r="B115" s="92"/>
      <c r="C115" s="93"/>
      <c r="D115" s="92"/>
      <c r="L115" s="92"/>
      <c r="M115" s="92"/>
      <c r="N115" s="92"/>
    </row>
    <row r="116" spans="2:14">
      <c r="B116" s="92"/>
      <c r="C116" s="93"/>
      <c r="D116" s="92"/>
      <c r="L116" s="92"/>
      <c r="M116" s="92"/>
      <c r="N116" s="92"/>
    </row>
    <row r="117" spans="2:14">
      <c r="B117" s="92"/>
      <c r="C117" s="93"/>
      <c r="D117" s="92"/>
      <c r="L117" s="92"/>
      <c r="M117" s="92"/>
      <c r="N117" s="92"/>
    </row>
    <row r="118" spans="2:14">
      <c r="B118" s="92"/>
      <c r="C118" s="93"/>
      <c r="D118" s="92"/>
      <c r="L118" s="92"/>
      <c r="M118" s="92"/>
      <c r="N118" s="92"/>
    </row>
    <row r="119" spans="2:14">
      <c r="B119" s="92"/>
      <c r="C119" s="93"/>
      <c r="D119" s="92"/>
      <c r="L119" s="92"/>
      <c r="M119" s="92"/>
      <c r="N119" s="92"/>
    </row>
    <row r="120" spans="2:14">
      <c r="B120" s="92"/>
      <c r="C120" s="93"/>
      <c r="D120" s="92"/>
      <c r="L120" s="92"/>
      <c r="M120" s="92"/>
      <c r="N120" s="92"/>
    </row>
    <row r="121" spans="2:14">
      <c r="B121" s="92"/>
      <c r="C121" s="93"/>
      <c r="D121" s="92"/>
      <c r="L121" s="92"/>
      <c r="M121" s="92"/>
      <c r="N121" s="92"/>
    </row>
    <row r="122" spans="2:14">
      <c r="B122" s="92"/>
      <c r="C122" s="93"/>
      <c r="D122" s="92"/>
      <c r="L122" s="92"/>
      <c r="M122" s="92"/>
      <c r="N122" s="92"/>
    </row>
    <row r="123" spans="2:14">
      <c r="B123" s="92"/>
      <c r="C123" s="93"/>
      <c r="D123" s="92"/>
      <c r="L123" s="92"/>
      <c r="M123" s="92"/>
      <c r="N123" s="92"/>
    </row>
    <row r="124" spans="2:14">
      <c r="B124" s="92"/>
      <c r="C124" s="93"/>
      <c r="D124" s="92"/>
      <c r="L124" s="92"/>
      <c r="M124" s="92"/>
      <c r="N124" s="92"/>
    </row>
    <row r="125" spans="2:14">
      <c r="B125" s="92"/>
      <c r="C125" s="93"/>
      <c r="D125" s="92"/>
      <c r="L125" s="92"/>
      <c r="M125" s="92"/>
      <c r="N125" s="92"/>
    </row>
    <row r="126" spans="2:14">
      <c r="B126" s="92"/>
      <c r="C126" s="93"/>
      <c r="D126" s="92"/>
      <c r="L126" s="92"/>
      <c r="M126" s="92"/>
      <c r="N126" s="92"/>
    </row>
    <row r="127" spans="2:14">
      <c r="B127" s="92"/>
      <c r="C127" s="93"/>
      <c r="D127" s="92"/>
      <c r="L127" s="92"/>
      <c r="M127" s="92"/>
      <c r="N127" s="92"/>
    </row>
    <row r="128" spans="2:14">
      <c r="B128" s="92"/>
      <c r="C128" s="93"/>
      <c r="D128" s="92"/>
      <c r="L128" s="92"/>
      <c r="M128" s="92"/>
      <c r="N128" s="92"/>
    </row>
    <row r="129" spans="2:14">
      <c r="B129" s="92"/>
      <c r="C129" s="93"/>
      <c r="D129" s="92"/>
      <c r="L129" s="92"/>
      <c r="M129" s="92"/>
      <c r="N129" s="92"/>
    </row>
    <row r="130" spans="2:14">
      <c r="B130" s="92"/>
      <c r="C130" s="93"/>
      <c r="D130" s="92"/>
      <c r="L130" s="92"/>
      <c r="M130" s="93"/>
      <c r="N130" s="92"/>
    </row>
    <row r="131" spans="2:14">
      <c r="B131" s="92"/>
      <c r="C131" s="93"/>
      <c r="D131" s="92"/>
      <c r="L131" s="92"/>
      <c r="M131" s="93"/>
      <c r="N131" s="92"/>
    </row>
    <row r="132" spans="2:14">
      <c r="B132" s="92"/>
      <c r="C132" s="93"/>
      <c r="D132" s="92"/>
      <c r="L132" s="92"/>
      <c r="M132" s="92"/>
      <c r="N132" s="92"/>
    </row>
    <row r="133" spans="2:14">
      <c r="B133" s="92"/>
      <c r="C133" s="93"/>
      <c r="D133" s="92"/>
      <c r="L133" s="92"/>
      <c r="M133" s="92"/>
      <c r="N133" s="92"/>
    </row>
    <row r="134" spans="2:14">
      <c r="B134" s="92"/>
      <c r="C134" s="93"/>
      <c r="D134" s="92"/>
      <c r="L134" s="92"/>
      <c r="M134" s="93"/>
      <c r="N134" s="92"/>
    </row>
    <row r="135" spans="2:14">
      <c r="B135" s="92"/>
      <c r="C135" s="93"/>
      <c r="D135" s="92"/>
      <c r="L135" s="92"/>
      <c r="M135" s="92"/>
      <c r="N135" s="92"/>
    </row>
    <row r="136" spans="2:14">
      <c r="B136" s="92"/>
      <c r="C136" s="93"/>
      <c r="D136" s="92"/>
      <c r="L136" s="92"/>
      <c r="M136" s="92"/>
      <c r="N136" s="92"/>
    </row>
    <row r="137" spans="2:14">
      <c r="B137" s="92"/>
      <c r="C137" s="93"/>
      <c r="D137" s="92"/>
      <c r="L137" s="92"/>
      <c r="M137" s="92"/>
      <c r="N137" s="92"/>
    </row>
    <row r="138" spans="2:14">
      <c r="B138" s="92"/>
      <c r="C138" s="93"/>
      <c r="D138" s="92"/>
      <c r="L138" s="92"/>
      <c r="M138" s="92"/>
      <c r="N138" s="92"/>
    </row>
    <row r="139" spans="2:14">
      <c r="B139" s="92"/>
      <c r="C139" s="93"/>
      <c r="D139" s="92"/>
      <c r="L139" s="92"/>
      <c r="M139" s="93"/>
      <c r="N139" s="92"/>
    </row>
    <row r="140" spans="2:14">
      <c r="B140" s="92"/>
      <c r="C140" s="93"/>
      <c r="D140" s="92"/>
      <c r="L140" s="92"/>
      <c r="M140" s="92"/>
      <c r="N140" s="92"/>
    </row>
    <row r="141" spans="2:14">
      <c r="B141" s="92"/>
      <c r="C141" s="93"/>
      <c r="D141" s="92"/>
      <c r="L141" s="92"/>
      <c r="M141" s="92"/>
      <c r="N141" s="92"/>
    </row>
    <row r="142" spans="2:14">
      <c r="B142" s="92"/>
      <c r="C142" s="93"/>
      <c r="D142" s="92"/>
      <c r="L142" s="92"/>
      <c r="M142" s="92"/>
      <c r="N142" s="92"/>
    </row>
    <row r="143" spans="2:14">
      <c r="B143" s="92"/>
      <c r="C143" s="93"/>
      <c r="D143" s="92"/>
      <c r="L143" s="92"/>
      <c r="M143" s="92"/>
      <c r="N143" s="92"/>
    </row>
    <row r="144" spans="2:14">
      <c r="B144" s="92"/>
      <c r="C144" s="93"/>
      <c r="D144" s="92"/>
      <c r="L144" s="92"/>
      <c r="M144" s="92"/>
      <c r="N144" s="92"/>
    </row>
    <row r="145" spans="2:14">
      <c r="B145" s="92"/>
      <c r="C145" s="93"/>
      <c r="D145" s="92"/>
      <c r="L145" s="92"/>
      <c r="M145" s="92"/>
      <c r="N145" s="92"/>
    </row>
    <row r="146" spans="2:14">
      <c r="B146" s="92"/>
      <c r="C146" s="93"/>
      <c r="D146" s="92"/>
      <c r="L146" s="92"/>
      <c r="M146" s="93"/>
      <c r="N146" s="92"/>
    </row>
    <row r="147" spans="2:14">
      <c r="B147" s="92"/>
      <c r="C147" s="93"/>
      <c r="D147" s="92"/>
      <c r="L147" s="92"/>
      <c r="M147" s="92"/>
      <c r="N147" s="92"/>
    </row>
    <row r="148" spans="2:14">
      <c r="B148" s="92"/>
      <c r="C148" s="93"/>
      <c r="D148" s="92"/>
      <c r="L148" s="92"/>
      <c r="M148" s="92"/>
      <c r="N148" s="92"/>
    </row>
    <row r="149" spans="2:14">
      <c r="B149" s="92"/>
      <c r="C149" s="93"/>
      <c r="D149" s="92"/>
      <c r="L149" s="92"/>
      <c r="M149" s="92"/>
      <c r="N149" s="92"/>
    </row>
    <row r="150" spans="2:14">
      <c r="B150" s="92"/>
      <c r="C150" s="93"/>
      <c r="D150" s="92"/>
      <c r="L150" s="92"/>
      <c r="M150" s="92"/>
      <c r="N150" s="92"/>
    </row>
    <row r="151" spans="2:14">
      <c r="B151" s="92"/>
      <c r="C151" s="93"/>
      <c r="D151" s="92"/>
      <c r="L151" s="92"/>
      <c r="M151" s="92"/>
      <c r="N151" s="92"/>
    </row>
    <row r="152" spans="2:14">
      <c r="B152" s="92"/>
      <c r="C152" s="93"/>
      <c r="D152" s="92"/>
      <c r="L152" s="92"/>
      <c r="M152" s="92"/>
      <c r="N152" s="92"/>
    </row>
    <row r="153" spans="2:14">
      <c r="B153" s="92"/>
      <c r="C153" s="93"/>
      <c r="D153" s="92"/>
      <c r="L153" s="92"/>
      <c r="M153" s="92"/>
      <c r="N153" s="92"/>
    </row>
    <row r="154" spans="2:14">
      <c r="B154" s="92"/>
      <c r="C154" s="93"/>
      <c r="D154" s="92"/>
      <c r="L154" s="92"/>
      <c r="M154" s="93"/>
      <c r="N154" s="92"/>
    </row>
    <row r="155" spans="2:14">
      <c r="B155" s="92"/>
      <c r="C155" s="93"/>
      <c r="D155" s="92"/>
      <c r="L155" s="92"/>
      <c r="M155" s="92"/>
      <c r="N155" s="92"/>
    </row>
    <row r="156" spans="2:14">
      <c r="B156" s="92"/>
      <c r="C156" s="93"/>
      <c r="D156" s="92"/>
      <c r="L156" s="92"/>
      <c r="M156" s="92"/>
      <c r="N156" s="92"/>
    </row>
    <row r="157" spans="2:14">
      <c r="B157" s="92"/>
      <c r="C157" s="93"/>
      <c r="D157" s="92"/>
      <c r="L157" s="92"/>
      <c r="M157" s="92"/>
      <c r="N157" s="92"/>
    </row>
    <row r="158" spans="2:14">
      <c r="B158" s="92"/>
      <c r="C158" s="93"/>
      <c r="D158" s="92"/>
      <c r="L158" s="92"/>
      <c r="M158" s="93"/>
      <c r="N158" s="92"/>
    </row>
    <row r="159" spans="2:14">
      <c r="B159" s="30"/>
      <c r="C159" s="30"/>
      <c r="D159" s="30"/>
      <c r="L159" s="92"/>
      <c r="M159" s="93"/>
      <c r="N159" s="92"/>
    </row>
    <row r="160" spans="2:14">
      <c r="L160" s="92"/>
      <c r="M160" s="92"/>
      <c r="N160" s="92"/>
    </row>
    <row r="161" spans="12:14">
      <c r="L161" s="92"/>
      <c r="M161" s="92"/>
      <c r="N161" s="92"/>
    </row>
    <row r="162" spans="12:14">
      <c r="L162" s="92"/>
      <c r="M162" s="92"/>
      <c r="N162" s="92"/>
    </row>
    <row r="163" spans="12:14">
      <c r="L163" s="92"/>
      <c r="M163" s="92"/>
      <c r="N163" s="92"/>
    </row>
    <row r="164" spans="12:14">
      <c r="L164" s="92"/>
      <c r="M164" s="92"/>
      <c r="N164" s="92"/>
    </row>
    <row r="165" spans="12:14">
      <c r="L165" s="92"/>
      <c r="M165" s="93"/>
      <c r="N165" s="92"/>
    </row>
    <row r="166" spans="12:14">
      <c r="L166" s="92"/>
      <c r="M166" s="92"/>
      <c r="N166" s="92"/>
    </row>
    <row r="167" spans="12:14">
      <c r="L167" s="92"/>
      <c r="M167" s="93"/>
      <c r="N167" s="92"/>
    </row>
    <row r="168" spans="12:14">
      <c r="L168" s="92"/>
      <c r="M168" s="92"/>
      <c r="N168" s="92"/>
    </row>
    <row r="169" spans="12:14">
      <c r="L169" s="92"/>
      <c r="M169" s="92"/>
      <c r="N169" s="92"/>
    </row>
    <row r="170" spans="12:14">
      <c r="L170" s="92"/>
      <c r="M170" s="92"/>
      <c r="N170" s="92"/>
    </row>
    <row r="171" spans="12:14">
      <c r="L171" s="92"/>
      <c r="M171" s="92"/>
      <c r="N171" s="92"/>
    </row>
    <row r="172" spans="12:14">
      <c r="L172" s="92"/>
      <c r="M172" s="92"/>
      <c r="N172" s="92"/>
    </row>
    <row r="173" spans="12:14">
      <c r="L173" s="92"/>
      <c r="M173" s="92"/>
      <c r="N173" s="92"/>
    </row>
    <row r="174" spans="12:14">
      <c r="L174" s="92"/>
      <c r="M174" s="92"/>
      <c r="N174" s="92"/>
    </row>
    <row r="175" spans="12:14">
      <c r="L175" s="92"/>
      <c r="M175" s="92"/>
      <c r="N175" s="92"/>
    </row>
    <row r="176" spans="12:14">
      <c r="L176" s="92"/>
      <c r="M176" s="93"/>
      <c r="N176" s="92"/>
    </row>
    <row r="177" spans="12:14">
      <c r="L177" s="92"/>
      <c r="M177" s="92"/>
      <c r="N177" s="92"/>
    </row>
    <row r="178" spans="12:14">
      <c r="L178" s="92"/>
      <c r="M178" s="92"/>
      <c r="N178" s="92"/>
    </row>
    <row r="179" spans="12:14">
      <c r="L179" s="92"/>
      <c r="M179" s="92"/>
      <c r="N179" s="92"/>
    </row>
    <row r="180" spans="12:14">
      <c r="L180" s="92"/>
      <c r="M180" s="92"/>
      <c r="N180" s="92"/>
    </row>
    <row r="181" spans="12:14">
      <c r="L181" s="92"/>
      <c r="M181" s="92"/>
      <c r="N181" s="92"/>
    </row>
    <row r="182" spans="12:14">
      <c r="L182" s="92"/>
      <c r="M182" s="92"/>
      <c r="N182" s="92"/>
    </row>
    <row r="183" spans="12:14">
      <c r="L183" s="92"/>
      <c r="M183" s="92"/>
      <c r="N183" s="92"/>
    </row>
    <row r="184" spans="12:14">
      <c r="L184" s="92"/>
      <c r="M184" s="92"/>
      <c r="N184" s="92"/>
    </row>
    <row r="185" spans="12:14">
      <c r="L185" s="92"/>
      <c r="M185" s="92"/>
      <c r="N185" s="92"/>
    </row>
    <row r="186" spans="12:14">
      <c r="L186" s="92"/>
      <c r="M186" s="92"/>
      <c r="N186" s="92"/>
    </row>
    <row r="187" spans="12:14">
      <c r="L187" s="92"/>
      <c r="M187" s="92"/>
      <c r="N187" s="92"/>
    </row>
    <row r="188" spans="12:14">
      <c r="L188" s="92"/>
      <c r="M188" s="92"/>
      <c r="N188" s="92"/>
    </row>
    <row r="189" spans="12:14">
      <c r="L189" s="92"/>
      <c r="M189" s="92"/>
      <c r="N189" s="92"/>
    </row>
    <row r="190" spans="12:14">
      <c r="L190" s="92"/>
      <c r="M190" s="92"/>
      <c r="N190" s="92"/>
    </row>
    <row r="191" spans="12:14">
      <c r="L191" s="92"/>
      <c r="M191" s="93"/>
      <c r="N191" s="92"/>
    </row>
    <row r="192" spans="12:14">
      <c r="L192" s="92"/>
      <c r="M192" s="93"/>
      <c r="N192" s="92"/>
    </row>
    <row r="193" spans="12:14">
      <c r="L193" s="92"/>
      <c r="M193" s="93"/>
      <c r="N193" s="92"/>
    </row>
    <row r="194" spans="12:14">
      <c r="L194" s="92"/>
      <c r="M194" s="93"/>
      <c r="N194" s="92"/>
    </row>
    <row r="195" spans="12:14">
      <c r="L195" s="92"/>
      <c r="M195" s="92"/>
      <c r="N195" s="92"/>
    </row>
    <row r="196" spans="12:14">
      <c r="L196" s="92"/>
      <c r="M196" s="93"/>
      <c r="N196" s="92"/>
    </row>
    <row r="197" spans="12:14">
      <c r="L197" s="92"/>
      <c r="M197" s="92"/>
      <c r="N197" s="92"/>
    </row>
    <row r="198" spans="12:14">
      <c r="L198" s="92"/>
      <c r="M198" s="92"/>
      <c r="N198" s="92"/>
    </row>
    <row r="199" spans="12:14">
      <c r="L199" s="92"/>
      <c r="M199" s="92"/>
      <c r="N199" s="92"/>
    </row>
    <row r="200" spans="12:14">
      <c r="L200" s="92"/>
      <c r="M200" s="92"/>
      <c r="N200" s="92"/>
    </row>
    <row r="201" spans="12:14">
      <c r="L201" s="92"/>
      <c r="M201" s="92"/>
      <c r="N201" s="92"/>
    </row>
  </sheetData>
  <hyperlinks>
    <hyperlink ref="D2" r:id="rId1" tooltip="Persistent link using digital object identifier" xr:uid="{00000000-0004-0000-1000-000000000000}"/>
  </hyperlinks>
  <pageMargins left="0.7" right="0.7" top="0.75" bottom="0.75" header="0.3" footer="0.3"/>
  <pageSetup paperSize="9"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0E3FD64CA06BB845865CD9E87FADFEF6" ma:contentTypeVersion="2" ma:contentTypeDescription="Opprett et nytt dokument." ma:contentTypeScope="" ma:versionID="b4c9d469104b9a04469e9d3657b22a63">
  <xsd:schema xmlns:xsd="http://www.w3.org/2001/XMLSchema" xmlns:xs="http://www.w3.org/2001/XMLSchema" xmlns:p="http://schemas.microsoft.com/office/2006/metadata/properties" xmlns:ns2="0fadc4ee-c4d5-48c2-830b-209e5825c010" targetNamespace="http://schemas.microsoft.com/office/2006/metadata/properties" ma:root="true" ma:fieldsID="6d7e9970252a611f9d1bb4b39bf7de9c" ns2:_="">
    <xsd:import namespace="0fadc4ee-c4d5-48c2-830b-209e5825c010"/>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adc4ee-c4d5-48c2-830b-209e5825c01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143AC4D-D6FD-4700-8850-AE86F41C8079}">
  <ds:schemaRefs>
    <ds:schemaRef ds:uri="http://schemas.microsoft.com/sharepoint/v3/contenttype/forms"/>
  </ds:schemaRefs>
</ds:datastoreItem>
</file>

<file path=customXml/itemProps2.xml><?xml version="1.0" encoding="utf-8"?>
<ds:datastoreItem xmlns:ds="http://schemas.openxmlformats.org/officeDocument/2006/customXml" ds:itemID="{58E0EC85-643B-45E2-B314-C482ABB137E6}">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28E9511B-697A-4946-BF74-D4D73374CA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adc4ee-c4d5-48c2-830b-209e5825c01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Cover</vt:lpstr>
      <vt:lpstr>LCA results</vt:lpstr>
      <vt:lpstr>background</vt:lpstr>
      <vt:lpstr>template</vt:lpstr>
      <vt:lpstr>Summary</vt:lpstr>
      <vt:lpstr>Copper</vt:lpstr>
      <vt:lpstr>Cement</vt:lpstr>
      <vt:lpstr>Aggregates</vt:lpstr>
      <vt:lpstr>Steel</vt:lpstr>
      <vt:lpstr>Cast iron</vt:lpstr>
      <vt:lpstr>Stainless steel</vt:lpstr>
      <vt:lpstr>Aluminium</vt:lpstr>
      <vt:lpstr>Wood</vt:lpstr>
      <vt:lpstr>Zinc</vt:lpstr>
      <vt:lpstr>Plastics</vt:lpstr>
      <vt:lpstr>Glass</vt:lpstr>
      <vt:lpstr>Insulation</vt:lpstr>
      <vt:lpstr>Paper and cardboard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2015-06-05T18:17:20Z</dcterms:created>
  <dcterms:modified xsi:type="dcterms:W3CDTF">2022-12-19T17:40:20Z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0x0101000E3FD64CA06BB845865CD9E87FADFEF6</vt:lpwstr>
  </property>
</Properties>
</file>