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320" windowHeight="9540" tabRatio="870" activeTab="3"/>
  </bookViews>
  <sheets>
    <sheet name="年度生产成本分析表格" sheetId="1" r:id="rId1"/>
    <sheet name="成产成本趋势分析" sheetId="3" r:id="rId2"/>
    <sheet name="GROWTH函数预测成本" sheetId="4" r:id="rId3"/>
    <sheet name="因素分析法预测成本" sheetId="6" r:id="rId4"/>
  </sheets>
  <calcPr calcId="144525"/>
</workbook>
</file>

<file path=xl/calcChain.xml><?xml version="1.0" encoding="utf-8"?>
<calcChain xmlns="http://schemas.openxmlformats.org/spreadsheetml/2006/main">
  <c r="F13" i="6" l="1"/>
  <c r="F11" i="6"/>
  <c r="F9" i="6"/>
  <c r="F7" i="6"/>
  <c r="F6" i="6"/>
  <c r="F5" i="6"/>
  <c r="F4" i="6"/>
  <c r="F9" i="4" l="1" a="1"/>
  <c r="F9" i="4" s="1"/>
  <c r="F5" i="4"/>
  <c r="F11" i="4" l="1"/>
  <c r="F10" i="4"/>
  <c r="P15" i="1"/>
  <c r="P14" i="1"/>
  <c r="P8" i="1"/>
  <c r="P7" i="1"/>
  <c r="P6" i="1"/>
  <c r="O9" i="1"/>
  <c r="O8" i="1"/>
  <c r="O7" i="1"/>
  <c r="O6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M16" i="1"/>
  <c r="B17" i="1"/>
  <c r="C17" i="1"/>
  <c r="D17" i="1"/>
  <c r="E17" i="1"/>
  <c r="F17" i="1"/>
  <c r="G17" i="1"/>
  <c r="H17" i="1"/>
  <c r="I17" i="1"/>
  <c r="J17" i="1"/>
  <c r="K17" i="1"/>
  <c r="L17" i="1"/>
  <c r="M17" i="1"/>
  <c r="B18" i="1"/>
  <c r="C18" i="1"/>
  <c r="D18" i="1"/>
  <c r="E18" i="1"/>
  <c r="F18" i="1"/>
  <c r="G18" i="1"/>
  <c r="H18" i="1"/>
  <c r="I18" i="1"/>
  <c r="J18" i="1"/>
  <c r="K18" i="1"/>
  <c r="L18" i="1"/>
  <c r="M18" i="1"/>
  <c r="C14" i="1"/>
  <c r="D14" i="1"/>
  <c r="E14" i="1"/>
  <c r="F14" i="1"/>
  <c r="G14" i="1"/>
  <c r="H14" i="1"/>
  <c r="I14" i="1"/>
  <c r="J14" i="1"/>
  <c r="K14" i="1"/>
  <c r="L14" i="1"/>
  <c r="M14" i="1"/>
  <c r="B14" i="1"/>
  <c r="D4" i="1"/>
  <c r="D13" i="1" s="1"/>
  <c r="E4" i="1" s="1"/>
  <c r="E13" i="1" s="1"/>
  <c r="F4" i="1" s="1"/>
  <c r="F13" i="1" s="1"/>
  <c r="G4" i="1" s="1"/>
  <c r="G13" i="1" s="1"/>
  <c r="H4" i="1" s="1"/>
  <c r="H13" i="1" s="1"/>
  <c r="I4" i="1" s="1"/>
  <c r="I13" i="1" s="1"/>
  <c r="J4" i="1" s="1"/>
  <c r="J13" i="1" s="1"/>
  <c r="K4" i="1" s="1"/>
  <c r="K13" i="1" s="1"/>
  <c r="L4" i="1" s="1"/>
  <c r="L13" i="1" s="1"/>
  <c r="M4" i="1" s="1"/>
  <c r="M13" i="1" s="1"/>
  <c r="C4" i="1"/>
  <c r="C13" i="1" s="1"/>
  <c r="B13" i="1"/>
  <c r="C12" i="1"/>
  <c r="D12" i="1"/>
  <c r="E12" i="1"/>
  <c r="F12" i="1"/>
  <c r="G12" i="1"/>
  <c r="H12" i="1"/>
  <c r="I12" i="1"/>
  <c r="J12" i="1"/>
  <c r="K12" i="1"/>
  <c r="L12" i="1"/>
  <c r="M12" i="1"/>
  <c r="B12" i="1"/>
  <c r="C9" i="1"/>
  <c r="D9" i="1"/>
  <c r="E9" i="1"/>
  <c r="F9" i="1"/>
  <c r="G9" i="1"/>
  <c r="H9" i="1"/>
  <c r="I9" i="1"/>
  <c r="J9" i="1"/>
  <c r="K9" i="1"/>
  <c r="L9" i="1"/>
  <c r="M9" i="1"/>
  <c r="B9" i="1"/>
  <c r="O5" i="1" l="1"/>
  <c r="P5" i="1" l="1"/>
</calcChain>
</file>

<file path=xl/sharedStrings.xml><?xml version="1.0" encoding="utf-8"?>
<sst xmlns="http://schemas.openxmlformats.org/spreadsheetml/2006/main" count="75" uniqueCount="71">
  <si>
    <t>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</si>
  <si>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</si>
  <si>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</si>
  <si>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</si>
  <si>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</si>
  <si>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</si>
  <si>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</si>
  <si>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</si>
  <si>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</si>
  <si>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</si>
  <si>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</si>
  <si>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</si>
  <si>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</si>
  <si>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</si>
  <si>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期初数</t>
  </si>
  <si>
    <t>直接材料</t>
  </si>
  <si>
    <t>直接人工</t>
  </si>
  <si>
    <t>制造费用</t>
  </si>
  <si>
    <t>本期转出</t>
  </si>
  <si>
    <t>转出数量</t>
  </si>
  <si>
    <t>单位成本</t>
  </si>
  <si>
    <t>期末数</t>
  </si>
  <si>
    <t>直接材料比重</t>
  </si>
  <si>
    <t>直接人工比重</t>
  </si>
  <si>
    <t>制造费用比重</t>
  </si>
  <si>
    <t>其他</t>
    <phoneticPr fontId="2" type="noConversion"/>
  </si>
  <si>
    <t>结构</t>
  </si>
  <si>
    <t>排序</t>
  </si>
  <si>
    <t>平均数：</t>
  </si>
  <si>
    <t>标准差：</t>
  </si>
  <si>
    <t>审查人员：</t>
    <phoneticPr fontId="2" type="noConversion"/>
  </si>
  <si>
    <t>其他</t>
    <phoneticPr fontId="2" type="noConversion"/>
  </si>
  <si>
    <t>统计人员：</t>
    <phoneticPr fontId="2" type="noConversion"/>
  </si>
  <si>
    <t>日期：</t>
  </si>
  <si>
    <t>单位：元</t>
    <phoneticPr fontId="2" type="noConversion"/>
  </si>
  <si>
    <t>单位名称：蓝天科技有限公司</t>
    <phoneticPr fontId="2" type="noConversion"/>
  </si>
  <si>
    <t>王荣</t>
    <phoneticPr fontId="2" type="noConversion"/>
  </si>
  <si>
    <t>葛丽</t>
    <phoneticPr fontId="2" type="noConversion"/>
  </si>
  <si>
    <t>年度生产成本分析表</t>
    <phoneticPr fontId="2" type="noConversion"/>
  </si>
  <si>
    <t>GROWTH函数预测成本</t>
    <phoneticPr fontId="2" type="noConversion"/>
  </si>
  <si>
    <t>历史成本额</t>
    <phoneticPr fontId="2" type="noConversion"/>
  </si>
  <si>
    <t>月份</t>
    <phoneticPr fontId="2" type="noConversion"/>
  </si>
  <si>
    <t>成本额</t>
    <phoneticPr fontId="2" type="noConversion"/>
  </si>
  <si>
    <t>1、预测下期成本</t>
    <phoneticPr fontId="2" type="noConversion"/>
  </si>
  <si>
    <t>2、预测多期成本</t>
    <phoneticPr fontId="2" type="noConversion"/>
  </si>
  <si>
    <t>月份</t>
    <phoneticPr fontId="2" type="noConversion"/>
  </si>
  <si>
    <t>成本额</t>
    <phoneticPr fontId="2" type="noConversion"/>
  </si>
  <si>
    <t>因 素 分 析 法 预 测 成 本</t>
    <phoneticPr fontId="2" type="noConversion"/>
  </si>
  <si>
    <t>历史成本数据</t>
    <phoneticPr fontId="2" type="noConversion"/>
  </si>
  <si>
    <t>预测成本额</t>
    <phoneticPr fontId="2" type="noConversion"/>
  </si>
  <si>
    <t>产品单位成本</t>
    <phoneticPr fontId="22" type="noConversion"/>
  </si>
  <si>
    <t>成本项目</t>
    <phoneticPr fontId="22" type="noConversion"/>
  </si>
  <si>
    <t>成本降低率</t>
    <phoneticPr fontId="22" type="noConversion"/>
  </si>
  <si>
    <t>直接材料占总制造成本的百分比</t>
    <phoneticPr fontId="22" type="noConversion"/>
  </si>
  <si>
    <t>直接材料</t>
    <phoneticPr fontId="22" type="noConversion"/>
  </si>
  <si>
    <t>直接人工占总制造成本的百分比</t>
    <phoneticPr fontId="22" type="noConversion"/>
  </si>
  <si>
    <t>直接人工</t>
    <phoneticPr fontId="22" type="noConversion"/>
  </si>
  <si>
    <t>制造费用占总制造成本的百分比</t>
    <phoneticPr fontId="22" type="noConversion"/>
  </si>
  <si>
    <t>制造费用</t>
    <phoneticPr fontId="22" type="noConversion"/>
  </si>
  <si>
    <t>产品成本总降低率</t>
    <phoneticPr fontId="22" type="noConversion"/>
  </si>
  <si>
    <t>预测影响成本各因素变动值</t>
    <phoneticPr fontId="2" type="noConversion"/>
  </si>
  <si>
    <t>产品产量</t>
    <phoneticPr fontId="22" type="noConversion"/>
  </si>
  <si>
    <t>预测产量按上年单位成本计算的总成本</t>
    <phoneticPr fontId="22" type="noConversion"/>
  </si>
  <si>
    <t>产量增长</t>
    <phoneticPr fontId="22" type="noConversion"/>
  </si>
  <si>
    <t>劳动生产率提高</t>
    <phoneticPr fontId="22" type="noConversion"/>
  </si>
  <si>
    <t>生产工人平均工资增长</t>
    <phoneticPr fontId="22" type="noConversion"/>
  </si>
  <si>
    <t>原材料消耗定额降低</t>
    <phoneticPr fontId="22" type="noConversion"/>
  </si>
  <si>
    <t>预测总成本</t>
    <phoneticPr fontId="22" type="noConversion"/>
  </si>
  <si>
    <t>原材料价格上升</t>
    <phoneticPr fontId="22" type="noConversion"/>
  </si>
  <si>
    <t>制造费用增加</t>
    <phoneticPr fontId="22" type="noConversion"/>
  </si>
  <si>
    <t>产品成本总降低额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</si>
</sst>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);[Red]\(0.00\)"/>
  </numFmts>
  <fonts count="32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华文中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6"/>
      <color theme="0"/>
      <name val="汉仪中黑简"/>
      <family val="3"/>
      <charset val="134"/>
    </font>
    <font>
      <sz val="11"/>
      <color rgb="FF002060"/>
      <name val="宋体"/>
      <family val="2"/>
      <charset val="134"/>
      <scheme val="minor"/>
    </font>
    <font>
      <b/>
      <sz val="11"/>
      <color rgb="FF002060"/>
      <name val="方正细珊瑚简体"/>
      <family val="4"/>
      <charset val="134"/>
    </font>
    <font>
      <sz val="11"/>
      <color rgb="FF002060"/>
      <name val="方正细珊瑚简体"/>
      <family val="4"/>
      <charset val="134"/>
    </font>
    <font>
      <sz val="11"/>
      <color rgb="FF002060"/>
      <name val="方正大黑简体"/>
      <family val="3"/>
      <charset val="134"/>
    </font>
    <font>
      <sz val="11"/>
      <color rgb="FF002060"/>
      <name val="Gungsuh"/>
      <family val="1"/>
      <charset val="129"/>
    </font>
    <font>
      <b/>
      <sz val="11"/>
      <color rgb="FF002060"/>
      <name val="Gungsuh"/>
      <family val="1"/>
      <charset val="129"/>
    </font>
    <font>
      <u val="singleAccounting"/>
      <sz val="18"/>
      <name val="汉仪粗宋简"/>
      <family val="3"/>
      <charset val="134"/>
    </font>
    <font>
      <u val="singleAccounting"/>
      <sz val="17"/>
      <color rgb="FF008000"/>
      <name val="汉仪粗宋简"/>
      <family val="3"/>
      <charset val="134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sz val="10"/>
      <name val="方正大黑简体"/>
      <family val="3"/>
      <charset val="134"/>
    </font>
    <font>
      <sz val="11"/>
      <color theme="1"/>
      <name val="Times New Roman"/>
      <family val="1"/>
    </font>
    <font>
      <sz val="10"/>
      <color theme="1"/>
      <name val="宋体"/>
      <family val="2"/>
      <charset val="134"/>
      <scheme val="minor"/>
    </font>
    <font>
      <sz val="11"/>
      <color theme="0"/>
      <name val="汉仪中黑简"/>
      <family val="3"/>
      <charset val="134"/>
    </font>
    <font>
      <sz val="10"/>
      <color theme="0"/>
      <name val="方正准圆简体"/>
      <family val="3"/>
      <charset val="134"/>
    </font>
    <font>
      <sz val="10.5"/>
      <color theme="0"/>
      <name val="方正准圆简体"/>
      <family val="3"/>
      <charset val="134"/>
    </font>
    <font>
      <sz val="11"/>
      <color theme="0"/>
      <name val="方正准圆简体"/>
      <family val="3"/>
      <charset val="134"/>
    </font>
    <font>
      <sz val="12"/>
      <name val="方正大黑简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/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4" fillId="4" borderId="5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4" fillId="4" borderId="14" xfId="0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5" borderId="11" xfId="0" applyNumberFormat="1" applyFill="1" applyBorder="1">
      <alignment vertical="center"/>
    </xf>
    <xf numFmtId="176" fontId="0" fillId="5" borderId="13" xfId="0" applyNumberFormat="1" applyFill="1" applyBorder="1">
      <alignment vertical="center"/>
    </xf>
    <xf numFmtId="0" fontId="9" fillId="0" borderId="15" xfId="2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9" fillId="0" borderId="15" xfId="2" applyFont="1" applyFill="1" applyBorder="1" applyAlignment="1">
      <alignment vertical="center"/>
    </xf>
    <xf numFmtId="0" fontId="9" fillId="0" borderId="15" xfId="2" applyFont="1" applyFill="1" applyBorder="1" applyAlignment="1">
      <alignment horizontal="left" vertical="center"/>
    </xf>
    <xf numFmtId="14" fontId="9" fillId="0" borderId="15" xfId="2" applyNumberFormat="1" applyFont="1" applyFill="1" applyBorder="1" applyAlignment="1">
      <alignment horizontal="left" vertical="center"/>
    </xf>
    <xf numFmtId="0" fontId="3" fillId="6" borderId="2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8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176" fontId="5" fillId="6" borderId="1" xfId="1" applyNumberFormat="1" applyFont="1" applyFill="1" applyBorder="1" applyAlignment="1">
      <alignment horizontal="center" vertical="center"/>
    </xf>
    <xf numFmtId="0" fontId="3" fillId="6" borderId="7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top"/>
    </xf>
    <xf numFmtId="0" fontId="21" fillId="0" borderId="22" xfId="0" applyFont="1" applyFill="1" applyBorder="1" applyAlignment="1">
      <alignment vertical="top"/>
    </xf>
    <xf numFmtId="0" fontId="21" fillId="0" borderId="23" xfId="0" applyFont="1" applyFill="1" applyBorder="1" applyAlignment="1">
      <alignment vertical="top"/>
    </xf>
    <xf numFmtId="0" fontId="26" fillId="0" borderId="0" xfId="0" applyFont="1">
      <alignment vertical="center"/>
    </xf>
    <xf numFmtId="0" fontId="13" fillId="6" borderId="0" xfId="0" applyFont="1" applyFill="1" applyBorder="1" applyAlignment="1">
      <alignment horizontal="center" vertical="top"/>
    </xf>
    <xf numFmtId="0" fontId="27" fillId="6" borderId="21" xfId="0" applyFont="1" applyFill="1" applyBorder="1" applyAlignment="1">
      <alignment horizontal="center" vertical="center"/>
    </xf>
    <xf numFmtId="0" fontId="27" fillId="6" borderId="19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5" fillId="7" borderId="0" xfId="0" applyFont="1" applyFill="1">
      <alignment vertical="center"/>
    </xf>
    <xf numFmtId="0" fontId="16" fillId="7" borderId="0" xfId="0" applyFont="1" applyFill="1">
      <alignment vertical="center"/>
    </xf>
    <xf numFmtId="0" fontId="17" fillId="7" borderId="16" xfId="0" applyFont="1" applyFill="1" applyBorder="1" applyAlignment="1">
      <alignment horizontal="center" vertical="center"/>
    </xf>
    <xf numFmtId="0" fontId="17" fillId="7" borderId="17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7" borderId="19" xfId="0" applyFont="1" applyFill="1" applyBorder="1" applyAlignment="1">
      <alignment horizontal="center" vertical="center"/>
    </xf>
    <xf numFmtId="0" fontId="19" fillId="7" borderId="20" xfId="0" applyFont="1" applyFill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43" fontId="24" fillId="0" borderId="24" xfId="4" applyFont="1" applyFill="1" applyBorder="1" applyAlignment="1">
      <alignment horizontal="left" vertical="center"/>
    </xf>
    <xf numFmtId="0" fontId="23" fillId="0" borderId="24" xfId="0" applyFont="1" applyBorder="1" applyAlignment="1">
      <alignment horizontal="center" vertical="center"/>
    </xf>
    <xf numFmtId="176" fontId="23" fillId="0" borderId="24" xfId="5" applyNumberFormat="1" applyFont="1" applyBorder="1" applyAlignment="1">
      <alignment horizontal="center" vertical="center"/>
    </xf>
    <xf numFmtId="176" fontId="23" fillId="0" borderId="24" xfId="0" applyNumberFormat="1" applyFont="1" applyBorder="1" applyAlignment="1">
      <alignment horizontal="center" vertical="center"/>
    </xf>
    <xf numFmtId="43" fontId="28" fillId="6" borderId="24" xfId="4" applyFont="1" applyFill="1" applyBorder="1" applyAlignment="1">
      <alignment horizontal="left" vertical="center"/>
    </xf>
    <xf numFmtId="43" fontId="29" fillId="6" borderId="24" xfId="4" applyFont="1" applyFill="1" applyBorder="1" applyAlignment="1">
      <alignment horizontal="left" vertical="center" wrapText="1"/>
    </xf>
    <xf numFmtId="43" fontId="30" fillId="6" borderId="24" xfId="4" applyFont="1" applyFill="1" applyBorder="1" applyAlignment="1">
      <alignment horizontal="left" vertical="center"/>
    </xf>
    <xf numFmtId="0" fontId="31" fillId="0" borderId="0" xfId="0" applyFont="1" applyFill="1" applyBorder="1">
      <alignment vertical="center"/>
    </xf>
    <xf numFmtId="43" fontId="30" fillId="6" borderId="25" xfId="4" applyFont="1" applyFill="1" applyBorder="1" applyAlignment="1">
      <alignment horizontal="left" vertical="center" wrapText="1"/>
    </xf>
    <xf numFmtId="43" fontId="30" fillId="6" borderId="26" xfId="4" applyFont="1" applyFill="1" applyBorder="1" applyAlignment="1">
      <alignment horizontal="left" vertical="center" wrapText="1"/>
    </xf>
    <xf numFmtId="10" fontId="23" fillId="0" borderId="24" xfId="5" applyNumberFormat="1" applyFont="1" applyBorder="1" applyAlignment="1">
      <alignment horizontal="center" vertical="center"/>
    </xf>
    <xf numFmtId="10" fontId="23" fillId="0" borderId="24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6">
    <cellStyle name="百分比" xfId="5" builtinId="5"/>
    <cellStyle name="常规" xfId="0" builtinId="0"/>
    <cellStyle name="常规 2" xfId="3"/>
    <cellStyle name="千位分隔" xfId="4" builtinId="3"/>
    <cellStyle name="强调文字颜色 2" xfId="1" builtinId="33"/>
    <cellStyle name="强调文字颜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u="none" strike="noStrike" baseline="0">
                <a:effectLst/>
              </a:rPr>
              <a:t>生产成本趋势图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生产成本</c:v>
          </c:tx>
          <c:marker>
            <c:symbol val="none"/>
          </c:marker>
          <c:cat>
            <c:strRef>
              <c:f>年度生产成本分析表格!$B$3:$M$3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年度生产成本分析表格!$B$9:$M$9</c:f>
              <c:numCache>
                <c:formatCode>0.00_);[Red]\(0.00\)</c:formatCode>
                <c:ptCount val="12"/>
                <c:pt idx="0">
                  <c:v>758826.08</c:v>
                </c:pt>
                <c:pt idx="1">
                  <c:v>785561.41999999993</c:v>
                </c:pt>
                <c:pt idx="2">
                  <c:v>795526.76000000013</c:v>
                </c:pt>
                <c:pt idx="3">
                  <c:v>823812.41</c:v>
                </c:pt>
                <c:pt idx="4">
                  <c:v>765438</c:v>
                </c:pt>
                <c:pt idx="5">
                  <c:v>676769.8</c:v>
                </c:pt>
                <c:pt idx="6">
                  <c:v>642449.81000000006</c:v>
                </c:pt>
                <c:pt idx="7">
                  <c:v>818605.92</c:v>
                </c:pt>
                <c:pt idx="8">
                  <c:v>653359.81000000006</c:v>
                </c:pt>
                <c:pt idx="9">
                  <c:v>814404.20000000007</c:v>
                </c:pt>
                <c:pt idx="10">
                  <c:v>603514.02</c:v>
                </c:pt>
                <c:pt idx="11">
                  <c:v>823440.46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90624"/>
        <c:axId val="257708800"/>
      </c:lineChart>
      <c:catAx>
        <c:axId val="25769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7708800"/>
        <c:crosses val="autoZero"/>
        <c:auto val="1"/>
        <c:lblAlgn val="ctr"/>
        <c:lblOffset val="100"/>
        <c:noMultiLvlLbl val="0"/>
      </c:catAx>
      <c:valAx>
        <c:axId val="257708800"/>
        <c:scaling>
          <c:orientation val="minMax"/>
          <c:min val="500000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57690624"/>
        <c:crosses val="autoZero"/>
        <c:crossBetween val="between"/>
        <c:majorUnit val="50000"/>
      </c:valAx>
      <c:dTable>
        <c:showHorzBorder val="1"/>
        <c:showVertBorder val="1"/>
        <c:showOutline val="1"/>
        <c:showKeys val="0"/>
      </c:dTable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2</xdr:row>
      <xdr:rowOff>109536</xdr:rowOff>
    </xdr:from>
    <xdr:to>
      <xdr:col>10</xdr:col>
      <xdr:colOff>38100</xdr:colOff>
      <xdr:row>19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Normal="100" workbookViewId="0">
      <selection activeCell="M24" sqref="M24"/>
    </sheetView>
  </sheetViews>
  <sheetFormatPr defaultRowHeight="13.5"/>
  <cols>
    <col min="1" max="1" width="10" customWidth="1"/>
    <col min="2" max="2" width="8.25" customWidth="1"/>
    <col min="3" max="3" width="9.75" customWidth="1"/>
    <col min="4" max="4" width="8.25" customWidth="1"/>
    <col min="5" max="5" width="9.5" customWidth="1"/>
    <col min="6" max="6" width="8.25" customWidth="1"/>
    <col min="7" max="7" width="9.625" customWidth="1"/>
    <col min="8" max="8" width="8.5" customWidth="1"/>
    <col min="9" max="13" width="8.25" customWidth="1"/>
    <col min="14" max="14" width="8.875" customWidth="1"/>
    <col min="16" max="16" width="11.625" bestFit="1" customWidth="1"/>
  </cols>
  <sheetData>
    <row r="1" spans="1:16" ht="37.5" customHeight="1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6" ht="25.5" customHeight="1" thickBot="1">
      <c r="A2" s="20" t="s">
        <v>35</v>
      </c>
      <c r="B2" s="20"/>
      <c r="C2" s="20"/>
      <c r="D2" s="20"/>
      <c r="E2" s="20"/>
      <c r="F2" s="21" t="s">
        <v>32</v>
      </c>
      <c r="G2" s="21"/>
      <c r="H2" s="21" t="s">
        <v>36</v>
      </c>
      <c r="I2" s="21"/>
      <c r="J2" s="17" t="s">
        <v>30</v>
      </c>
      <c r="K2" s="22" t="s">
        <v>37</v>
      </c>
      <c r="L2" s="22"/>
      <c r="M2" s="17" t="s">
        <v>33</v>
      </c>
      <c r="N2" s="23">
        <v>41404</v>
      </c>
      <c r="O2" s="22"/>
      <c r="P2" s="18" t="s">
        <v>34</v>
      </c>
    </row>
    <row r="3" spans="1:16" ht="24" customHeight="1" thickBot="1">
      <c r="A3" s="24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5" t="s">
        <v>11</v>
      </c>
      <c r="M3" s="25" t="s">
        <v>12</v>
      </c>
      <c r="N3" s="26" t="s">
        <v>13</v>
      </c>
      <c r="O3" s="27" t="s">
        <v>26</v>
      </c>
      <c r="P3" s="28" t="s">
        <v>27</v>
      </c>
    </row>
    <row r="4" spans="1:16" ht="18" customHeight="1">
      <c r="A4" s="3" t="s">
        <v>14</v>
      </c>
      <c r="B4" s="4">
        <v>48000</v>
      </c>
      <c r="C4" s="4">
        <f>B13</f>
        <v>224826.07999999996</v>
      </c>
      <c r="D4" s="4">
        <f t="shared" ref="D4:M4" si="0">C13</f>
        <v>102387.49999999988</v>
      </c>
      <c r="E4" s="4">
        <f t="shared" si="0"/>
        <v>97914.260000000009</v>
      </c>
      <c r="F4" s="4">
        <f t="shared" si="0"/>
        <v>141726.67000000004</v>
      </c>
      <c r="G4" s="4">
        <f t="shared" si="0"/>
        <v>107164.67000000004</v>
      </c>
      <c r="H4" s="4">
        <f t="shared" si="0"/>
        <v>103934.47000000009</v>
      </c>
      <c r="I4" s="4">
        <f t="shared" si="0"/>
        <v>96384.280000000144</v>
      </c>
      <c r="J4" s="4">
        <f t="shared" si="0"/>
        <v>99990.200000000186</v>
      </c>
      <c r="K4" s="4">
        <f t="shared" si="0"/>
        <v>153350.01000000024</v>
      </c>
      <c r="L4" s="4">
        <f t="shared" si="0"/>
        <v>187754.21000000031</v>
      </c>
      <c r="M4" s="4">
        <f t="shared" si="0"/>
        <v>211268.23000000033</v>
      </c>
      <c r="N4" s="4"/>
      <c r="O4" s="10"/>
      <c r="P4" s="9"/>
    </row>
    <row r="5" spans="1:16" ht="18" customHeight="1">
      <c r="A5" s="3" t="s">
        <v>15</v>
      </c>
      <c r="B5" s="4">
        <v>605600.6</v>
      </c>
      <c r="C5" s="4">
        <v>631745.56999999995</v>
      </c>
      <c r="D5" s="4">
        <v>653730.28</v>
      </c>
      <c r="E5" s="4">
        <v>684560.76</v>
      </c>
      <c r="F5" s="4">
        <v>634560</v>
      </c>
      <c r="G5" s="4">
        <v>556210</v>
      </c>
      <c r="H5" s="4">
        <v>524560.76</v>
      </c>
      <c r="I5" s="4">
        <v>680000.5</v>
      </c>
      <c r="J5" s="4">
        <v>554560.76</v>
      </c>
      <c r="K5" s="4">
        <v>674560</v>
      </c>
      <c r="L5" s="4">
        <v>504565</v>
      </c>
      <c r="M5" s="4">
        <v>684560.5</v>
      </c>
      <c r="N5" s="5">
        <f>SUM(B5:M5)</f>
        <v>7389214.7299999995</v>
      </c>
      <c r="O5" s="13">
        <f>IF($N$9=0,"",N5/$N$9)</f>
        <v>0.82453190408267985</v>
      </c>
      <c r="P5" s="14">
        <f>IF(O5="","",RANK(O5,$O$5:$O$8))</f>
        <v>1</v>
      </c>
    </row>
    <row r="6" spans="1:16" ht="18" customHeight="1">
      <c r="A6" s="3" t="s">
        <v>16</v>
      </c>
      <c r="B6" s="4">
        <v>49126.400000000001</v>
      </c>
      <c r="C6" s="4">
        <v>54972.62</v>
      </c>
      <c r="D6" s="4">
        <v>52066.06</v>
      </c>
      <c r="E6" s="4">
        <v>52994.13</v>
      </c>
      <c r="F6" s="4">
        <v>52994</v>
      </c>
      <c r="G6" s="4">
        <v>49880.5</v>
      </c>
      <c r="H6" s="4">
        <v>48994.13</v>
      </c>
      <c r="I6" s="4">
        <v>52800.5</v>
      </c>
      <c r="J6" s="4">
        <v>42994.13</v>
      </c>
      <c r="K6" s="4">
        <v>53994</v>
      </c>
      <c r="L6" s="4">
        <v>42994.1</v>
      </c>
      <c r="M6" s="4">
        <v>52990.5</v>
      </c>
      <c r="N6" s="5">
        <f t="shared" ref="N6:N18" si="1">SUM(B6:M6)</f>
        <v>606801.07000000007</v>
      </c>
      <c r="O6" s="13">
        <f t="shared" ref="O6:O8" si="2">IF($N$9=0,"",N6/$N$9)</f>
        <v>6.7710421192010428E-2</v>
      </c>
      <c r="P6" s="14">
        <f t="shared" ref="P6:P8" si="3">IF(O6="","",RANK(O6,$O$5:$O$8))</f>
        <v>3</v>
      </c>
    </row>
    <row r="7" spans="1:16" ht="18" customHeight="1">
      <c r="A7" s="3" t="s">
        <v>17</v>
      </c>
      <c r="B7" s="4">
        <v>104086.5</v>
      </c>
      <c r="C7" s="4">
        <v>98573.23</v>
      </c>
      <c r="D7" s="4">
        <v>89370.42</v>
      </c>
      <c r="E7" s="4">
        <v>85804.92</v>
      </c>
      <c r="F7" s="4">
        <v>77804</v>
      </c>
      <c r="G7" s="4">
        <v>70600.800000000003</v>
      </c>
      <c r="H7" s="4">
        <v>68804.92</v>
      </c>
      <c r="I7" s="4">
        <v>85804.92</v>
      </c>
      <c r="J7" s="4">
        <v>55804.92</v>
      </c>
      <c r="K7" s="4">
        <v>85804.9</v>
      </c>
      <c r="L7" s="4">
        <v>55804.92</v>
      </c>
      <c r="M7" s="4">
        <v>85800.5</v>
      </c>
      <c r="N7" s="5">
        <f t="shared" si="1"/>
        <v>964064.95000000019</v>
      </c>
      <c r="O7" s="13">
        <f t="shared" si="2"/>
        <v>0.10757601963515732</v>
      </c>
      <c r="P7" s="14">
        <f t="shared" si="3"/>
        <v>2</v>
      </c>
    </row>
    <row r="8" spans="1:16" ht="18" customHeight="1">
      <c r="A8" s="3" t="s">
        <v>25</v>
      </c>
      <c r="B8" s="4">
        <v>12.58</v>
      </c>
      <c r="C8" s="4">
        <v>270</v>
      </c>
      <c r="D8" s="4">
        <v>360</v>
      </c>
      <c r="E8" s="4">
        <v>452.6</v>
      </c>
      <c r="F8" s="4">
        <v>80</v>
      </c>
      <c r="G8" s="4">
        <v>78.5</v>
      </c>
      <c r="H8" s="4">
        <v>90</v>
      </c>
      <c r="I8" s="4">
        <v>0</v>
      </c>
      <c r="J8" s="4">
        <v>0</v>
      </c>
      <c r="K8" s="4">
        <v>45.3</v>
      </c>
      <c r="L8" s="4">
        <v>150</v>
      </c>
      <c r="M8" s="4">
        <v>88.96</v>
      </c>
      <c r="N8" s="5">
        <f t="shared" si="1"/>
        <v>1627.9399999999998</v>
      </c>
      <c r="O8" s="13">
        <f t="shared" si="2"/>
        <v>1.8165509015223298E-4</v>
      </c>
      <c r="P8" s="14">
        <f t="shared" si="3"/>
        <v>4</v>
      </c>
    </row>
    <row r="9" spans="1:16" s="1" customFormat="1" ht="24.75" customHeight="1">
      <c r="A9" s="29" t="s">
        <v>13</v>
      </c>
      <c r="B9" s="30">
        <f>SUM(B5:B8)</f>
        <v>758826.08</v>
      </c>
      <c r="C9" s="30">
        <f t="shared" ref="C9:M9" si="4">SUM(C5:C8)</f>
        <v>785561.41999999993</v>
      </c>
      <c r="D9" s="30">
        <f t="shared" si="4"/>
        <v>795526.76000000013</v>
      </c>
      <c r="E9" s="30">
        <f t="shared" si="4"/>
        <v>823812.41</v>
      </c>
      <c r="F9" s="30">
        <f t="shared" si="4"/>
        <v>765438</v>
      </c>
      <c r="G9" s="30">
        <f t="shared" si="4"/>
        <v>676769.8</v>
      </c>
      <c r="H9" s="30">
        <f t="shared" si="4"/>
        <v>642449.81000000006</v>
      </c>
      <c r="I9" s="30">
        <f t="shared" si="4"/>
        <v>818605.92</v>
      </c>
      <c r="J9" s="30">
        <f t="shared" si="4"/>
        <v>653359.81000000006</v>
      </c>
      <c r="K9" s="30">
        <f t="shared" si="4"/>
        <v>814404.20000000007</v>
      </c>
      <c r="L9" s="30">
        <f t="shared" si="4"/>
        <v>603514.02</v>
      </c>
      <c r="M9" s="30">
        <f t="shared" si="4"/>
        <v>823440.46</v>
      </c>
      <c r="N9" s="5">
        <f t="shared" si="1"/>
        <v>8961708.6900000013</v>
      </c>
      <c r="O9" s="13">
        <f>IF($N$9=0,"",N9/$N$9)</f>
        <v>1</v>
      </c>
    </row>
    <row r="10" spans="1:16" ht="18" customHeight="1">
      <c r="A10" s="3" t="s">
        <v>18</v>
      </c>
      <c r="B10" s="6">
        <v>582000</v>
      </c>
      <c r="C10" s="6">
        <v>908000</v>
      </c>
      <c r="D10" s="6">
        <v>800000</v>
      </c>
      <c r="E10" s="6">
        <v>780000</v>
      </c>
      <c r="F10" s="6">
        <v>800000</v>
      </c>
      <c r="G10" s="6">
        <v>680000</v>
      </c>
      <c r="H10" s="6">
        <v>650000</v>
      </c>
      <c r="I10" s="6">
        <v>815000</v>
      </c>
      <c r="J10" s="6">
        <v>600000</v>
      </c>
      <c r="K10" s="6">
        <v>780000</v>
      </c>
      <c r="L10" s="6">
        <v>580000</v>
      </c>
      <c r="M10" s="6">
        <v>800000</v>
      </c>
      <c r="N10" s="5">
        <f t="shared" si="1"/>
        <v>8775000</v>
      </c>
    </row>
    <row r="11" spans="1:16" ht="20.25" customHeight="1">
      <c r="A11" s="3" t="s">
        <v>19</v>
      </c>
      <c r="B11" s="7">
        <v>78000</v>
      </c>
      <c r="C11" s="7">
        <v>100000</v>
      </c>
      <c r="D11" s="7">
        <v>94000</v>
      </c>
      <c r="E11" s="7">
        <v>95000</v>
      </c>
      <c r="F11" s="7">
        <v>100000</v>
      </c>
      <c r="G11" s="7">
        <v>84000</v>
      </c>
      <c r="H11" s="7">
        <v>80000</v>
      </c>
      <c r="I11" s="7">
        <v>100000</v>
      </c>
      <c r="J11" s="7">
        <v>76000</v>
      </c>
      <c r="K11" s="7">
        <v>94000</v>
      </c>
      <c r="L11" s="7">
        <v>70000</v>
      </c>
      <c r="M11" s="7">
        <v>96000</v>
      </c>
      <c r="N11" s="5">
        <f t="shared" si="1"/>
        <v>1067000</v>
      </c>
    </row>
    <row r="12" spans="1:16" ht="18" customHeight="1">
      <c r="A12" s="3" t="s">
        <v>20</v>
      </c>
      <c r="B12" s="6">
        <f>IF(B11=0,"",B10/B11)</f>
        <v>7.4615384615384617</v>
      </c>
      <c r="C12" s="6">
        <f t="shared" ref="C12:M12" si="5">IF(C11=0,"",C10/C11)</f>
        <v>9.08</v>
      </c>
      <c r="D12" s="6">
        <f t="shared" si="5"/>
        <v>8.5106382978723403</v>
      </c>
      <c r="E12" s="6">
        <f t="shared" si="5"/>
        <v>8.2105263157894743</v>
      </c>
      <c r="F12" s="6">
        <f t="shared" si="5"/>
        <v>8</v>
      </c>
      <c r="G12" s="6">
        <f t="shared" si="5"/>
        <v>8.0952380952380949</v>
      </c>
      <c r="H12" s="6">
        <f t="shared" si="5"/>
        <v>8.125</v>
      </c>
      <c r="I12" s="6">
        <f t="shared" si="5"/>
        <v>8.15</v>
      </c>
      <c r="J12" s="6">
        <f t="shared" si="5"/>
        <v>7.8947368421052628</v>
      </c>
      <c r="K12" s="6">
        <f t="shared" si="5"/>
        <v>8.2978723404255312</v>
      </c>
      <c r="L12" s="6">
        <f t="shared" si="5"/>
        <v>8.2857142857142865</v>
      </c>
      <c r="M12" s="6">
        <f t="shared" si="5"/>
        <v>8.3333333333333339</v>
      </c>
      <c r="N12" s="5">
        <f t="shared" si="1"/>
        <v>98.44459797201678</v>
      </c>
    </row>
    <row r="13" spans="1:16" ht="26.25" customHeight="1" thickBot="1">
      <c r="A13" s="29" t="s">
        <v>21</v>
      </c>
      <c r="B13" s="30">
        <f>B4+B9-B10</f>
        <v>224826.07999999996</v>
      </c>
      <c r="C13" s="30">
        <f t="shared" ref="C13:M13" si="6">C4+C9-C10</f>
        <v>102387.49999999988</v>
      </c>
      <c r="D13" s="30">
        <f t="shared" si="6"/>
        <v>97914.260000000009</v>
      </c>
      <c r="E13" s="30">
        <f t="shared" si="6"/>
        <v>141726.67000000004</v>
      </c>
      <c r="F13" s="30">
        <f t="shared" si="6"/>
        <v>107164.67000000004</v>
      </c>
      <c r="G13" s="30">
        <f t="shared" si="6"/>
        <v>103934.47000000009</v>
      </c>
      <c r="H13" s="30">
        <f t="shared" si="6"/>
        <v>96384.280000000144</v>
      </c>
      <c r="I13" s="30">
        <f t="shared" si="6"/>
        <v>99990.200000000186</v>
      </c>
      <c r="J13" s="30">
        <f t="shared" si="6"/>
        <v>153350.01000000024</v>
      </c>
      <c r="K13" s="30">
        <f t="shared" si="6"/>
        <v>187754.21000000031</v>
      </c>
      <c r="L13" s="30">
        <f t="shared" si="6"/>
        <v>211268.23000000033</v>
      </c>
      <c r="M13" s="30">
        <f t="shared" si="6"/>
        <v>234708.69000000029</v>
      </c>
      <c r="N13" s="5">
        <f t="shared" si="1"/>
        <v>1761409.2700000019</v>
      </c>
    </row>
    <row r="14" spans="1:16" ht="18" customHeight="1">
      <c r="A14" s="3" t="s">
        <v>22</v>
      </c>
      <c r="B14" s="8">
        <f>IF(B$9=0,"",B5/B$9)</f>
        <v>0.79807562755354955</v>
      </c>
      <c r="C14" s="8">
        <f t="shared" ref="C14:M14" si="7">IF(C$9=0,"",C5/C$9)</f>
        <v>0.80419627786710812</v>
      </c>
      <c r="D14" s="8">
        <f t="shared" si="7"/>
        <v>0.82175774954446523</v>
      </c>
      <c r="E14" s="8">
        <f t="shared" si="7"/>
        <v>0.83096679740476354</v>
      </c>
      <c r="F14" s="8">
        <f t="shared" si="7"/>
        <v>0.82901554404145072</v>
      </c>
      <c r="G14" s="8">
        <f t="shared" si="7"/>
        <v>0.82185995888114383</v>
      </c>
      <c r="H14" s="8">
        <f t="shared" si="7"/>
        <v>0.81650076291562756</v>
      </c>
      <c r="I14" s="8">
        <f t="shared" si="7"/>
        <v>0.83068114142150351</v>
      </c>
      <c r="J14" s="8">
        <f t="shared" si="7"/>
        <v>0.84878309242804506</v>
      </c>
      <c r="K14" s="8">
        <f t="shared" si="7"/>
        <v>0.82828649459322523</v>
      </c>
      <c r="L14" s="8">
        <f t="shared" si="7"/>
        <v>0.83604520073949562</v>
      </c>
      <c r="M14" s="8">
        <f t="shared" si="7"/>
        <v>0.83134183132074913</v>
      </c>
      <c r="N14" s="5">
        <f t="shared" si="1"/>
        <v>9.8975104787111263</v>
      </c>
      <c r="O14" s="10" t="s">
        <v>28</v>
      </c>
      <c r="P14" s="15">
        <f>IF(N9="","",N9/12)</f>
        <v>746809.05750000011</v>
      </c>
    </row>
    <row r="15" spans="1:16" ht="18" customHeight="1" thickBot="1">
      <c r="A15" s="3" t="s">
        <v>23</v>
      </c>
      <c r="B15" s="8">
        <f t="shared" ref="B15:M15" si="8">IF(B$9=0,"",B6/B$9)</f>
        <v>6.4739999447567753E-2</v>
      </c>
      <c r="C15" s="8">
        <f t="shared" si="8"/>
        <v>6.9978767541817422E-2</v>
      </c>
      <c r="D15" s="8">
        <f t="shared" si="8"/>
        <v>6.5448533748883556E-2</v>
      </c>
      <c r="E15" s="8">
        <f t="shared" si="8"/>
        <v>6.4327909311295756E-2</v>
      </c>
      <c r="F15" s="8">
        <f t="shared" si="8"/>
        <v>6.9233563005756185E-2</v>
      </c>
      <c r="G15" s="8">
        <f t="shared" si="8"/>
        <v>7.3703791156165654E-2</v>
      </c>
      <c r="H15" s="8">
        <f t="shared" si="8"/>
        <v>7.6261412545207213E-2</v>
      </c>
      <c r="I15" s="8">
        <f t="shared" si="8"/>
        <v>6.4500510819662765E-2</v>
      </c>
      <c r="J15" s="8">
        <f t="shared" si="8"/>
        <v>6.5804675068703716E-2</v>
      </c>
      <c r="K15" s="8">
        <f t="shared" si="8"/>
        <v>6.6298773999446461E-2</v>
      </c>
      <c r="L15" s="8">
        <f t="shared" si="8"/>
        <v>7.1239604342580143E-2</v>
      </c>
      <c r="M15" s="8">
        <f t="shared" si="8"/>
        <v>6.4352558046516198E-2</v>
      </c>
      <c r="N15" s="5">
        <f t="shared" si="1"/>
        <v>0.81589009903360277</v>
      </c>
      <c r="O15" s="11" t="s">
        <v>29</v>
      </c>
      <c r="P15" s="16">
        <f>SQRT(DEVSQ(B9:M9)/12)</f>
        <v>76895.474034995175</v>
      </c>
    </row>
    <row r="16" spans="1:16" ht="18" customHeight="1">
      <c r="A16" s="3" t="s">
        <v>24</v>
      </c>
      <c r="B16" s="8">
        <f t="shared" ref="B16:M16" si="9">IF(B$9=0,"",B7/B$9)</f>
        <v>0.13716779476003249</v>
      </c>
      <c r="C16" s="8">
        <f t="shared" si="9"/>
        <v>0.1254812513577869</v>
      </c>
      <c r="D16" s="8">
        <f t="shared" si="9"/>
        <v>0.11234118636059456</v>
      </c>
      <c r="E16" s="8">
        <f t="shared" si="9"/>
        <v>0.1041558963648047</v>
      </c>
      <c r="F16" s="8">
        <f t="shared" si="9"/>
        <v>0.10164637762954021</v>
      </c>
      <c r="G16" s="8">
        <f t="shared" si="9"/>
        <v>0.10432025778928078</v>
      </c>
      <c r="H16" s="8">
        <f t="shared" si="9"/>
        <v>0.10709773577487709</v>
      </c>
      <c r="I16" s="8">
        <f t="shared" si="9"/>
        <v>0.1048183477588337</v>
      </c>
      <c r="J16" s="8">
        <f t="shared" si="9"/>
        <v>8.541223250325114E-2</v>
      </c>
      <c r="K16" s="8">
        <f t="shared" si="9"/>
        <v>0.10535910792208585</v>
      </c>
      <c r="L16" s="8">
        <f t="shared" si="9"/>
        <v>9.2466650567620615E-2</v>
      </c>
      <c r="M16" s="8">
        <f t="shared" si="9"/>
        <v>0.10419757610647405</v>
      </c>
      <c r="N16" s="5">
        <f t="shared" si="1"/>
        <v>1.284464414895182</v>
      </c>
    </row>
    <row r="17" spans="1:19" ht="18" customHeight="1">
      <c r="A17" s="12" t="s">
        <v>31</v>
      </c>
      <c r="B17" s="8">
        <f t="shared" ref="B17:M17" si="10">IF(B$9=0,"",B8/B$9)</f>
        <v>1.657823885019872E-5</v>
      </c>
      <c r="C17" s="8">
        <f t="shared" si="10"/>
        <v>3.4370323328760218E-4</v>
      </c>
      <c r="D17" s="8">
        <f t="shared" si="10"/>
        <v>4.5253034605649209E-4</v>
      </c>
      <c r="E17" s="8">
        <f t="shared" si="10"/>
        <v>5.49396919135996E-4</v>
      </c>
      <c r="F17" s="8">
        <f t="shared" si="10"/>
        <v>1.0451532325283041E-4</v>
      </c>
      <c r="G17" s="8">
        <f t="shared" si="10"/>
        <v>1.1599217340962909E-4</v>
      </c>
      <c r="H17" s="8">
        <f t="shared" si="10"/>
        <v>1.4008876428806165E-4</v>
      </c>
      <c r="I17" s="8">
        <f t="shared" si="10"/>
        <v>0</v>
      </c>
      <c r="J17" s="8">
        <f t="shared" si="10"/>
        <v>0</v>
      </c>
      <c r="K17" s="8">
        <f t="shared" si="10"/>
        <v>5.562348524234034E-5</v>
      </c>
      <c r="L17" s="8">
        <f t="shared" si="10"/>
        <v>2.4854435030357701E-4</v>
      </c>
      <c r="M17" s="8">
        <f t="shared" si="10"/>
        <v>1.0803452626070864E-4</v>
      </c>
      <c r="N17" s="5">
        <f t="shared" si="1"/>
        <v>2.135007360087436E-3</v>
      </c>
    </row>
    <row r="18" spans="1:19" ht="26.25" customHeight="1" thickBot="1">
      <c r="A18" s="31" t="s">
        <v>13</v>
      </c>
      <c r="B18" s="8">
        <f t="shared" ref="B18:M18" si="11">IF(B$9=0,"",B9/B$9)</f>
        <v>1</v>
      </c>
      <c r="C18" s="8">
        <f t="shared" si="11"/>
        <v>1</v>
      </c>
      <c r="D18" s="8">
        <f t="shared" si="11"/>
        <v>1</v>
      </c>
      <c r="E18" s="8">
        <f t="shared" si="11"/>
        <v>1</v>
      </c>
      <c r="F18" s="8">
        <f t="shared" si="11"/>
        <v>1</v>
      </c>
      <c r="G18" s="8">
        <f t="shared" si="11"/>
        <v>1</v>
      </c>
      <c r="H18" s="8">
        <f t="shared" si="11"/>
        <v>1</v>
      </c>
      <c r="I18" s="8">
        <f t="shared" si="11"/>
        <v>1</v>
      </c>
      <c r="J18" s="8">
        <f t="shared" si="11"/>
        <v>1</v>
      </c>
      <c r="K18" s="8">
        <f t="shared" si="11"/>
        <v>1</v>
      </c>
      <c r="L18" s="8">
        <f t="shared" si="11"/>
        <v>1</v>
      </c>
      <c r="M18" s="8">
        <f t="shared" si="11"/>
        <v>1</v>
      </c>
      <c r="N18" s="5">
        <f t="shared" si="1"/>
        <v>12</v>
      </c>
    </row>
    <row r="32" spans="1:19" ht="14.25">
      <c r="S32" s="2"/>
    </row>
  </sheetData>
  <mergeCells count="6">
    <mergeCell ref="A1:N1"/>
    <mergeCell ref="A2:E2"/>
    <mergeCell ref="F2:G2"/>
    <mergeCell ref="H2:I2"/>
    <mergeCell ref="K2:L2"/>
    <mergeCell ref="N2:O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2" sqref="P32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33" sqref="G33"/>
    </sheetView>
  </sheetViews>
  <sheetFormatPr defaultRowHeight="13.5"/>
  <cols>
    <col min="1" max="1" width="5.125" customWidth="1"/>
    <col min="4" max="4" width="13" customWidth="1"/>
    <col min="5" max="5" width="5.625" customWidth="1"/>
    <col min="6" max="6" width="13.125" customWidth="1"/>
    <col min="7" max="7" width="11.125" customWidth="1"/>
    <col min="8" max="8" width="6.625" customWidth="1"/>
    <col min="9" max="11" width="9" customWidth="1"/>
  </cols>
  <sheetData>
    <row r="1" spans="1:7" ht="20.25">
      <c r="A1" s="36" t="s">
        <v>39</v>
      </c>
      <c r="B1" s="36"/>
      <c r="C1" s="36"/>
      <c r="D1" s="36"/>
      <c r="E1" s="36"/>
      <c r="F1" s="36"/>
      <c r="G1" s="36"/>
    </row>
    <row r="2" spans="1:7" ht="14.25" thickBot="1">
      <c r="A2" s="39"/>
      <c r="B2" s="40" t="s">
        <v>40</v>
      </c>
      <c r="C2" s="41"/>
      <c r="D2" s="41"/>
      <c r="E2" s="41"/>
      <c r="F2" s="41"/>
      <c r="G2" s="39"/>
    </row>
    <row r="3" spans="1:7" ht="14.25" customHeight="1" thickBot="1">
      <c r="A3" s="39"/>
      <c r="B3" s="42" t="s">
        <v>41</v>
      </c>
      <c r="C3" s="43" t="s">
        <v>42</v>
      </c>
      <c r="D3" s="39"/>
      <c r="E3" s="40" t="s">
        <v>43</v>
      </c>
      <c r="F3" s="39"/>
      <c r="G3" s="39"/>
    </row>
    <row r="4" spans="1:7" ht="16.5">
      <c r="A4" s="39"/>
      <c r="B4" s="44">
        <v>1</v>
      </c>
      <c r="C4" s="45">
        <v>120000</v>
      </c>
      <c r="D4" s="39"/>
      <c r="E4" s="42" t="s">
        <v>41</v>
      </c>
      <c r="F4" s="43" t="s">
        <v>42</v>
      </c>
      <c r="G4" s="39"/>
    </row>
    <row r="5" spans="1:7" ht="17.25" thickBot="1">
      <c r="A5" s="39"/>
      <c r="B5" s="44">
        <v>2</v>
      </c>
      <c r="C5" s="45">
        <v>89200</v>
      </c>
      <c r="D5" s="39"/>
      <c r="E5" s="46">
        <v>10</v>
      </c>
      <c r="F5" s="37">
        <f>GROWTH(C4:C12,B4:B12,E5)</f>
        <v>106666.69423105991</v>
      </c>
      <c r="G5" s="39"/>
    </row>
    <row r="6" spans="1:7" ht="16.5">
      <c r="A6" s="39"/>
      <c r="B6" s="44">
        <v>3</v>
      </c>
      <c r="C6" s="45">
        <v>125680</v>
      </c>
      <c r="D6" s="39"/>
      <c r="E6" s="39"/>
      <c r="F6" s="39"/>
      <c r="G6" s="39"/>
    </row>
    <row r="7" spans="1:7" ht="17.25" thickBot="1">
      <c r="A7" s="39"/>
      <c r="B7" s="44">
        <v>4</v>
      </c>
      <c r="C7" s="45">
        <v>95688</v>
      </c>
      <c r="D7" s="39"/>
      <c r="E7" s="40" t="s">
        <v>44</v>
      </c>
      <c r="F7" s="39"/>
      <c r="G7" s="39"/>
    </row>
    <row r="8" spans="1:7" ht="16.5">
      <c r="A8" s="39"/>
      <c r="B8" s="44">
        <v>5</v>
      </c>
      <c r="C8" s="45">
        <v>86200</v>
      </c>
      <c r="D8" s="39"/>
      <c r="E8" s="42" t="s">
        <v>45</v>
      </c>
      <c r="F8" s="43" t="s">
        <v>46</v>
      </c>
      <c r="G8" s="39"/>
    </row>
    <row r="9" spans="1:7" ht="16.5">
      <c r="A9" s="39"/>
      <c r="B9" s="44">
        <v>6</v>
      </c>
      <c r="C9" s="45">
        <v>86200</v>
      </c>
      <c r="D9" s="39"/>
      <c r="E9" s="47">
        <v>10</v>
      </c>
      <c r="F9" s="38">
        <f t="array" ref="F9:F11">GROWTH(C4:C12,B4:B12,E9:E11)</f>
        <v>106666.69423105991</v>
      </c>
      <c r="G9" s="39"/>
    </row>
    <row r="10" spans="1:7" ht="16.5">
      <c r="A10" s="39"/>
      <c r="B10" s="44">
        <v>7</v>
      </c>
      <c r="C10" s="45">
        <v>109630</v>
      </c>
      <c r="D10" s="39"/>
      <c r="E10" s="47">
        <v>11</v>
      </c>
      <c r="F10" s="38">
        <v>107177.37784496941</v>
      </c>
      <c r="G10" s="39"/>
    </row>
    <row r="11" spans="1:7" ht="17.25" thickBot="1">
      <c r="A11" s="39"/>
      <c r="B11" s="44">
        <v>8</v>
      </c>
      <c r="C11" s="45">
        <v>125000</v>
      </c>
      <c r="D11" s="39"/>
      <c r="E11" s="46">
        <v>12</v>
      </c>
      <c r="F11" s="37">
        <v>107690.5064371863</v>
      </c>
      <c r="G11" s="39"/>
    </row>
    <row r="12" spans="1:7" ht="17.25" thickBot="1">
      <c r="A12" s="39"/>
      <c r="B12" s="48">
        <v>9</v>
      </c>
      <c r="C12" s="49">
        <v>110000</v>
      </c>
      <c r="D12" s="39"/>
      <c r="E12" s="39"/>
      <c r="F12" s="39"/>
      <c r="G12" s="39"/>
    </row>
    <row r="13" spans="1:7">
      <c r="A13" s="39"/>
      <c r="B13" s="39"/>
      <c r="C13" s="39"/>
      <c r="D13" s="39"/>
      <c r="E13" s="39"/>
      <c r="F13" s="39"/>
      <c r="G13" s="39"/>
    </row>
    <row r="16" spans="1:7" ht="7.5" customHeight="1"/>
  </sheetData>
  <mergeCells count="1">
    <mergeCell ref="A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3" sqref="F13:F14"/>
    </sheetView>
  </sheetViews>
  <sheetFormatPr defaultRowHeight="13.5"/>
  <cols>
    <col min="1" max="1" width="3.875" customWidth="1"/>
    <col min="2" max="2" width="28.25" customWidth="1"/>
    <col min="3" max="3" width="9.25" customWidth="1"/>
    <col min="4" max="4" width="5.875" customWidth="1"/>
    <col min="5" max="5" width="18.5" customWidth="1"/>
    <col min="6" max="6" width="15.125" customWidth="1"/>
    <col min="7" max="7" width="5.125" customWidth="1"/>
    <col min="8" max="8" width="9.125" customWidth="1"/>
  </cols>
  <sheetData>
    <row r="1" spans="1:9" ht="31.5" customHeight="1">
      <c r="A1" s="32" t="s">
        <v>47</v>
      </c>
      <c r="B1" s="32"/>
      <c r="C1" s="32"/>
      <c r="D1" s="32"/>
      <c r="E1" s="32"/>
      <c r="F1" s="32"/>
      <c r="G1" s="32"/>
      <c r="H1" s="33"/>
      <c r="I1" s="34"/>
    </row>
    <row r="2" spans="1:9" ht="18.75" customHeight="1">
      <c r="B2" s="57" t="s">
        <v>48</v>
      </c>
      <c r="E2" s="57" t="s">
        <v>49</v>
      </c>
    </row>
    <row r="3" spans="1:9" ht="18" customHeight="1">
      <c r="B3" s="54" t="s">
        <v>50</v>
      </c>
      <c r="C3" s="63">
        <v>100</v>
      </c>
      <c r="E3" s="54" t="s">
        <v>51</v>
      </c>
      <c r="F3" s="54" t="s">
        <v>52</v>
      </c>
    </row>
    <row r="4" spans="1:9" ht="18" customHeight="1">
      <c r="B4" s="54" t="s">
        <v>53</v>
      </c>
      <c r="C4" s="60">
        <v>0.8</v>
      </c>
      <c r="E4" s="50" t="s">
        <v>54</v>
      </c>
      <c r="F4" s="60">
        <f>(1-(1-C13)*(1+C14))*C4</f>
        <v>6.6400000000000686E-3</v>
      </c>
    </row>
    <row r="5" spans="1:9" ht="18" customHeight="1">
      <c r="B5" s="54" t="s">
        <v>55</v>
      </c>
      <c r="C5" s="60">
        <v>0.06</v>
      </c>
      <c r="E5" s="50" t="s">
        <v>56</v>
      </c>
      <c r="F5" s="60">
        <f>(1-(1+C12)/(1+C11))*C5</f>
        <v>0</v>
      </c>
    </row>
    <row r="6" spans="1:9" ht="18" customHeight="1">
      <c r="B6" s="54" t="s">
        <v>57</v>
      </c>
      <c r="C6" s="60">
        <v>0.14000000000000001</v>
      </c>
      <c r="E6" s="50" t="s">
        <v>58</v>
      </c>
      <c r="F6" s="60">
        <f>(1-(1+C15)/(1+C10))*C6</f>
        <v>3.0672451193058569E-2</v>
      </c>
    </row>
    <row r="7" spans="1:9" ht="14.45" customHeight="1">
      <c r="C7" s="64"/>
      <c r="E7" s="50" t="s">
        <v>59</v>
      </c>
      <c r="F7" s="61">
        <f>SUM(F4:F6)</f>
        <v>3.7312451193058635E-2</v>
      </c>
    </row>
    <row r="8" spans="1:9" ht="17.25" customHeight="1">
      <c r="B8" s="57" t="s">
        <v>60</v>
      </c>
      <c r="C8" s="64"/>
      <c r="E8" s="35"/>
      <c r="F8" s="62"/>
    </row>
    <row r="9" spans="1:9" ht="16.5" customHeight="1">
      <c r="B9" s="54" t="s">
        <v>61</v>
      </c>
      <c r="C9" s="63">
        <v>18000</v>
      </c>
      <c r="E9" s="55" t="s">
        <v>62</v>
      </c>
      <c r="F9" s="51">
        <f>C3*C9</f>
        <v>1800000</v>
      </c>
    </row>
    <row r="10" spans="1:9" ht="16.5" customHeight="1">
      <c r="B10" s="54" t="s">
        <v>63</v>
      </c>
      <c r="C10" s="60">
        <v>0.38300000000000001</v>
      </c>
      <c r="E10" s="55"/>
      <c r="F10" s="51"/>
    </row>
    <row r="11" spans="1:9" ht="16.5" customHeight="1">
      <c r="B11" s="54" t="s">
        <v>64</v>
      </c>
      <c r="C11" s="60">
        <v>0.1</v>
      </c>
      <c r="E11" s="58" t="s">
        <v>70</v>
      </c>
      <c r="F11" s="52">
        <f>F7*F9</f>
        <v>67162.412147505544</v>
      </c>
    </row>
    <row r="12" spans="1:9" ht="16.5" customHeight="1">
      <c r="B12" s="54" t="s">
        <v>65</v>
      </c>
      <c r="C12" s="60">
        <v>0.1</v>
      </c>
      <c r="E12" s="59"/>
      <c r="F12" s="52"/>
    </row>
    <row r="13" spans="1:9" ht="16.5" customHeight="1">
      <c r="B13" s="54" t="s">
        <v>66</v>
      </c>
      <c r="C13" s="60">
        <v>0.06</v>
      </c>
      <c r="E13" s="56" t="s">
        <v>67</v>
      </c>
      <c r="F13" s="53">
        <f>F9-F11</f>
        <v>1732837.5878524946</v>
      </c>
    </row>
    <row r="14" spans="1:9" ht="16.5" customHeight="1">
      <c r="B14" s="54" t="s">
        <v>68</v>
      </c>
      <c r="C14" s="60">
        <v>5.5E-2</v>
      </c>
      <c r="E14" s="56"/>
      <c r="F14" s="51"/>
    </row>
    <row r="15" spans="1:9" ht="16.5" customHeight="1">
      <c r="B15" s="54" t="s">
        <v>69</v>
      </c>
      <c r="C15" s="60">
        <v>0.08</v>
      </c>
    </row>
  </sheetData>
  <mergeCells count="7">
    <mergeCell ref="A1:G1"/>
    <mergeCell ref="E9:E10"/>
    <mergeCell ref="F9:F10"/>
    <mergeCell ref="E11:E12"/>
    <mergeCell ref="F11:F12"/>
    <mergeCell ref="E13:E14"/>
    <mergeCell ref="F13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年度生产成本分析表格</vt:lpstr>
      <vt:lpstr>成产成本趋势分析</vt:lpstr>
      <vt:lpstr>GROWTH函数预测成本</vt:lpstr>
      <vt:lpstr>因素分析法预测成本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雨林木风</cp:lastModifiedBy>
  <dcterms:created xsi:type="dcterms:W3CDTF">2012-06-18T01:21:09Z</dcterms:created>
  <dcterms:modified xsi:type="dcterms:W3CDTF">2013-04-26T07:11:35Z</dcterms:modified>
</cp:coreProperties>
</file>