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9320" windowHeight="9765" activeTab="3"/>
  </bookViews>
  <sheets>
    <sheet name="基础数据表" sheetId="2" r:id="rId1"/>
    <sheet name="材料入库明细表" sheetId="4" r:id="rId2"/>
    <sheet name="本月领取情况记录表" sheetId="5" r:id="rId3"/>
    <sheet name="材料进出库存月报表" sheetId="6" r:id="rId4"/>
  </sheets>
  <externalReferences>
    <externalReference r:id="rId5"/>
    <externalReference r:id="rId6"/>
  </externalReferences>
  <definedNames>
    <definedName name="材料编码">OFFEST(基础数据表!$C$2,,,COUNTA(基础数据表!$C:$C)-1,1)</definedName>
    <definedName name="供应商编号">OFFSET(基础数据表!$A$2,,,COUNTA(基础数据表!$A:$A)-1,1)</definedName>
    <definedName name="供应商名称">OFFSET(基础数据表!$B$2,,,COUNTA(基础数据表!$B:$B)-1,1)</definedName>
  </definedNames>
  <calcPr calcId="145621"/>
</workbook>
</file>

<file path=xl/calcChain.xml><?xml version="1.0" encoding="utf-8"?>
<calcChain xmlns="http://schemas.openxmlformats.org/spreadsheetml/2006/main">
  <c r="F4" i="6" l="1"/>
  <c r="H4" i="4" l="1"/>
  <c r="E5" i="4"/>
  <c r="E4" i="4"/>
  <c r="J7" i="6" l="1"/>
  <c r="J8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7" i="6"/>
  <c r="L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L8" i="6" l="1"/>
  <c r="M8" i="6"/>
  <c r="L9" i="6"/>
  <c r="M9" i="6"/>
  <c r="N9" i="6" s="1"/>
  <c r="L10" i="6"/>
  <c r="M10" i="6"/>
  <c r="N10" i="6" s="1"/>
  <c r="L11" i="6"/>
  <c r="M11" i="6"/>
  <c r="N11" i="6" s="1"/>
  <c r="L12" i="6"/>
  <c r="M12" i="6"/>
  <c r="L13" i="6"/>
  <c r="M13" i="6"/>
  <c r="L14" i="6"/>
  <c r="M14" i="6"/>
  <c r="L15" i="6"/>
  <c r="M15" i="6"/>
  <c r="N15" i="6" s="1"/>
  <c r="L16" i="6"/>
  <c r="M16" i="6"/>
  <c r="L17" i="6"/>
  <c r="M17" i="6"/>
  <c r="L18" i="6"/>
  <c r="M18" i="6"/>
  <c r="L19" i="6"/>
  <c r="M19" i="6"/>
  <c r="L20" i="6"/>
  <c r="M20" i="6"/>
  <c r="L21" i="6"/>
  <c r="M21" i="6"/>
  <c r="L22" i="6"/>
  <c r="M22" i="6"/>
  <c r="L23" i="6"/>
  <c r="M23" i="6"/>
  <c r="N23" i="6" s="1"/>
  <c r="L24" i="6"/>
  <c r="M24" i="6"/>
  <c r="L25" i="6"/>
  <c r="M25" i="6"/>
  <c r="I7" i="6"/>
  <c r="G42" i="4"/>
  <c r="N22" i="6" l="1"/>
  <c r="N21" i="6"/>
  <c r="N20" i="6"/>
  <c r="N19" i="6"/>
  <c r="N18" i="6"/>
  <c r="N17" i="6"/>
  <c r="N16" i="6"/>
  <c r="N8" i="6"/>
  <c r="P8" i="6"/>
  <c r="Q8" i="6" s="1"/>
  <c r="N25" i="6"/>
  <c r="N24" i="6"/>
  <c r="N14" i="6"/>
  <c r="N13" i="6"/>
  <c r="N12" i="6"/>
  <c r="F27" i="6"/>
  <c r="O26" i="6"/>
  <c r="L26" i="6"/>
  <c r="G26" i="6"/>
  <c r="F26" i="6"/>
  <c r="E25" i="6"/>
  <c r="D25" i="6"/>
  <c r="C25" i="6"/>
  <c r="E24" i="6"/>
  <c r="D24" i="6"/>
  <c r="C24" i="6"/>
  <c r="E23" i="6"/>
  <c r="D23" i="6"/>
  <c r="C23" i="6"/>
  <c r="E22" i="6"/>
  <c r="D22" i="6"/>
  <c r="C22" i="6"/>
  <c r="E21" i="6"/>
  <c r="D21" i="6"/>
  <c r="C21" i="6"/>
  <c r="E20" i="6"/>
  <c r="D20" i="6"/>
  <c r="C20" i="6"/>
  <c r="E19" i="6"/>
  <c r="D19" i="6"/>
  <c r="C19" i="6"/>
  <c r="E18" i="6"/>
  <c r="D18" i="6"/>
  <c r="C18" i="6"/>
  <c r="E17" i="6"/>
  <c r="D17" i="6"/>
  <c r="C17" i="6"/>
  <c r="E16" i="6"/>
  <c r="D16" i="6"/>
  <c r="C16" i="6"/>
  <c r="E15" i="6"/>
  <c r="D15" i="6"/>
  <c r="C15" i="6"/>
  <c r="E14" i="6"/>
  <c r="D14" i="6"/>
  <c r="C14" i="6"/>
  <c r="E13" i="6"/>
  <c r="D13" i="6"/>
  <c r="C13" i="6"/>
  <c r="E12" i="6"/>
  <c r="D12" i="6"/>
  <c r="C12" i="6"/>
  <c r="E11" i="6"/>
  <c r="D11" i="6"/>
  <c r="C11" i="6"/>
  <c r="E10" i="6"/>
  <c r="D10" i="6"/>
  <c r="C10" i="6"/>
  <c r="E9" i="6"/>
  <c r="D9" i="6"/>
  <c r="C9" i="6"/>
  <c r="E8" i="6"/>
  <c r="D8" i="6"/>
  <c r="C8" i="6"/>
  <c r="E7" i="6"/>
  <c r="D7" i="6"/>
  <c r="C7" i="6"/>
  <c r="D50" i="5"/>
  <c r="M49" i="5"/>
  <c r="K49" i="5"/>
  <c r="M48" i="5"/>
  <c r="K48" i="5"/>
  <c r="M47" i="5"/>
  <c r="K47" i="5"/>
  <c r="M46" i="5"/>
  <c r="K46" i="5"/>
  <c r="M45" i="5"/>
  <c r="K45" i="5"/>
  <c r="M44" i="5"/>
  <c r="K44" i="5"/>
  <c r="M43" i="5"/>
  <c r="K43" i="5"/>
  <c r="M42" i="5"/>
  <c r="K42" i="5"/>
  <c r="M41" i="5"/>
  <c r="K41" i="5"/>
  <c r="M40" i="5"/>
  <c r="K40" i="5"/>
  <c r="M39" i="5"/>
  <c r="K39" i="5"/>
  <c r="M38" i="5"/>
  <c r="K38" i="5"/>
  <c r="M37" i="5"/>
  <c r="K37" i="5"/>
  <c r="M36" i="5"/>
  <c r="K36" i="5"/>
  <c r="M35" i="5"/>
  <c r="K35" i="5"/>
  <c r="M34" i="5"/>
  <c r="K34" i="5"/>
  <c r="M33" i="5"/>
  <c r="K33" i="5"/>
  <c r="M32" i="5"/>
  <c r="K32" i="5"/>
  <c r="M31" i="5"/>
  <c r="K31" i="5"/>
  <c r="M30" i="5"/>
  <c r="K30" i="5"/>
  <c r="M29" i="5"/>
  <c r="K29" i="5"/>
  <c r="M28" i="5"/>
  <c r="K28" i="5"/>
  <c r="M27" i="5"/>
  <c r="K27" i="5"/>
  <c r="M26" i="5"/>
  <c r="K26" i="5"/>
  <c r="M25" i="5"/>
  <c r="K25" i="5"/>
  <c r="M24" i="5"/>
  <c r="K24" i="5"/>
  <c r="M23" i="5"/>
  <c r="K23" i="5"/>
  <c r="M22" i="5"/>
  <c r="K22" i="5"/>
  <c r="M21" i="5"/>
  <c r="K21" i="5"/>
  <c r="M20" i="5"/>
  <c r="K20" i="5"/>
  <c r="M19" i="5"/>
  <c r="K19" i="5"/>
  <c r="M18" i="5"/>
  <c r="K18" i="5"/>
  <c r="M17" i="5"/>
  <c r="K17" i="5"/>
  <c r="M16" i="5"/>
  <c r="K16" i="5"/>
  <c r="M15" i="5"/>
  <c r="K15" i="5"/>
  <c r="M14" i="5"/>
  <c r="K14" i="5"/>
  <c r="M13" i="5"/>
  <c r="K13" i="5"/>
  <c r="M12" i="5"/>
  <c r="K12" i="5"/>
  <c r="M11" i="5"/>
  <c r="K11" i="5"/>
  <c r="M10" i="5"/>
  <c r="K10" i="5"/>
  <c r="M9" i="5"/>
  <c r="K9" i="5"/>
  <c r="M8" i="5"/>
  <c r="K8" i="5"/>
  <c r="M7" i="5"/>
  <c r="K7" i="5"/>
  <c r="M6" i="5"/>
  <c r="K6" i="5"/>
  <c r="K5" i="5"/>
  <c r="M7" i="6" s="1"/>
  <c r="N7" i="6" l="1"/>
  <c r="L4" i="6" s="1"/>
  <c r="P7" i="6"/>
  <c r="Q7" i="6" s="1"/>
  <c r="M5" i="5"/>
  <c r="M2" i="5" s="1"/>
  <c r="G69" i="4"/>
  <c r="E79" i="4"/>
  <c r="G79" i="4"/>
  <c r="H79" i="4"/>
  <c r="I79" i="4"/>
  <c r="J79" i="4"/>
  <c r="L79" i="4"/>
  <c r="M79" i="4" s="1"/>
  <c r="E7" i="4"/>
  <c r="G7" i="4"/>
  <c r="H7" i="4"/>
  <c r="I7" i="4"/>
  <c r="J7" i="4"/>
  <c r="L7" i="4"/>
  <c r="M7" i="4" s="1"/>
  <c r="E27" i="4"/>
  <c r="G27" i="4"/>
  <c r="H27" i="4"/>
  <c r="I27" i="4"/>
  <c r="J27" i="4"/>
  <c r="L27" i="4"/>
  <c r="M27" i="4" s="1"/>
  <c r="E28" i="4"/>
  <c r="G28" i="4"/>
  <c r="H28" i="4"/>
  <c r="I28" i="4"/>
  <c r="J28" i="4"/>
  <c r="L28" i="4"/>
  <c r="M28" i="4" s="1"/>
  <c r="E29" i="4"/>
  <c r="G29" i="4"/>
  <c r="H29" i="4"/>
  <c r="I29" i="4"/>
  <c r="J29" i="4"/>
  <c r="L29" i="4"/>
  <c r="M29" i="4" s="1"/>
  <c r="E30" i="4"/>
  <c r="G30" i="4"/>
  <c r="H30" i="4"/>
  <c r="I30" i="4"/>
  <c r="J30" i="4"/>
  <c r="L30" i="4"/>
  <c r="M30" i="4" s="1"/>
  <c r="E75" i="4"/>
  <c r="G75" i="4"/>
  <c r="H75" i="4"/>
  <c r="I75" i="4"/>
  <c r="J75" i="4"/>
  <c r="L75" i="4"/>
  <c r="M75" i="4" s="1"/>
  <c r="E31" i="4"/>
  <c r="G31" i="4"/>
  <c r="H31" i="4"/>
  <c r="I31" i="4"/>
  <c r="J31" i="4"/>
  <c r="L31" i="4"/>
  <c r="M31" i="4" s="1"/>
  <c r="E8" i="4"/>
  <c r="G8" i="4"/>
  <c r="H8" i="4"/>
  <c r="I8" i="4"/>
  <c r="J8" i="4"/>
  <c r="L8" i="4"/>
  <c r="M8" i="4" s="1"/>
  <c r="E32" i="4"/>
  <c r="G32" i="4"/>
  <c r="H32" i="4"/>
  <c r="I32" i="4"/>
  <c r="J32" i="4"/>
  <c r="L32" i="4"/>
  <c r="M32" i="4" s="1"/>
  <c r="E71" i="4"/>
  <c r="G71" i="4"/>
  <c r="H71" i="4"/>
  <c r="I71" i="4"/>
  <c r="J71" i="4"/>
  <c r="L71" i="4"/>
  <c r="M71" i="4" s="1"/>
  <c r="E17" i="4"/>
  <c r="G17" i="4"/>
  <c r="H17" i="4"/>
  <c r="I17" i="4"/>
  <c r="J17" i="4"/>
  <c r="L17" i="4"/>
  <c r="M17" i="4" s="1"/>
  <c r="E72" i="4"/>
  <c r="G72" i="4"/>
  <c r="H72" i="4"/>
  <c r="I72" i="4"/>
  <c r="J72" i="4"/>
  <c r="L72" i="4"/>
  <c r="M72" i="4" s="1"/>
  <c r="E47" i="4"/>
  <c r="G47" i="4"/>
  <c r="H47" i="4"/>
  <c r="I47" i="4"/>
  <c r="J47" i="4"/>
  <c r="L47" i="4"/>
  <c r="M47" i="4" s="1"/>
  <c r="E76" i="4"/>
  <c r="G76" i="4"/>
  <c r="H76" i="4"/>
  <c r="I76" i="4"/>
  <c r="J76" i="4"/>
  <c r="L76" i="4"/>
  <c r="M76" i="4" s="1"/>
  <c r="E48" i="4"/>
  <c r="G48" i="4"/>
  <c r="H48" i="4"/>
  <c r="I48" i="4"/>
  <c r="J48" i="4"/>
  <c r="L48" i="4"/>
  <c r="M48" i="4" s="1"/>
  <c r="E49" i="4"/>
  <c r="G49" i="4"/>
  <c r="H49" i="4"/>
  <c r="I49" i="4"/>
  <c r="J49" i="4"/>
  <c r="L49" i="4"/>
  <c r="M49" i="4" s="1"/>
  <c r="E18" i="4"/>
  <c r="G18" i="4"/>
  <c r="H18" i="4"/>
  <c r="I18" i="4"/>
  <c r="J18" i="4"/>
  <c r="L18" i="4"/>
  <c r="M18" i="4" s="1"/>
  <c r="E33" i="4"/>
  <c r="G33" i="4"/>
  <c r="H33" i="4"/>
  <c r="I33" i="4"/>
  <c r="J33" i="4"/>
  <c r="L33" i="4"/>
  <c r="M33" i="4" s="1"/>
  <c r="E56" i="4"/>
  <c r="G56" i="4"/>
  <c r="H56" i="4"/>
  <c r="I56" i="4"/>
  <c r="J56" i="4"/>
  <c r="L56" i="4"/>
  <c r="M56" i="4" s="1"/>
  <c r="E9" i="4"/>
  <c r="G9" i="4"/>
  <c r="H9" i="4"/>
  <c r="I9" i="4"/>
  <c r="J9" i="4"/>
  <c r="L9" i="4"/>
  <c r="M9" i="4" s="1"/>
  <c r="E23" i="4"/>
  <c r="G23" i="4"/>
  <c r="H23" i="4"/>
  <c r="I23" i="4"/>
  <c r="J23" i="4"/>
  <c r="L23" i="4"/>
  <c r="M23" i="4" s="1"/>
  <c r="E58" i="4"/>
  <c r="G58" i="4"/>
  <c r="H58" i="4"/>
  <c r="I58" i="4"/>
  <c r="J58" i="4"/>
  <c r="L58" i="4"/>
  <c r="M58" i="4" s="1"/>
  <c r="E80" i="4"/>
  <c r="G80" i="4"/>
  <c r="H80" i="4"/>
  <c r="I80" i="4"/>
  <c r="J80" i="4"/>
  <c r="L80" i="4"/>
  <c r="M80" i="4" s="1"/>
  <c r="E38" i="4"/>
  <c r="G38" i="4"/>
  <c r="H38" i="4"/>
  <c r="I38" i="4"/>
  <c r="J38" i="4"/>
  <c r="L38" i="4"/>
  <c r="M38" i="4" s="1"/>
  <c r="E66" i="4"/>
  <c r="G66" i="4"/>
  <c r="H66" i="4"/>
  <c r="I66" i="4"/>
  <c r="J66" i="4"/>
  <c r="L66" i="4"/>
  <c r="M66" i="4" s="1"/>
  <c r="E61" i="4"/>
  <c r="G61" i="4"/>
  <c r="H61" i="4"/>
  <c r="I61" i="4"/>
  <c r="J61" i="4"/>
  <c r="L61" i="4"/>
  <c r="M61" i="4" s="1"/>
  <c r="E67" i="4"/>
  <c r="G67" i="4"/>
  <c r="H67" i="4"/>
  <c r="I67" i="4"/>
  <c r="J67" i="4"/>
  <c r="L67" i="4"/>
  <c r="M67" i="4" s="1"/>
  <c r="E73" i="4"/>
  <c r="G73" i="4"/>
  <c r="H73" i="4"/>
  <c r="I73" i="4"/>
  <c r="J73" i="4"/>
  <c r="L73" i="4"/>
  <c r="M73" i="4" s="1"/>
  <c r="E74" i="4"/>
  <c r="G74" i="4"/>
  <c r="H74" i="4"/>
  <c r="I74" i="4"/>
  <c r="J74" i="4"/>
  <c r="L74" i="4"/>
  <c r="M74" i="4" s="1"/>
  <c r="E77" i="4"/>
  <c r="G77" i="4"/>
  <c r="H77" i="4"/>
  <c r="I77" i="4"/>
  <c r="J77" i="4"/>
  <c r="L77" i="4"/>
  <c r="M77" i="4" s="1"/>
  <c r="E50" i="4"/>
  <c r="G50" i="4"/>
  <c r="H50" i="4"/>
  <c r="I50" i="4"/>
  <c r="J50" i="4"/>
  <c r="L50" i="4"/>
  <c r="M50" i="4" s="1"/>
  <c r="E51" i="4"/>
  <c r="G51" i="4"/>
  <c r="H51" i="4"/>
  <c r="I51" i="4"/>
  <c r="J51" i="4"/>
  <c r="L51" i="4"/>
  <c r="M51" i="4" s="1"/>
  <c r="E52" i="4"/>
  <c r="G52" i="4"/>
  <c r="H52" i="4"/>
  <c r="I52" i="4"/>
  <c r="J52" i="4"/>
  <c r="L52" i="4"/>
  <c r="M52" i="4" s="1"/>
  <c r="E53" i="4"/>
  <c r="G53" i="4"/>
  <c r="H53" i="4"/>
  <c r="I53" i="4"/>
  <c r="J53" i="4"/>
  <c r="L53" i="4"/>
  <c r="M53" i="4" s="1"/>
  <c r="E19" i="4"/>
  <c r="G19" i="4"/>
  <c r="H19" i="4"/>
  <c r="I19" i="4"/>
  <c r="J19" i="4"/>
  <c r="L19" i="4"/>
  <c r="M19" i="4" s="1"/>
  <c r="E34" i="4"/>
  <c r="G34" i="4"/>
  <c r="H34" i="4"/>
  <c r="I34" i="4"/>
  <c r="J34" i="4"/>
  <c r="L34" i="4"/>
  <c r="M34" i="4" s="1"/>
  <c r="E10" i="4"/>
  <c r="G10" i="4"/>
  <c r="H10" i="4"/>
  <c r="I10" i="4"/>
  <c r="J10" i="4"/>
  <c r="L10" i="4"/>
  <c r="M10" i="4" s="1"/>
  <c r="E11" i="4"/>
  <c r="G11" i="4"/>
  <c r="H11" i="4"/>
  <c r="I11" i="4"/>
  <c r="J11" i="4"/>
  <c r="L11" i="4"/>
  <c r="M11" i="4" s="1"/>
  <c r="E24" i="4"/>
  <c r="G24" i="4"/>
  <c r="H24" i="4"/>
  <c r="I24" i="4"/>
  <c r="J24" i="4"/>
  <c r="L24" i="4"/>
  <c r="M24" i="4" s="1"/>
  <c r="E81" i="4"/>
  <c r="G81" i="4"/>
  <c r="H81" i="4"/>
  <c r="I81" i="4"/>
  <c r="J81" i="4"/>
  <c r="L81" i="4"/>
  <c r="M81" i="4" s="1"/>
  <c r="E59" i="4"/>
  <c r="G59" i="4"/>
  <c r="H59" i="4"/>
  <c r="I59" i="4"/>
  <c r="J59" i="4"/>
  <c r="L59" i="4"/>
  <c r="M59" i="4" s="1"/>
  <c r="E82" i="4"/>
  <c r="G82" i="4"/>
  <c r="H82" i="4"/>
  <c r="I82" i="4"/>
  <c r="J82" i="4"/>
  <c r="L82" i="4"/>
  <c r="M82" i="4" s="1"/>
  <c r="E39" i="4"/>
  <c r="G39" i="4"/>
  <c r="H39" i="4"/>
  <c r="I39" i="4"/>
  <c r="J39" i="4"/>
  <c r="L39" i="4"/>
  <c r="M39" i="4" s="1"/>
  <c r="E62" i="4"/>
  <c r="G62" i="4"/>
  <c r="H62" i="4"/>
  <c r="I62" i="4"/>
  <c r="J62" i="4"/>
  <c r="L62" i="4"/>
  <c r="M62" i="4" s="1"/>
  <c r="E68" i="4"/>
  <c r="G68" i="4"/>
  <c r="H68" i="4"/>
  <c r="I68" i="4"/>
  <c r="J68" i="4"/>
  <c r="L68" i="4"/>
  <c r="M68" i="4" s="1"/>
  <c r="E63" i="4"/>
  <c r="G63" i="4"/>
  <c r="H63" i="4"/>
  <c r="I63" i="4"/>
  <c r="J63" i="4"/>
  <c r="L63" i="4"/>
  <c r="M63" i="4" s="1"/>
  <c r="E20" i="4"/>
  <c r="G20" i="4"/>
  <c r="H20" i="4"/>
  <c r="I20" i="4"/>
  <c r="J20" i="4"/>
  <c r="L20" i="4"/>
  <c r="M20" i="4" s="1"/>
  <c r="E21" i="4"/>
  <c r="G21" i="4"/>
  <c r="H21" i="4"/>
  <c r="I21" i="4"/>
  <c r="J21" i="4"/>
  <c r="L21" i="4"/>
  <c r="M21" i="4" s="1"/>
  <c r="E12" i="4"/>
  <c r="G12" i="4"/>
  <c r="H12" i="4"/>
  <c r="I12" i="4"/>
  <c r="J12" i="4"/>
  <c r="L12" i="4"/>
  <c r="M12" i="4" s="1"/>
  <c r="E78" i="4"/>
  <c r="G78" i="4"/>
  <c r="H78" i="4"/>
  <c r="I78" i="4"/>
  <c r="J78" i="4"/>
  <c r="L78" i="4"/>
  <c r="M78" i="4" s="1"/>
  <c r="E54" i="4"/>
  <c r="G54" i="4"/>
  <c r="H54" i="4"/>
  <c r="I54" i="4"/>
  <c r="J54" i="4"/>
  <c r="L54" i="4"/>
  <c r="M54" i="4" s="1"/>
  <c r="E35" i="4"/>
  <c r="G35" i="4"/>
  <c r="H35" i="4"/>
  <c r="I35" i="4"/>
  <c r="J35" i="4"/>
  <c r="L35" i="4"/>
  <c r="M35" i="4" s="1"/>
  <c r="E22" i="4"/>
  <c r="G22" i="4"/>
  <c r="H22" i="4"/>
  <c r="I22" i="4"/>
  <c r="J22" i="4"/>
  <c r="L22" i="4"/>
  <c r="M22" i="4" s="1"/>
  <c r="E83" i="4"/>
  <c r="G83" i="4"/>
  <c r="H83" i="4"/>
  <c r="I83" i="4"/>
  <c r="J83" i="4"/>
  <c r="L83" i="4"/>
  <c r="M83" i="4" s="1"/>
  <c r="E57" i="4"/>
  <c r="G57" i="4"/>
  <c r="H57" i="4"/>
  <c r="I57" i="4"/>
  <c r="J57" i="4"/>
  <c r="L57" i="4"/>
  <c r="M57" i="4" s="1"/>
  <c r="E55" i="4"/>
  <c r="G55" i="4"/>
  <c r="H55" i="4"/>
  <c r="I55" i="4"/>
  <c r="J55" i="4"/>
  <c r="L55" i="4"/>
  <c r="M55" i="4" s="1"/>
  <c r="E64" i="4"/>
  <c r="G64" i="4"/>
  <c r="H64" i="4"/>
  <c r="I64" i="4"/>
  <c r="J64" i="4"/>
  <c r="L64" i="4"/>
  <c r="M64" i="4" s="1"/>
  <c r="E40" i="4"/>
  <c r="G40" i="4"/>
  <c r="H40" i="4"/>
  <c r="I40" i="4"/>
  <c r="J40" i="4"/>
  <c r="L40" i="4"/>
  <c r="M40" i="4" s="1"/>
  <c r="E13" i="4"/>
  <c r="G13" i="4"/>
  <c r="H13" i="4"/>
  <c r="I13" i="4"/>
  <c r="J13" i="4"/>
  <c r="L13" i="4"/>
  <c r="M13" i="4" s="1"/>
  <c r="E41" i="4"/>
  <c r="G41" i="4"/>
  <c r="H41" i="4"/>
  <c r="I41" i="4"/>
  <c r="J41" i="4"/>
  <c r="L41" i="4"/>
  <c r="M41" i="4" s="1"/>
  <c r="E42" i="4"/>
  <c r="H42" i="4"/>
  <c r="I42" i="4"/>
  <c r="J42" i="4"/>
  <c r="L42" i="4"/>
  <c r="M42" i="4" s="1"/>
  <c r="E43" i="4"/>
  <c r="G43" i="4"/>
  <c r="H43" i="4"/>
  <c r="I43" i="4"/>
  <c r="J43" i="4"/>
  <c r="L43" i="4"/>
  <c r="M43" i="4" s="1"/>
  <c r="E44" i="4"/>
  <c r="G44" i="4"/>
  <c r="H44" i="4"/>
  <c r="I44" i="4"/>
  <c r="J44" i="4"/>
  <c r="L44" i="4"/>
  <c r="M44" i="4" s="1"/>
  <c r="E25" i="4"/>
  <c r="G25" i="4"/>
  <c r="H25" i="4"/>
  <c r="I25" i="4"/>
  <c r="J25" i="4"/>
  <c r="L25" i="4"/>
  <c r="M25" i="4" s="1"/>
  <c r="E14" i="4"/>
  <c r="G14" i="4"/>
  <c r="H14" i="4"/>
  <c r="I14" i="4"/>
  <c r="J14" i="4"/>
  <c r="L14" i="4"/>
  <c r="M14" i="4" s="1"/>
  <c r="E45" i="4"/>
  <c r="G45" i="4"/>
  <c r="H45" i="4"/>
  <c r="I45" i="4"/>
  <c r="J45" i="4"/>
  <c r="L45" i="4"/>
  <c r="M45" i="4" s="1"/>
  <c r="E70" i="4"/>
  <c r="G70" i="4"/>
  <c r="H70" i="4"/>
  <c r="I70" i="4"/>
  <c r="J70" i="4"/>
  <c r="L70" i="4"/>
  <c r="M70" i="4" s="1"/>
  <c r="E46" i="4"/>
  <c r="G46" i="4"/>
  <c r="H46" i="4"/>
  <c r="I46" i="4"/>
  <c r="J46" i="4"/>
  <c r="L46" i="4"/>
  <c r="M46" i="4" s="1"/>
  <c r="E15" i="4"/>
  <c r="G15" i="4"/>
  <c r="H15" i="4"/>
  <c r="I15" i="4"/>
  <c r="J15" i="4"/>
  <c r="L15" i="4"/>
  <c r="M15" i="4" s="1"/>
  <c r="E36" i="4"/>
  <c r="G36" i="4"/>
  <c r="H36" i="4"/>
  <c r="I36" i="4"/>
  <c r="J36" i="4"/>
  <c r="L36" i="4"/>
  <c r="M36" i="4" s="1"/>
  <c r="G4" i="4"/>
  <c r="I4" i="4"/>
  <c r="J4" i="4"/>
  <c r="L4" i="4"/>
  <c r="M4" i="4" s="1"/>
  <c r="E26" i="4"/>
  <c r="G26" i="4"/>
  <c r="H26" i="4"/>
  <c r="I26" i="4"/>
  <c r="J26" i="4"/>
  <c r="L26" i="4"/>
  <c r="M26" i="4" s="1"/>
  <c r="G5" i="4"/>
  <c r="H5" i="4"/>
  <c r="I5" i="4"/>
  <c r="J5" i="4"/>
  <c r="L5" i="4"/>
  <c r="M5" i="4" s="1"/>
  <c r="E6" i="4"/>
  <c r="G6" i="4"/>
  <c r="H6" i="4"/>
  <c r="I6" i="4"/>
  <c r="J6" i="4"/>
  <c r="L6" i="4"/>
  <c r="M6" i="4" s="1"/>
  <c r="E65" i="4"/>
  <c r="G65" i="4"/>
  <c r="H65" i="4"/>
  <c r="I65" i="4"/>
  <c r="J65" i="4"/>
  <c r="L65" i="4"/>
  <c r="M65" i="4" s="1"/>
  <c r="E60" i="4"/>
  <c r="G60" i="4"/>
  <c r="H60" i="4"/>
  <c r="I60" i="4"/>
  <c r="J60" i="4"/>
  <c r="L60" i="4"/>
  <c r="M60" i="4" s="1"/>
  <c r="E37" i="4"/>
  <c r="G37" i="4"/>
  <c r="H37" i="4"/>
  <c r="I37" i="4"/>
  <c r="J37" i="4"/>
  <c r="L37" i="4"/>
  <c r="M37" i="4" s="1"/>
  <c r="E16" i="4"/>
  <c r="G16" i="4"/>
  <c r="H16" i="4"/>
  <c r="I16" i="4"/>
  <c r="J16" i="4"/>
  <c r="L16" i="4"/>
  <c r="M16" i="4" s="1"/>
  <c r="L69" i="4"/>
  <c r="M69" i="4" s="1"/>
  <c r="J69" i="4"/>
  <c r="I69" i="4"/>
  <c r="H69" i="4"/>
  <c r="E69" i="4"/>
  <c r="J12" i="6" l="1"/>
  <c r="J13" i="6"/>
  <c r="J14" i="6"/>
  <c r="J15" i="6"/>
  <c r="J17" i="6"/>
  <c r="J19" i="6"/>
  <c r="J21" i="6"/>
  <c r="J23" i="6"/>
  <c r="J25" i="6"/>
  <c r="K8" i="6"/>
  <c r="J9" i="6"/>
  <c r="J10" i="6"/>
  <c r="J11" i="6"/>
  <c r="J16" i="6"/>
  <c r="J18" i="6"/>
  <c r="J20" i="6"/>
  <c r="J22" i="6"/>
  <c r="J24" i="6"/>
  <c r="K22" i="6" l="1"/>
  <c r="P22" i="6"/>
  <c r="Q22" i="6" s="1"/>
  <c r="K18" i="6"/>
  <c r="P18" i="6"/>
  <c r="Q18" i="6" s="1"/>
  <c r="K11" i="6"/>
  <c r="P11" i="6"/>
  <c r="Q11" i="6" s="1"/>
  <c r="K9" i="6"/>
  <c r="P9" i="6"/>
  <c r="Q9" i="6" s="1"/>
  <c r="K25" i="6"/>
  <c r="P25" i="6"/>
  <c r="Q25" i="6" s="1"/>
  <c r="K21" i="6"/>
  <c r="P21" i="6"/>
  <c r="Q21" i="6" s="1"/>
  <c r="K17" i="6"/>
  <c r="P17" i="6"/>
  <c r="Q17" i="6" s="1"/>
  <c r="K14" i="6"/>
  <c r="P14" i="6"/>
  <c r="Q14" i="6" s="1"/>
  <c r="K12" i="6"/>
  <c r="P12" i="6"/>
  <c r="Q12" i="6" s="1"/>
  <c r="K24" i="6"/>
  <c r="P24" i="6"/>
  <c r="Q24" i="6" s="1"/>
  <c r="K20" i="6"/>
  <c r="P20" i="6"/>
  <c r="Q20" i="6" s="1"/>
  <c r="K16" i="6"/>
  <c r="P16" i="6"/>
  <c r="Q16" i="6" s="1"/>
  <c r="K10" i="6"/>
  <c r="P10" i="6"/>
  <c r="Q10" i="6" s="1"/>
  <c r="K23" i="6"/>
  <c r="P23" i="6"/>
  <c r="Q23" i="6" s="1"/>
  <c r="K19" i="6"/>
  <c r="P19" i="6"/>
  <c r="Q19" i="6" s="1"/>
  <c r="K15" i="6"/>
  <c r="P15" i="6"/>
  <c r="Q15" i="6" s="1"/>
  <c r="K13" i="6"/>
  <c r="P13" i="6"/>
  <c r="Q13" i="6" s="1"/>
  <c r="K7" i="6"/>
  <c r="I4" i="6" s="1"/>
  <c r="O4" i="6" l="1"/>
</calcChain>
</file>

<file path=xl/sharedStrings.xml><?xml version="1.0" encoding="utf-8"?>
<sst xmlns="http://schemas.openxmlformats.org/spreadsheetml/2006/main" count="553" uniqueCount="196">
  <si>
    <t>YQJ-0001</t>
    <phoneticPr fontId="1" type="noConversion"/>
  </si>
  <si>
    <t>YQJ-0002</t>
  </si>
  <si>
    <t>YQJ-0003</t>
  </si>
  <si>
    <t>JCK-0001</t>
    <phoneticPr fontId="1" type="noConversion"/>
  </si>
  <si>
    <t>JCK-0002</t>
  </si>
  <si>
    <t>JCK-0003</t>
  </si>
  <si>
    <t>JCK-0004</t>
  </si>
  <si>
    <t>XSQ-0001</t>
    <phoneticPr fontId="1" type="noConversion"/>
  </si>
  <si>
    <t>XSQ-0002</t>
  </si>
  <si>
    <t>XSQ-0003</t>
  </si>
  <si>
    <t>XSQ-0004</t>
  </si>
  <si>
    <t>SRQ-0001</t>
    <phoneticPr fontId="1" type="noConversion"/>
  </si>
  <si>
    <t>TX-0001</t>
    <phoneticPr fontId="1" type="noConversion"/>
  </si>
  <si>
    <t>YZB-0001</t>
    <phoneticPr fontId="1" type="noConversion"/>
  </si>
  <si>
    <t>YZB-0002</t>
  </si>
  <si>
    <t>YZB-0003</t>
  </si>
  <si>
    <t>新为电子</t>
    <phoneticPr fontId="1" type="noConversion"/>
  </si>
  <si>
    <t>三河集团</t>
    <phoneticPr fontId="1" type="noConversion"/>
  </si>
  <si>
    <t>元丰今日</t>
    <phoneticPr fontId="1" type="noConversion"/>
  </si>
  <si>
    <t>金元电器</t>
    <phoneticPr fontId="1" type="noConversion"/>
  </si>
  <si>
    <t>盛华</t>
    <phoneticPr fontId="1" type="noConversion"/>
  </si>
  <si>
    <t>恒杰电子</t>
    <phoneticPr fontId="1" type="noConversion"/>
  </si>
  <si>
    <t>华声集团</t>
    <phoneticPr fontId="1" type="noConversion"/>
  </si>
  <si>
    <t>海域电子</t>
    <phoneticPr fontId="1" type="noConversion"/>
  </si>
  <si>
    <t>创维科技</t>
    <phoneticPr fontId="1" type="noConversion"/>
  </si>
  <si>
    <t>宏图三胞</t>
    <phoneticPr fontId="1" type="noConversion"/>
  </si>
  <si>
    <t>罗利亚</t>
    <phoneticPr fontId="1" type="noConversion"/>
  </si>
  <si>
    <t>克罗保</t>
    <phoneticPr fontId="1" type="noConversion"/>
  </si>
  <si>
    <t>志邦</t>
    <phoneticPr fontId="1" type="noConversion"/>
  </si>
  <si>
    <t>佳缘电器</t>
    <phoneticPr fontId="1" type="noConversion"/>
  </si>
  <si>
    <t>时代电子</t>
    <phoneticPr fontId="1" type="noConversion"/>
  </si>
  <si>
    <t>思创科技</t>
    <phoneticPr fontId="1" type="noConversion"/>
  </si>
  <si>
    <t>材料编码</t>
    <phoneticPr fontId="1" type="noConversion"/>
  </si>
  <si>
    <t>材料类别</t>
    <phoneticPr fontId="1" type="noConversion"/>
  </si>
  <si>
    <t>规格型号</t>
    <phoneticPr fontId="1" type="noConversion"/>
  </si>
  <si>
    <t>单位</t>
    <phoneticPr fontId="1" type="noConversion"/>
  </si>
  <si>
    <t>单价</t>
    <phoneticPr fontId="1" type="noConversion"/>
  </si>
  <si>
    <t>DZ0001</t>
    <phoneticPr fontId="1" type="noConversion"/>
  </si>
  <si>
    <t>电阻</t>
    <phoneticPr fontId="1" type="noConversion"/>
  </si>
  <si>
    <t>支</t>
    <phoneticPr fontId="1" type="noConversion"/>
  </si>
  <si>
    <t>DZ0002</t>
  </si>
  <si>
    <r>
      <t>32Ω</t>
    </r>
    <r>
      <rPr>
        <sz val="11"/>
        <color theme="1"/>
        <rFont val="宋体"/>
        <family val="3"/>
        <charset val="134"/>
      </rPr>
      <t/>
    </r>
    <phoneticPr fontId="1" type="noConversion"/>
  </si>
  <si>
    <t>DZ0003</t>
  </si>
  <si>
    <r>
      <t>100Ω</t>
    </r>
    <r>
      <rPr>
        <sz val="11"/>
        <color theme="1"/>
        <rFont val="宋体"/>
        <family val="3"/>
        <charset val="134"/>
      </rPr>
      <t/>
    </r>
    <phoneticPr fontId="1" type="noConversion"/>
  </si>
  <si>
    <t>DZ0004</t>
  </si>
  <si>
    <r>
      <t>320Ω</t>
    </r>
    <r>
      <rPr>
        <sz val="11"/>
        <color theme="1"/>
        <rFont val="宋体"/>
        <family val="3"/>
        <charset val="134"/>
      </rPr>
      <t/>
    </r>
    <phoneticPr fontId="1" type="noConversion"/>
  </si>
  <si>
    <t>DZ0005</t>
  </si>
  <si>
    <r>
      <t>29Ω</t>
    </r>
    <r>
      <rPr>
        <sz val="11"/>
        <color theme="1"/>
        <rFont val="宋体"/>
        <family val="3"/>
        <charset val="134"/>
      </rPr>
      <t/>
    </r>
  </si>
  <si>
    <t>DZ0006</t>
  </si>
  <si>
    <r>
      <t>30Ω</t>
    </r>
    <r>
      <rPr>
        <sz val="11"/>
        <color theme="1"/>
        <rFont val="宋体"/>
        <family val="3"/>
        <charset val="134"/>
      </rPr>
      <t/>
    </r>
  </si>
  <si>
    <t>DR0001</t>
    <phoneticPr fontId="1" type="noConversion"/>
  </si>
  <si>
    <t>电容</t>
    <phoneticPr fontId="1" type="noConversion"/>
  </si>
  <si>
    <t>10F</t>
    <phoneticPr fontId="1" type="noConversion"/>
  </si>
  <si>
    <t>DR0002</t>
  </si>
  <si>
    <t>18F</t>
    <phoneticPr fontId="1" type="noConversion"/>
  </si>
  <si>
    <t>DR0003</t>
  </si>
  <si>
    <t>50F</t>
    <phoneticPr fontId="1" type="noConversion"/>
  </si>
  <si>
    <t>DR0004</t>
  </si>
  <si>
    <t>100F</t>
    <phoneticPr fontId="1" type="noConversion"/>
  </si>
  <si>
    <t>DR0005</t>
  </si>
  <si>
    <t>25F</t>
    <phoneticPr fontId="1" type="noConversion"/>
  </si>
  <si>
    <t>DR0006</t>
  </si>
  <si>
    <t>0.5F</t>
    <phoneticPr fontId="1" type="noConversion"/>
  </si>
  <si>
    <t>JCK001</t>
    <phoneticPr fontId="1" type="noConversion"/>
  </si>
  <si>
    <t>集成块</t>
    <phoneticPr fontId="1" type="noConversion"/>
  </si>
  <si>
    <t>AEu8139</t>
    <phoneticPr fontId="1" type="noConversion"/>
  </si>
  <si>
    <t>JCK002</t>
  </si>
  <si>
    <t>AEu8120</t>
    <phoneticPr fontId="1" type="noConversion"/>
  </si>
  <si>
    <t>JCK003</t>
  </si>
  <si>
    <t>AEu8141</t>
  </si>
  <si>
    <t>JCK004</t>
  </si>
  <si>
    <t>AEu8152</t>
    <phoneticPr fontId="1" type="noConversion"/>
  </si>
  <si>
    <t>JCK005</t>
  </si>
  <si>
    <t>AEu8143</t>
  </si>
  <si>
    <t>JCK006</t>
  </si>
  <si>
    <t>AEu9144</t>
    <phoneticPr fontId="1" type="noConversion"/>
  </si>
  <si>
    <t>JCK007</t>
  </si>
  <si>
    <t>AEu8145</t>
  </si>
  <si>
    <r>
      <t>25</t>
    </r>
    <r>
      <rPr>
        <sz val="11"/>
        <color theme="1"/>
        <rFont val="宋体"/>
        <family val="3"/>
        <charset val="134"/>
      </rPr>
      <t>Ω</t>
    </r>
    <phoneticPr fontId="1" type="noConversion"/>
  </si>
  <si>
    <t>供应商编号</t>
    <phoneticPr fontId="1" type="noConversion"/>
  </si>
  <si>
    <t>供应商名称</t>
    <phoneticPr fontId="1" type="noConversion"/>
  </si>
  <si>
    <t>基础数据表</t>
    <phoneticPr fontId="1" type="noConversion"/>
  </si>
  <si>
    <t>材料入库明细表</t>
    <phoneticPr fontId="1" type="noConversion"/>
  </si>
  <si>
    <t>月</t>
    <phoneticPr fontId="10" type="noConversion"/>
  </si>
  <si>
    <t>日</t>
    <phoneticPr fontId="10" type="noConversion"/>
  </si>
  <si>
    <t>供货商编号</t>
    <phoneticPr fontId="10" type="noConversion"/>
  </si>
  <si>
    <t>供货商名称</t>
    <phoneticPr fontId="10" type="noConversion"/>
  </si>
  <si>
    <t>凭证号</t>
    <phoneticPr fontId="10" type="noConversion"/>
  </si>
  <si>
    <t>材料编码</t>
    <phoneticPr fontId="10" type="noConversion"/>
  </si>
  <si>
    <t>类别</t>
    <phoneticPr fontId="10" type="noConversion"/>
  </si>
  <si>
    <t>规格型号</t>
    <phoneticPr fontId="1" type="noConversion"/>
  </si>
  <si>
    <t>单位</t>
    <phoneticPr fontId="10" type="noConversion"/>
  </si>
  <si>
    <t>入库数量</t>
    <phoneticPr fontId="10" type="noConversion"/>
  </si>
  <si>
    <t>单价</t>
    <phoneticPr fontId="10" type="noConversion"/>
  </si>
  <si>
    <t>金额</t>
    <phoneticPr fontId="10" type="noConversion"/>
  </si>
  <si>
    <t>YQJ-0001</t>
  </si>
  <si>
    <t>DZ0001</t>
  </si>
  <si>
    <t>JCK-0001</t>
  </si>
  <si>
    <t>DR0001</t>
  </si>
  <si>
    <t>YZB-0001</t>
  </si>
  <si>
    <t>JCK001</t>
  </si>
  <si>
    <t>XSQ-0001</t>
  </si>
  <si>
    <t>TX-0001</t>
  </si>
  <si>
    <t>SRQ-0001</t>
  </si>
  <si>
    <t>YQJ-0004</t>
  </si>
  <si>
    <t>金额合计：</t>
    <phoneticPr fontId="1" type="noConversion"/>
  </si>
  <si>
    <t>月</t>
    <phoneticPr fontId="1" type="noConversion"/>
  </si>
  <si>
    <t>日</t>
    <phoneticPr fontId="1" type="noConversion"/>
  </si>
  <si>
    <t>部门编码</t>
    <phoneticPr fontId="1" type="noConversion"/>
  </si>
  <si>
    <t>部门名称</t>
    <phoneticPr fontId="1" type="noConversion"/>
  </si>
  <si>
    <t>凭证号</t>
    <phoneticPr fontId="10" type="noConversion"/>
  </si>
  <si>
    <t>材料编码</t>
    <phoneticPr fontId="10" type="noConversion"/>
  </si>
  <si>
    <t>材料类别</t>
    <phoneticPr fontId="10" type="noConversion"/>
  </si>
  <si>
    <t>规格型号</t>
    <phoneticPr fontId="1" type="noConversion"/>
  </si>
  <si>
    <t>单位</t>
    <phoneticPr fontId="10" type="noConversion"/>
  </si>
  <si>
    <t>申领数量</t>
    <phoneticPr fontId="10" type="noConversion"/>
  </si>
  <si>
    <t>实发数量数量</t>
    <phoneticPr fontId="10" type="noConversion"/>
  </si>
  <si>
    <t>单位成本</t>
    <phoneticPr fontId="10" type="noConversion"/>
  </si>
  <si>
    <t>金额</t>
    <phoneticPr fontId="10" type="noConversion"/>
  </si>
  <si>
    <t>一车间</t>
  </si>
  <si>
    <t>DZ0001</t>
    <phoneticPr fontId="1" type="noConversion"/>
  </si>
  <si>
    <t>电阻</t>
  </si>
  <si>
    <t>25Ω</t>
  </si>
  <si>
    <t>支</t>
  </si>
  <si>
    <t>32Ω</t>
  </si>
  <si>
    <t>100Ω</t>
  </si>
  <si>
    <t>320Ω</t>
  </si>
  <si>
    <t>29Ω</t>
  </si>
  <si>
    <t>30Ω</t>
  </si>
  <si>
    <t>二车间</t>
  </si>
  <si>
    <t>DR0001</t>
    <phoneticPr fontId="1" type="noConversion"/>
  </si>
  <si>
    <t>电容</t>
  </si>
  <si>
    <t>10F</t>
  </si>
  <si>
    <t>三车间</t>
  </si>
  <si>
    <t>18F</t>
  </si>
  <si>
    <t>50F</t>
  </si>
  <si>
    <t>100F</t>
  </si>
  <si>
    <t>25F</t>
  </si>
  <si>
    <t>0.5F</t>
  </si>
  <si>
    <t>四车间</t>
  </si>
  <si>
    <t>JCK001</t>
    <phoneticPr fontId="1" type="noConversion"/>
  </si>
  <si>
    <t>集成块</t>
  </si>
  <si>
    <t>AEu8139</t>
  </si>
  <si>
    <t>AEu8120</t>
  </si>
  <si>
    <t>AEu8152</t>
  </si>
  <si>
    <t>AEu9144</t>
  </si>
  <si>
    <t>DZ0001</t>
    <phoneticPr fontId="1" type="noConversion"/>
  </si>
  <si>
    <t>五车间</t>
  </si>
  <si>
    <t>维修部</t>
  </si>
  <si>
    <t>综合部</t>
  </si>
  <si>
    <t>KB001</t>
  </si>
  <si>
    <t>KB001</t>
    <phoneticPr fontId="1" type="noConversion"/>
  </si>
  <si>
    <t>KB002</t>
  </si>
  <si>
    <t>KB003</t>
  </si>
  <si>
    <t>KB004</t>
  </si>
  <si>
    <t>KB005</t>
  </si>
  <si>
    <t>KB006</t>
  </si>
  <si>
    <t>KB007</t>
  </si>
  <si>
    <t>本月领取情况记录表</t>
    <phoneticPr fontId="1" type="noConversion"/>
  </si>
  <si>
    <t>合  计  金  额</t>
    <phoneticPr fontId="10" type="noConversion"/>
  </si>
  <si>
    <t>材料</t>
    <phoneticPr fontId="10" type="noConversion"/>
  </si>
  <si>
    <t>材料</t>
    <phoneticPr fontId="10" type="noConversion"/>
  </si>
  <si>
    <t>名    称</t>
    <phoneticPr fontId="1" type="noConversion"/>
  </si>
  <si>
    <t>单</t>
    <phoneticPr fontId="10" type="noConversion"/>
  </si>
  <si>
    <r>
      <t>上</t>
    </r>
    <r>
      <rPr>
        <b/>
        <sz val="12"/>
        <rFont val="Times New Roman"/>
        <family val="1"/>
      </rPr>
      <t xml:space="preserve">  </t>
    </r>
    <r>
      <rPr>
        <b/>
        <sz val="11"/>
        <color theme="1"/>
        <rFont val="宋体"/>
        <family val="2"/>
        <charset val="134"/>
        <scheme val="minor"/>
      </rPr>
      <t>月</t>
    </r>
    <r>
      <rPr>
        <b/>
        <sz val="12"/>
        <rFont val="Times New Roman"/>
        <family val="1"/>
      </rPr>
      <t xml:space="preserve">  </t>
    </r>
    <r>
      <rPr>
        <b/>
        <sz val="11"/>
        <color theme="1"/>
        <rFont val="宋体"/>
        <family val="2"/>
        <charset val="134"/>
        <scheme val="minor"/>
      </rPr>
      <t>结</t>
    </r>
    <r>
      <rPr>
        <b/>
        <sz val="12"/>
        <rFont val="Times New Roman"/>
        <family val="1"/>
      </rPr>
      <t xml:space="preserve">  </t>
    </r>
    <r>
      <rPr>
        <b/>
        <sz val="11"/>
        <color theme="1"/>
        <rFont val="宋体"/>
        <family val="2"/>
        <charset val="134"/>
        <scheme val="minor"/>
      </rPr>
      <t>存</t>
    </r>
    <phoneticPr fontId="10" type="noConversion"/>
  </si>
  <si>
    <r>
      <t>本</t>
    </r>
    <r>
      <rPr>
        <b/>
        <sz val="12"/>
        <rFont val="Times New Roman"/>
        <family val="1"/>
      </rPr>
      <t xml:space="preserve">  </t>
    </r>
    <r>
      <rPr>
        <b/>
        <sz val="11"/>
        <color theme="1"/>
        <rFont val="宋体"/>
        <family val="2"/>
        <charset val="134"/>
        <scheme val="minor"/>
      </rPr>
      <t>月</t>
    </r>
    <r>
      <rPr>
        <b/>
        <sz val="12"/>
        <rFont val="Times New Roman"/>
        <family val="1"/>
      </rPr>
      <t xml:space="preserve">  </t>
    </r>
    <r>
      <rPr>
        <b/>
        <sz val="11"/>
        <color theme="1"/>
        <rFont val="宋体"/>
        <family val="2"/>
        <charset val="134"/>
        <scheme val="minor"/>
      </rPr>
      <t>进</t>
    </r>
    <r>
      <rPr>
        <b/>
        <sz val="12"/>
        <rFont val="Times New Roman"/>
        <family val="1"/>
      </rPr>
      <t xml:space="preserve">  </t>
    </r>
    <r>
      <rPr>
        <b/>
        <sz val="11"/>
        <color theme="1"/>
        <rFont val="宋体"/>
        <family val="2"/>
        <charset val="134"/>
        <scheme val="minor"/>
      </rPr>
      <t>货</t>
    </r>
    <phoneticPr fontId="10" type="noConversion"/>
  </si>
  <si>
    <r>
      <t>本</t>
    </r>
    <r>
      <rPr>
        <b/>
        <sz val="12"/>
        <rFont val="Times New Roman"/>
        <family val="1"/>
      </rPr>
      <t xml:space="preserve">  </t>
    </r>
    <r>
      <rPr>
        <b/>
        <sz val="11"/>
        <color theme="1"/>
        <rFont val="宋体"/>
        <family val="2"/>
        <charset val="134"/>
        <scheme val="minor"/>
      </rPr>
      <t>月</t>
    </r>
    <r>
      <rPr>
        <b/>
        <sz val="12"/>
        <rFont val="Times New Roman"/>
        <family val="1"/>
      </rPr>
      <t xml:space="preserve">  </t>
    </r>
    <r>
      <rPr>
        <b/>
        <sz val="11"/>
        <color theme="1"/>
        <rFont val="宋体"/>
        <family val="2"/>
        <charset val="134"/>
        <scheme val="minor"/>
      </rPr>
      <t>出</t>
    </r>
    <r>
      <rPr>
        <b/>
        <sz val="12"/>
        <rFont val="Times New Roman"/>
        <family val="1"/>
      </rPr>
      <t xml:space="preserve">  </t>
    </r>
    <r>
      <rPr>
        <b/>
        <sz val="11"/>
        <color theme="1"/>
        <rFont val="宋体"/>
        <family val="2"/>
        <charset val="134"/>
        <scheme val="minor"/>
      </rPr>
      <t>货</t>
    </r>
    <phoneticPr fontId="10" type="noConversion"/>
  </si>
  <si>
    <r>
      <t>本</t>
    </r>
    <r>
      <rPr>
        <b/>
        <sz val="12"/>
        <rFont val="Times New Roman"/>
        <family val="1"/>
      </rPr>
      <t xml:space="preserve">  </t>
    </r>
    <r>
      <rPr>
        <b/>
        <sz val="11"/>
        <color theme="1"/>
        <rFont val="宋体"/>
        <family val="2"/>
        <charset val="134"/>
        <scheme val="minor"/>
      </rPr>
      <t>月</t>
    </r>
    <r>
      <rPr>
        <b/>
        <sz val="12"/>
        <rFont val="Times New Roman"/>
        <family val="1"/>
      </rPr>
      <t xml:space="preserve">  </t>
    </r>
    <r>
      <rPr>
        <b/>
        <sz val="11"/>
        <color theme="1"/>
        <rFont val="宋体"/>
        <family val="2"/>
        <charset val="134"/>
        <scheme val="minor"/>
      </rPr>
      <t>结</t>
    </r>
    <r>
      <rPr>
        <b/>
        <sz val="12"/>
        <rFont val="Times New Roman"/>
        <family val="1"/>
      </rPr>
      <t xml:space="preserve">  </t>
    </r>
    <r>
      <rPr>
        <b/>
        <sz val="11"/>
        <color theme="1"/>
        <rFont val="宋体"/>
        <family val="2"/>
        <charset val="134"/>
        <scheme val="minor"/>
      </rPr>
      <t>存</t>
    </r>
    <phoneticPr fontId="10" type="noConversion"/>
  </si>
  <si>
    <t>编码</t>
    <phoneticPr fontId="10" type="noConversion"/>
  </si>
  <si>
    <t>类别</t>
    <phoneticPr fontId="10" type="noConversion"/>
  </si>
  <si>
    <t>及规格型号</t>
    <phoneticPr fontId="1" type="noConversion"/>
  </si>
  <si>
    <t>位</t>
    <phoneticPr fontId="10" type="noConversion"/>
  </si>
  <si>
    <t>金额</t>
    <phoneticPr fontId="10" type="noConversion"/>
  </si>
  <si>
    <t>唯一性</t>
    <phoneticPr fontId="10" type="noConversion"/>
  </si>
  <si>
    <t>数量</t>
    <phoneticPr fontId="10" type="noConversion"/>
  </si>
  <si>
    <t>单价</t>
    <phoneticPr fontId="10" type="noConversion"/>
  </si>
  <si>
    <t>YQJ-0003</t>
    <phoneticPr fontId="1" type="noConversion"/>
  </si>
  <si>
    <t>YQJ-0004</t>
    <phoneticPr fontId="1" type="noConversion"/>
  </si>
  <si>
    <t>JCK-0003</t>
    <phoneticPr fontId="1" type="noConversion"/>
  </si>
  <si>
    <t>XSQ-0002</t>
    <phoneticPr fontId="1" type="noConversion"/>
  </si>
  <si>
    <t>JCK-0004</t>
    <phoneticPr fontId="1" type="noConversion"/>
  </si>
  <si>
    <t>JCK-0005</t>
  </si>
  <si>
    <t>JCK-0005</t>
    <phoneticPr fontId="1" type="noConversion"/>
  </si>
  <si>
    <t>XSQ-0003</t>
    <phoneticPr fontId="1" type="noConversion"/>
  </si>
  <si>
    <t>XSQ-0004</t>
    <phoneticPr fontId="1" type="noConversion"/>
  </si>
  <si>
    <t>XSQ-0005</t>
  </si>
  <si>
    <t>XSQ-0005</t>
    <phoneticPr fontId="1" type="noConversion"/>
  </si>
  <si>
    <t>金额</t>
    <phoneticPr fontId="10" type="noConversion"/>
  </si>
  <si>
    <t>材料进出库存月报表</t>
    <phoneticPr fontId="10" type="noConversion"/>
  </si>
  <si>
    <t>公司名称</t>
    <phoneticPr fontId="1" type="noConversion"/>
  </si>
  <si>
    <t>华云信息有限公司</t>
    <phoneticPr fontId="1" type="noConversion"/>
  </si>
  <si>
    <t>制表时间</t>
    <phoneticPr fontId="1" type="noConversion"/>
  </si>
  <si>
    <t>制表部门</t>
    <phoneticPr fontId="1" type="noConversion"/>
  </si>
  <si>
    <t>品管部</t>
    <phoneticPr fontId="1" type="noConversion"/>
  </si>
  <si>
    <t>单位</t>
    <phoneticPr fontId="1" type="noConversion"/>
  </si>
  <si>
    <t>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</si>
</sst>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_);[Red]\(0.0\)"/>
    <numFmt numFmtId="177" formatCode="0.00_);[Red]\(0.00\)"/>
  </numFmts>
  <fonts count="2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b/>
      <sz val="24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theme="1"/>
      <name val="华文中宋"/>
      <family val="3"/>
      <charset val="134"/>
    </font>
    <font>
      <b/>
      <sz val="11"/>
      <color theme="1"/>
      <name val="华文中宋"/>
      <family val="3"/>
      <charset val="134"/>
    </font>
    <font>
      <sz val="9"/>
      <name val="宋体"/>
      <family val="3"/>
      <charset val="134"/>
    </font>
    <font>
      <sz val="10"/>
      <color theme="1"/>
      <name val="华文中宋"/>
      <family val="3"/>
      <charset val="134"/>
    </font>
    <font>
      <b/>
      <sz val="28"/>
      <color theme="0"/>
      <name val="楷体_GB2312"/>
      <family val="3"/>
      <charset val="134"/>
    </font>
    <font>
      <sz val="28"/>
      <color theme="1"/>
      <name val="华文中宋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4"/>
      <name val="黑体"/>
      <family val="3"/>
      <charset val="134"/>
    </font>
    <font>
      <b/>
      <sz val="12"/>
      <name val="Times New Roman"/>
      <family val="1"/>
    </font>
    <font>
      <sz val="10"/>
      <color rgb="FF99FFCC"/>
      <name val="宋体"/>
      <family val="3"/>
      <charset val="134"/>
      <scheme val="minor"/>
    </font>
    <font>
      <b/>
      <sz val="24"/>
      <color theme="0"/>
      <name val="华文宋体"/>
      <family val="3"/>
      <charset val="134"/>
    </font>
    <font>
      <b/>
      <sz val="12"/>
      <name val="黑体"/>
      <family val="3"/>
      <charset val="134"/>
    </font>
    <font>
      <b/>
      <sz val="11"/>
      <color rgb="FFFF0000"/>
      <name val="宋体"/>
      <family val="3"/>
      <charset val="134"/>
    </font>
    <font>
      <sz val="11"/>
      <color rgb="FFFF000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9F5F2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7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11" fillId="0" borderId="3" xfId="0" applyFont="1" applyBorder="1" applyAlignment="1">
      <alignment horizontal="center" vertical="center"/>
    </xf>
    <xf numFmtId="0" fontId="11" fillId="0" borderId="0" xfId="0" applyFont="1">
      <alignment vertical="center"/>
    </xf>
    <xf numFmtId="0" fontId="8" fillId="0" borderId="3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5" xfId="0" applyFont="1" applyFill="1" applyBorder="1" applyAlignment="1" applyProtection="1">
      <alignment horizontal="center" vertical="center"/>
      <protection hidden="1"/>
    </xf>
    <xf numFmtId="0" fontId="9" fillId="0" borderId="6" xfId="0" applyFont="1" applyFill="1" applyBorder="1" applyAlignment="1" applyProtection="1">
      <alignment horizontal="center" vertical="center"/>
      <protection hidden="1"/>
    </xf>
    <xf numFmtId="0" fontId="9" fillId="0" borderId="7" xfId="0" applyFont="1" applyFill="1" applyBorder="1" applyAlignment="1" applyProtection="1">
      <alignment horizontal="center" vertical="center"/>
      <protection hidden="1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8" fillId="0" borderId="10" xfId="0" applyFont="1" applyBorder="1">
      <alignment vertical="center"/>
    </xf>
    <xf numFmtId="0" fontId="8" fillId="0" borderId="11" xfId="0" applyFont="1" applyBorder="1">
      <alignment vertical="center"/>
    </xf>
    <xf numFmtId="0" fontId="8" fillId="0" borderId="11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4" xfId="0" applyFont="1" applyBorder="1">
      <alignment vertical="center"/>
    </xf>
    <xf numFmtId="0" fontId="9" fillId="4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4" borderId="3" xfId="0" applyFont="1" applyFill="1" applyBorder="1" applyAlignment="1" applyProtection="1">
      <alignment horizontal="center" vertical="center"/>
      <protection hidden="1"/>
    </xf>
    <xf numFmtId="0" fontId="9" fillId="0" borderId="3" xfId="0" applyFont="1" applyFill="1" applyBorder="1" applyAlignment="1" applyProtection="1">
      <alignment horizontal="center" vertical="center"/>
      <protection hidden="1"/>
    </xf>
    <xf numFmtId="0" fontId="0" fillId="0" borderId="16" xfId="0" applyBorder="1">
      <alignment vertical="center"/>
    </xf>
    <xf numFmtId="0" fontId="14" fillId="4" borderId="3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76" fontId="15" fillId="0" borderId="3" xfId="1" applyNumberFormat="1" applyFont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49" fontId="16" fillId="0" borderId="0" xfId="0" applyNumberFormat="1" applyFont="1" applyBorder="1" applyAlignment="1" applyProtection="1">
      <alignment vertical="center"/>
      <protection hidden="1"/>
    </xf>
    <xf numFmtId="0" fontId="15" fillId="0" borderId="0" xfId="0" applyFont="1" applyAlignment="1">
      <alignment horizontal="center" vertical="center"/>
    </xf>
    <xf numFmtId="177" fontId="0" fillId="0" borderId="0" xfId="0" applyNumberFormat="1">
      <alignment vertical="center"/>
    </xf>
    <xf numFmtId="0" fontId="4" fillId="0" borderId="1" xfId="0" applyFont="1" applyBorder="1" applyAlignment="1" applyProtection="1">
      <alignment horizontal="center" vertical="center" wrapText="1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0" fontId="15" fillId="0" borderId="1" xfId="0" applyFont="1" applyBorder="1" applyAlignment="1">
      <alignment horizontal="center" vertical="center"/>
    </xf>
    <xf numFmtId="177" fontId="15" fillId="0" borderId="1" xfId="0" applyNumberFormat="1" applyFont="1" applyBorder="1" applyAlignment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  <protection hidden="1"/>
    </xf>
    <xf numFmtId="177" fontId="15" fillId="4" borderId="1" xfId="0" applyNumberFormat="1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  <protection hidden="1"/>
    </xf>
    <xf numFmtId="177" fontId="15" fillId="6" borderId="1" xfId="0" applyNumberFormat="1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19" fillId="7" borderId="20" xfId="0" applyFont="1" applyFill="1" applyBorder="1" applyAlignment="1">
      <alignment horizontal="center" vertical="center"/>
    </xf>
    <xf numFmtId="0" fontId="19" fillId="7" borderId="21" xfId="0" applyFont="1" applyFill="1" applyBorder="1" applyAlignment="1">
      <alignment horizontal="center" vertical="center"/>
    </xf>
    <xf numFmtId="0" fontId="4" fillId="0" borderId="8" xfId="0" applyFont="1" applyBorder="1" applyAlignment="1" applyProtection="1">
      <alignment horizontal="center" vertical="center" wrapText="1"/>
      <protection hidden="1"/>
    </xf>
    <xf numFmtId="0" fontId="4" fillId="0" borderId="8" xfId="0" applyFont="1" applyBorder="1" applyAlignment="1" applyProtection="1">
      <alignment horizontal="center" vertical="center"/>
      <protection hidden="1"/>
    </xf>
    <xf numFmtId="0" fontId="14" fillId="0" borderId="8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6" borderId="11" xfId="0" applyFont="1" applyFill="1" applyBorder="1" applyAlignment="1">
      <alignment horizontal="center" vertical="center"/>
    </xf>
    <xf numFmtId="177" fontId="15" fillId="6" borderId="11" xfId="0" applyNumberFormat="1" applyFont="1" applyFill="1" applyBorder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177" fontId="15" fillId="4" borderId="11" xfId="0" applyNumberFormat="1" applyFont="1" applyFill="1" applyBorder="1" applyAlignment="1">
      <alignment horizontal="center" vertical="center"/>
    </xf>
    <xf numFmtId="177" fontId="15" fillId="0" borderId="11" xfId="0" applyNumberFormat="1" applyFont="1" applyBorder="1" applyAlignment="1">
      <alignment horizontal="center" vertical="center"/>
    </xf>
    <xf numFmtId="0" fontId="15" fillId="0" borderId="1" xfId="0" applyNumberFormat="1" applyFont="1" applyBorder="1" applyAlignment="1">
      <alignment horizontal="center" vertical="center"/>
    </xf>
    <xf numFmtId="0" fontId="15" fillId="7" borderId="1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  <protection hidden="1"/>
    </xf>
    <xf numFmtId="0" fontId="18" fillId="6" borderId="1" xfId="0" applyFont="1" applyFill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0" fontId="18" fillId="0" borderId="1" xfId="0" applyFont="1" applyBorder="1" applyAlignment="1" applyProtection="1">
      <alignment horizontal="center" vertical="center"/>
      <protection hidden="1"/>
    </xf>
    <xf numFmtId="0" fontId="4" fillId="4" borderId="1" xfId="0" applyFont="1" applyFill="1" applyBorder="1" applyAlignment="1" applyProtection="1">
      <alignment horizontal="center" vertical="center"/>
      <protection hidden="1"/>
    </xf>
    <xf numFmtId="0" fontId="18" fillId="4" borderId="1" xfId="0" applyFont="1" applyFill="1" applyBorder="1" applyAlignment="1" applyProtection="1">
      <alignment horizontal="center" vertical="center"/>
      <protection hidden="1"/>
    </xf>
    <xf numFmtId="0" fontId="6" fillId="0" borderId="22" xfId="0" applyFont="1" applyFill="1" applyBorder="1" applyAlignment="1" applyProtection="1">
      <alignment horizontal="center" vertical="center" wrapText="1"/>
      <protection hidden="1"/>
    </xf>
    <xf numFmtId="0" fontId="6" fillId="0" borderId="17" xfId="0" applyFont="1" applyFill="1" applyBorder="1" applyAlignment="1" applyProtection="1">
      <alignment horizontal="center" vertical="center" wrapText="1"/>
      <protection hidden="1"/>
    </xf>
    <xf numFmtId="0" fontId="6" fillId="0" borderId="18" xfId="0" applyFont="1" applyFill="1" applyBorder="1" applyAlignment="1" applyProtection="1">
      <alignment horizontal="center" vertical="center" wrapText="1"/>
      <protection hidden="1"/>
    </xf>
    <xf numFmtId="0" fontId="20" fillId="8" borderId="0" xfId="0" applyFont="1" applyFill="1" applyAlignment="1" applyProtection="1">
      <alignment horizontal="center" vertical="center"/>
      <protection hidden="1"/>
    </xf>
    <xf numFmtId="49" fontId="21" fillId="0" borderId="5" xfId="0" applyNumberFormat="1" applyFont="1" applyBorder="1" applyAlignment="1" applyProtection="1">
      <alignment horizontal="center" vertical="center"/>
      <protection hidden="1"/>
    </xf>
    <xf numFmtId="49" fontId="21" fillId="0" borderId="6" xfId="0" applyNumberFormat="1" applyFont="1" applyBorder="1" applyAlignment="1" applyProtection="1">
      <alignment horizontal="center" vertical="center"/>
      <protection hidden="1"/>
    </xf>
    <xf numFmtId="43" fontId="17" fillId="5" borderId="23" xfId="1" applyFont="1" applyFill="1" applyBorder="1" applyAlignment="1" applyProtection="1">
      <alignment horizontal="right" vertical="center"/>
      <protection hidden="1"/>
    </xf>
    <xf numFmtId="43" fontId="17" fillId="5" borderId="24" xfId="1" applyFont="1" applyFill="1" applyBorder="1" applyAlignment="1" applyProtection="1">
      <alignment horizontal="right" vertical="center"/>
      <protection hidden="1"/>
    </xf>
    <xf numFmtId="43" fontId="17" fillId="5" borderId="25" xfId="1" applyFont="1" applyFill="1" applyBorder="1" applyAlignment="1" applyProtection="1">
      <alignment horizontal="right" vertical="center"/>
      <protection hidden="1"/>
    </xf>
    <xf numFmtId="0" fontId="2" fillId="0" borderId="0" xfId="0" applyFont="1" applyBorder="1" applyAlignment="1">
      <alignment horizontal="left" vertical="center"/>
    </xf>
    <xf numFmtId="14" fontId="2" fillId="0" borderId="0" xfId="0" applyNumberFormat="1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2" fillId="0" borderId="0" xfId="0" applyFont="1" applyBorder="1" applyAlignment="1">
      <alignment horizontal="left" vertical="center"/>
    </xf>
    <xf numFmtId="44" fontId="23" fillId="0" borderId="0" xfId="4" applyFont="1" applyBorder="1" applyAlignment="1">
      <alignment horizontal="left" vertical="center"/>
    </xf>
  </cellXfs>
  <cellStyles count="5">
    <cellStyle name="常规" xfId="0" builtinId="0"/>
    <cellStyle name="常规 2" xfId="2"/>
    <cellStyle name="货币" xfId="4" builtinId="4"/>
    <cellStyle name="千位分隔" xfId="1" builtinId="3"/>
    <cellStyle name="千位分隔 2" xfId="3"/>
  </cellStyles>
  <dxfs count="0"/>
  <tableStyles count="0" defaultTableStyle="TableStyleMedium2" defaultPivotStyle="PivotStyleLight16"/>
  <colors>
    <mruColors>
      <color rgb="FFD9F5F2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7754;&#27915;&#24935;/&#30446;&#24405;/&#20250;&#35745;/&#23454;&#20363;&#25991;&#20214;/&#31532;5&#31456;/&#26368;&#32456;&#25991;&#20214;/&#39046;&#26009;&#21333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27754;&#27915;&#24935;/&#30446;&#24405;/&#20250;&#35745;/&#23454;&#20363;&#25991;&#20214;/&#31532;5&#31456;/&#26368;&#32456;&#25991;&#20214;/&#26448;&#26009;&#36827;&#20986;&#24211;&#26376;&#25253;&#34920;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供应商名册"/>
      <sheetName val="材料名册"/>
      <sheetName val="部门"/>
      <sheetName val="领料单"/>
    </sheetNames>
    <sheetDataSet>
      <sheetData sheetId="0">
        <row r="1">
          <cell r="B1" t="str">
            <v>供应商名称</v>
          </cell>
        </row>
      </sheetData>
      <sheetData sheetId="1"/>
      <sheetData sheetId="2">
        <row r="1">
          <cell r="A1" t="str">
            <v>部门编码</v>
          </cell>
          <cell r="B1" t="str">
            <v>部门名称</v>
          </cell>
        </row>
        <row r="2">
          <cell r="A2" t="str">
            <v>bm001</v>
          </cell>
          <cell r="B2" t="str">
            <v>一车间</v>
          </cell>
        </row>
        <row r="3">
          <cell r="A3" t="str">
            <v>bm002</v>
          </cell>
          <cell r="B3" t="str">
            <v>二车间</v>
          </cell>
        </row>
        <row r="4">
          <cell r="A4" t="str">
            <v>bm003</v>
          </cell>
          <cell r="B4" t="str">
            <v>三车间</v>
          </cell>
        </row>
        <row r="5">
          <cell r="A5" t="str">
            <v>bm004</v>
          </cell>
          <cell r="B5" t="str">
            <v>四车间</v>
          </cell>
        </row>
        <row r="6">
          <cell r="A6" t="str">
            <v>bm005</v>
          </cell>
          <cell r="B6" t="str">
            <v>五车间</v>
          </cell>
        </row>
        <row r="7">
          <cell r="A7" t="str">
            <v>bm006</v>
          </cell>
          <cell r="B7" t="str">
            <v>维修部</v>
          </cell>
        </row>
        <row r="8">
          <cell r="A8" t="str">
            <v>bm007</v>
          </cell>
          <cell r="B8" t="str">
            <v>综合部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上月余额"/>
      <sheetName val="材料入库明细表"/>
      <sheetName val="领料单"/>
      <sheetName val="材料进出存月报表"/>
    </sheetNames>
    <sheetDataSet>
      <sheetData sheetId="0">
        <row r="1">
          <cell r="A1" t="str">
            <v>材料编码</v>
          </cell>
          <cell r="B1" t="str">
            <v>材料类别</v>
          </cell>
          <cell r="C1" t="str">
            <v>规格型号</v>
          </cell>
          <cell r="D1" t="str">
            <v>单位</v>
          </cell>
          <cell r="E1" t="str">
            <v>单价</v>
          </cell>
          <cell r="F1" t="str">
            <v>库存数</v>
          </cell>
        </row>
        <row r="2">
          <cell r="A2" t="str">
            <v>DZ0001</v>
          </cell>
          <cell r="B2" t="str">
            <v>电阻</v>
          </cell>
          <cell r="C2" t="str">
            <v>25Ω</v>
          </cell>
          <cell r="D2" t="str">
            <v>支</v>
          </cell>
          <cell r="E2">
            <v>0.25</v>
          </cell>
          <cell r="F2">
            <v>500</v>
          </cell>
        </row>
        <row r="3">
          <cell r="A3" t="str">
            <v>DZ0002</v>
          </cell>
          <cell r="B3" t="str">
            <v>电阻</v>
          </cell>
          <cell r="C3" t="str">
            <v>32Ω</v>
          </cell>
          <cell r="D3" t="str">
            <v>支</v>
          </cell>
          <cell r="E3">
            <v>0.33</v>
          </cell>
          <cell r="F3">
            <v>10000</v>
          </cell>
        </row>
        <row r="4">
          <cell r="A4" t="str">
            <v>DZ0003</v>
          </cell>
          <cell r="B4" t="str">
            <v>电阻</v>
          </cell>
          <cell r="C4" t="str">
            <v>100Ω</v>
          </cell>
          <cell r="D4" t="str">
            <v>支</v>
          </cell>
          <cell r="E4">
            <v>0.57999999999999996</v>
          </cell>
          <cell r="F4">
            <v>820</v>
          </cell>
        </row>
        <row r="5">
          <cell r="A5" t="str">
            <v>DZ0004</v>
          </cell>
          <cell r="B5" t="str">
            <v>电阻</v>
          </cell>
          <cell r="C5" t="str">
            <v>320Ω</v>
          </cell>
          <cell r="D5" t="str">
            <v>支</v>
          </cell>
          <cell r="E5">
            <v>0.89</v>
          </cell>
          <cell r="F5">
            <v>1580</v>
          </cell>
        </row>
        <row r="6">
          <cell r="A6" t="str">
            <v>DZ0005</v>
          </cell>
          <cell r="B6" t="str">
            <v>电阻</v>
          </cell>
          <cell r="C6" t="str">
            <v>29Ω</v>
          </cell>
          <cell r="D6" t="str">
            <v>支</v>
          </cell>
          <cell r="E6">
            <v>0.21</v>
          </cell>
          <cell r="F6">
            <v>700</v>
          </cell>
        </row>
        <row r="7">
          <cell r="A7" t="str">
            <v>DZ0006</v>
          </cell>
          <cell r="B7" t="str">
            <v>电阻</v>
          </cell>
          <cell r="C7" t="str">
            <v>30Ω</v>
          </cell>
          <cell r="D7" t="str">
            <v>支</v>
          </cell>
          <cell r="E7">
            <v>0.36</v>
          </cell>
          <cell r="F7">
            <v>980</v>
          </cell>
        </row>
        <row r="8">
          <cell r="A8" t="str">
            <v>DR0001</v>
          </cell>
          <cell r="B8" t="str">
            <v>电容</v>
          </cell>
          <cell r="C8" t="str">
            <v>10F</v>
          </cell>
          <cell r="D8" t="str">
            <v>支</v>
          </cell>
          <cell r="E8">
            <v>0.78</v>
          </cell>
          <cell r="F8">
            <v>700</v>
          </cell>
        </row>
        <row r="9">
          <cell r="A9" t="str">
            <v>DR0002</v>
          </cell>
          <cell r="B9" t="str">
            <v>电容</v>
          </cell>
          <cell r="C9" t="str">
            <v>18F</v>
          </cell>
          <cell r="D9" t="str">
            <v>支</v>
          </cell>
          <cell r="E9">
            <v>0.65</v>
          </cell>
          <cell r="F9">
            <v>850</v>
          </cell>
        </row>
        <row r="10">
          <cell r="A10" t="str">
            <v>DR0003</v>
          </cell>
          <cell r="B10" t="str">
            <v>电容</v>
          </cell>
          <cell r="C10" t="str">
            <v>50F</v>
          </cell>
          <cell r="D10" t="str">
            <v>支</v>
          </cell>
          <cell r="E10">
            <v>0.75</v>
          </cell>
          <cell r="F10">
            <v>456</v>
          </cell>
        </row>
        <row r="11">
          <cell r="A11" t="str">
            <v>DR0004</v>
          </cell>
          <cell r="B11" t="str">
            <v>电容</v>
          </cell>
          <cell r="C11" t="str">
            <v>100F</v>
          </cell>
          <cell r="D11" t="str">
            <v>支</v>
          </cell>
          <cell r="E11">
            <v>0.85</v>
          </cell>
          <cell r="F11">
            <v>1470</v>
          </cell>
        </row>
        <row r="12">
          <cell r="A12" t="str">
            <v>DR0005</v>
          </cell>
          <cell r="B12" t="str">
            <v>电容</v>
          </cell>
          <cell r="C12" t="str">
            <v>25F</v>
          </cell>
          <cell r="D12" t="str">
            <v>支</v>
          </cell>
          <cell r="E12">
            <v>0.9</v>
          </cell>
          <cell r="F12">
            <v>840</v>
          </cell>
        </row>
        <row r="13">
          <cell r="A13" t="str">
            <v>DR0006</v>
          </cell>
          <cell r="B13" t="str">
            <v>电容</v>
          </cell>
          <cell r="C13" t="str">
            <v>0.5F</v>
          </cell>
          <cell r="D13" t="str">
            <v>支</v>
          </cell>
          <cell r="E13">
            <v>0.55000000000000004</v>
          </cell>
          <cell r="F13">
            <v>521</v>
          </cell>
        </row>
        <row r="14">
          <cell r="A14" t="str">
            <v>JCK001</v>
          </cell>
          <cell r="B14" t="str">
            <v>集成块</v>
          </cell>
          <cell r="C14" t="str">
            <v>AEu8139</v>
          </cell>
          <cell r="D14" t="str">
            <v>支</v>
          </cell>
          <cell r="E14">
            <v>58.5</v>
          </cell>
          <cell r="F14">
            <v>146</v>
          </cell>
        </row>
        <row r="15">
          <cell r="A15" t="str">
            <v>JCK002</v>
          </cell>
          <cell r="B15" t="str">
            <v>集成块</v>
          </cell>
          <cell r="C15" t="str">
            <v>AEu8120</v>
          </cell>
          <cell r="D15" t="str">
            <v>支</v>
          </cell>
          <cell r="E15">
            <v>75.599999999999994</v>
          </cell>
          <cell r="F15">
            <v>300</v>
          </cell>
        </row>
        <row r="16">
          <cell r="A16" t="str">
            <v>JCK003</v>
          </cell>
          <cell r="B16" t="str">
            <v>集成块</v>
          </cell>
          <cell r="C16" t="str">
            <v>AEu8141</v>
          </cell>
          <cell r="D16" t="str">
            <v>支</v>
          </cell>
          <cell r="E16">
            <v>124.85</v>
          </cell>
          <cell r="F16">
            <v>452</v>
          </cell>
        </row>
        <row r="17">
          <cell r="A17" t="str">
            <v>JCK004</v>
          </cell>
          <cell r="B17" t="str">
            <v>集成块</v>
          </cell>
          <cell r="C17" t="str">
            <v>AEu8152</v>
          </cell>
          <cell r="D17" t="str">
            <v>支</v>
          </cell>
          <cell r="E17">
            <v>320</v>
          </cell>
          <cell r="F17">
            <v>125</v>
          </cell>
        </row>
        <row r="18">
          <cell r="A18" t="str">
            <v>JCK005</v>
          </cell>
          <cell r="B18" t="str">
            <v>集成块</v>
          </cell>
          <cell r="C18" t="str">
            <v>AEu8143</v>
          </cell>
          <cell r="D18" t="str">
            <v>支</v>
          </cell>
          <cell r="E18">
            <v>70</v>
          </cell>
          <cell r="F18">
            <v>41</v>
          </cell>
        </row>
        <row r="19">
          <cell r="A19" t="str">
            <v>JCK006</v>
          </cell>
          <cell r="B19" t="str">
            <v>集成块</v>
          </cell>
          <cell r="C19" t="str">
            <v>AEu9144</v>
          </cell>
          <cell r="D19" t="str">
            <v>支</v>
          </cell>
          <cell r="E19">
            <v>185</v>
          </cell>
          <cell r="F19">
            <v>50</v>
          </cell>
        </row>
        <row r="20">
          <cell r="A20" t="str">
            <v>JCK007</v>
          </cell>
          <cell r="B20" t="str">
            <v>集成块</v>
          </cell>
          <cell r="C20" t="str">
            <v>AEu8145</v>
          </cell>
          <cell r="D20" t="str">
            <v>支</v>
          </cell>
          <cell r="E20">
            <v>412.5</v>
          </cell>
          <cell r="F20">
            <v>18</v>
          </cell>
        </row>
      </sheetData>
      <sheetData sheetId="1"/>
      <sheetData sheetId="2">
        <row r="5">
          <cell r="F5" t="str">
            <v>DZ0001</v>
          </cell>
          <cell r="K5">
            <v>5000</v>
          </cell>
        </row>
        <row r="6">
          <cell r="F6" t="str">
            <v>DZ0002</v>
          </cell>
          <cell r="K6">
            <v>7500</v>
          </cell>
        </row>
        <row r="7">
          <cell r="F7" t="str">
            <v>DZ0003</v>
          </cell>
          <cell r="K7">
            <v>800</v>
          </cell>
        </row>
        <row r="8">
          <cell r="F8" t="str">
            <v>DZ0004</v>
          </cell>
          <cell r="K8">
            <v>1200</v>
          </cell>
        </row>
        <row r="9">
          <cell r="F9" t="str">
            <v>DZ0005</v>
          </cell>
          <cell r="K9">
            <v>500</v>
          </cell>
        </row>
        <row r="10">
          <cell r="F10" t="str">
            <v>DZ0006</v>
          </cell>
          <cell r="K10">
            <v>300</v>
          </cell>
        </row>
        <row r="11">
          <cell r="F11" t="str">
            <v>DR0001</v>
          </cell>
          <cell r="K11">
            <v>200</v>
          </cell>
        </row>
        <row r="12">
          <cell r="F12" t="str">
            <v>DR0002</v>
          </cell>
          <cell r="K12">
            <v>100</v>
          </cell>
        </row>
        <row r="13">
          <cell r="F13" t="str">
            <v>DR0003</v>
          </cell>
          <cell r="K13">
            <v>520</v>
          </cell>
        </row>
        <row r="14">
          <cell r="F14" t="str">
            <v>DR0004</v>
          </cell>
          <cell r="K14">
            <v>620</v>
          </cell>
        </row>
        <row r="15">
          <cell r="F15" t="str">
            <v>DR0005</v>
          </cell>
          <cell r="K15">
            <v>400</v>
          </cell>
        </row>
        <row r="16">
          <cell r="F16" t="str">
            <v>DR0006</v>
          </cell>
          <cell r="K16">
            <v>500</v>
          </cell>
        </row>
        <row r="17">
          <cell r="F17" t="str">
            <v>JCK001</v>
          </cell>
          <cell r="K17">
            <v>300</v>
          </cell>
        </row>
        <row r="18">
          <cell r="F18" t="str">
            <v>JCK002</v>
          </cell>
          <cell r="K18">
            <v>200</v>
          </cell>
        </row>
        <row r="19">
          <cell r="F19" t="str">
            <v>JCK003</v>
          </cell>
          <cell r="K19">
            <v>200</v>
          </cell>
        </row>
        <row r="20">
          <cell r="F20" t="str">
            <v>JCK004</v>
          </cell>
          <cell r="K20">
            <v>50</v>
          </cell>
        </row>
        <row r="21">
          <cell r="F21" t="str">
            <v>JCK005</v>
          </cell>
          <cell r="K21">
            <v>15</v>
          </cell>
        </row>
        <row r="22">
          <cell r="F22" t="str">
            <v>JCK006</v>
          </cell>
          <cell r="K22">
            <v>20</v>
          </cell>
        </row>
        <row r="23">
          <cell r="F23" t="str">
            <v>JCK007</v>
          </cell>
          <cell r="K23">
            <v>66</v>
          </cell>
        </row>
        <row r="24">
          <cell r="F24" t="str">
            <v>DZ0001</v>
          </cell>
          <cell r="K24">
            <v>200</v>
          </cell>
        </row>
        <row r="25">
          <cell r="F25" t="str">
            <v>DZ0002</v>
          </cell>
          <cell r="K25">
            <v>300</v>
          </cell>
        </row>
        <row r="26">
          <cell r="F26" t="str">
            <v>DZ0003</v>
          </cell>
          <cell r="K26">
            <v>40</v>
          </cell>
        </row>
        <row r="27">
          <cell r="F27" t="str">
            <v>DZ0004</v>
          </cell>
          <cell r="K27">
            <v>80</v>
          </cell>
        </row>
        <row r="28">
          <cell r="F28" t="str">
            <v>DZ0005</v>
          </cell>
          <cell r="K28">
            <v>95</v>
          </cell>
        </row>
        <row r="29">
          <cell r="F29" t="str">
            <v>DZ0006</v>
          </cell>
          <cell r="K29">
            <v>20</v>
          </cell>
        </row>
        <row r="30">
          <cell r="F30" t="str">
            <v>DR0001</v>
          </cell>
          <cell r="K30">
            <v>10</v>
          </cell>
        </row>
        <row r="31">
          <cell r="F31" t="str">
            <v>DR0002</v>
          </cell>
          <cell r="K31">
            <v>20</v>
          </cell>
        </row>
        <row r="32">
          <cell r="F32" t="str">
            <v>DR0003</v>
          </cell>
          <cell r="K32">
            <v>14</v>
          </cell>
        </row>
        <row r="33">
          <cell r="F33" t="str">
            <v>DR0004</v>
          </cell>
          <cell r="K33">
            <v>253</v>
          </cell>
        </row>
        <row r="34">
          <cell r="F34" t="str">
            <v>DR0005</v>
          </cell>
          <cell r="K34">
            <v>241</v>
          </cell>
        </row>
        <row r="35">
          <cell r="F35" t="str">
            <v>DR0006</v>
          </cell>
          <cell r="K35">
            <v>263</v>
          </cell>
        </row>
        <row r="36">
          <cell r="F36" t="str">
            <v>JCK001</v>
          </cell>
          <cell r="K36">
            <v>55</v>
          </cell>
        </row>
        <row r="37">
          <cell r="F37" t="str">
            <v>JCK002</v>
          </cell>
          <cell r="K37">
            <v>78</v>
          </cell>
        </row>
        <row r="38">
          <cell r="F38" t="str">
            <v>JCK003</v>
          </cell>
          <cell r="K38">
            <v>98</v>
          </cell>
        </row>
        <row r="39">
          <cell r="F39" t="str">
            <v>JCK004</v>
          </cell>
          <cell r="K39">
            <v>56</v>
          </cell>
        </row>
        <row r="40">
          <cell r="F40" t="str">
            <v>JCK005</v>
          </cell>
          <cell r="K40">
            <v>25</v>
          </cell>
        </row>
        <row r="41">
          <cell r="F41" t="str">
            <v>JCK006</v>
          </cell>
          <cell r="K41">
            <v>45</v>
          </cell>
        </row>
        <row r="42">
          <cell r="F42" t="str">
            <v>JCK007</v>
          </cell>
          <cell r="K42">
            <v>65</v>
          </cell>
        </row>
        <row r="43">
          <cell r="F43" t="str">
            <v>DZ0001</v>
          </cell>
          <cell r="K43">
            <v>78</v>
          </cell>
        </row>
        <row r="44">
          <cell r="F44" t="str">
            <v>DZ0002</v>
          </cell>
          <cell r="K44">
            <v>52</v>
          </cell>
        </row>
        <row r="45">
          <cell r="F45" t="str">
            <v>DZ0003</v>
          </cell>
          <cell r="K45">
            <v>52</v>
          </cell>
        </row>
        <row r="46">
          <cell r="F46" t="str">
            <v>DZ0004</v>
          </cell>
          <cell r="K46">
            <v>10</v>
          </cell>
        </row>
        <row r="47">
          <cell r="F47" t="str">
            <v>DZ0001</v>
          </cell>
          <cell r="K47">
            <v>55</v>
          </cell>
        </row>
        <row r="48">
          <cell r="F48" t="str">
            <v>DZ0002</v>
          </cell>
          <cell r="K48">
            <v>12</v>
          </cell>
        </row>
        <row r="49">
          <cell r="F49" t="str">
            <v>DZ0003</v>
          </cell>
          <cell r="K49">
            <v>10</v>
          </cell>
        </row>
      </sheetData>
      <sheetData sheetId="3">
        <row r="25">
          <cell r="B2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C3" sqref="C3:C21"/>
    </sheetView>
  </sheetViews>
  <sheetFormatPr defaultRowHeight="13.5" x14ac:dyDescent="0.15"/>
  <cols>
    <col min="1" max="1" width="12.625" customWidth="1"/>
    <col min="2" max="2" width="11.25" customWidth="1"/>
    <col min="3" max="3" width="10.5" customWidth="1"/>
    <col min="4" max="4" width="10.25" customWidth="1"/>
    <col min="5" max="5" width="10.5" customWidth="1"/>
    <col min="6" max="6" width="9.75" customWidth="1"/>
  </cols>
  <sheetData>
    <row r="1" spans="1:7" ht="36.75" customHeight="1" x14ac:dyDescent="0.15">
      <c r="A1" s="63" t="s">
        <v>81</v>
      </c>
      <c r="B1" s="63"/>
      <c r="C1" s="63"/>
      <c r="D1" s="63"/>
      <c r="E1" s="63"/>
      <c r="F1" s="63"/>
      <c r="G1" s="63"/>
    </row>
    <row r="2" spans="1:7" ht="21" customHeight="1" x14ac:dyDescent="0.15">
      <c r="A2" s="1" t="s">
        <v>79</v>
      </c>
      <c r="B2" s="1" t="s">
        <v>80</v>
      </c>
      <c r="C2" s="1" t="s">
        <v>32</v>
      </c>
      <c r="D2" s="1" t="s">
        <v>33</v>
      </c>
      <c r="E2" s="1" t="s">
        <v>34</v>
      </c>
      <c r="F2" s="1" t="s">
        <v>35</v>
      </c>
      <c r="G2" s="1" t="s">
        <v>36</v>
      </c>
    </row>
    <row r="3" spans="1:7" x14ac:dyDescent="0.15">
      <c r="A3" s="3" t="s">
        <v>0</v>
      </c>
      <c r="B3" s="3" t="s">
        <v>16</v>
      </c>
      <c r="C3" s="2" t="s">
        <v>37</v>
      </c>
      <c r="D3" s="2" t="s">
        <v>38</v>
      </c>
      <c r="E3" s="2" t="s">
        <v>78</v>
      </c>
      <c r="F3" s="2" t="s">
        <v>39</v>
      </c>
      <c r="G3" s="2">
        <v>0.25</v>
      </c>
    </row>
    <row r="4" spans="1:7" x14ac:dyDescent="0.15">
      <c r="A4" s="3" t="s">
        <v>1</v>
      </c>
      <c r="B4" s="3" t="s">
        <v>16</v>
      </c>
      <c r="C4" s="2" t="s">
        <v>40</v>
      </c>
      <c r="D4" s="2" t="s">
        <v>38</v>
      </c>
      <c r="E4" s="2" t="s">
        <v>41</v>
      </c>
      <c r="F4" s="2" t="s">
        <v>39</v>
      </c>
      <c r="G4" s="2">
        <v>0.33</v>
      </c>
    </row>
    <row r="5" spans="1:7" x14ac:dyDescent="0.15">
      <c r="A5" s="2" t="s">
        <v>176</v>
      </c>
      <c r="B5" s="2" t="s">
        <v>17</v>
      </c>
      <c r="C5" s="2" t="s">
        <v>42</v>
      </c>
      <c r="D5" s="2" t="s">
        <v>38</v>
      </c>
      <c r="E5" s="2" t="s">
        <v>43</v>
      </c>
      <c r="F5" s="2" t="s">
        <v>39</v>
      </c>
      <c r="G5" s="2">
        <v>0.57999999999999996</v>
      </c>
    </row>
    <row r="6" spans="1:7" x14ac:dyDescent="0.15">
      <c r="A6" s="2" t="s">
        <v>177</v>
      </c>
      <c r="B6" s="2" t="s">
        <v>18</v>
      </c>
      <c r="C6" s="2" t="s">
        <v>44</v>
      </c>
      <c r="D6" s="2" t="s">
        <v>38</v>
      </c>
      <c r="E6" s="2" t="s">
        <v>45</v>
      </c>
      <c r="F6" s="2" t="s">
        <v>39</v>
      </c>
      <c r="G6" s="2">
        <v>0.89</v>
      </c>
    </row>
    <row r="7" spans="1:7" x14ac:dyDescent="0.15">
      <c r="A7" s="3" t="s">
        <v>3</v>
      </c>
      <c r="B7" s="3" t="s">
        <v>19</v>
      </c>
      <c r="C7" s="2" t="s">
        <v>46</v>
      </c>
      <c r="D7" s="2" t="s">
        <v>38</v>
      </c>
      <c r="E7" s="2" t="s">
        <v>47</v>
      </c>
      <c r="F7" s="2" t="s">
        <v>39</v>
      </c>
      <c r="G7" s="2">
        <v>0.21</v>
      </c>
    </row>
    <row r="8" spans="1:7" x14ac:dyDescent="0.15">
      <c r="A8" s="3" t="s">
        <v>4</v>
      </c>
      <c r="B8" s="3" t="s">
        <v>19</v>
      </c>
      <c r="C8" s="2" t="s">
        <v>48</v>
      </c>
      <c r="D8" s="2" t="s">
        <v>38</v>
      </c>
      <c r="E8" s="2" t="s">
        <v>49</v>
      </c>
      <c r="F8" s="2" t="s">
        <v>39</v>
      </c>
      <c r="G8" s="2">
        <v>0.36</v>
      </c>
    </row>
    <row r="9" spans="1:7" x14ac:dyDescent="0.15">
      <c r="A9" s="2" t="s">
        <v>178</v>
      </c>
      <c r="B9" s="2" t="s">
        <v>20</v>
      </c>
      <c r="C9" s="2" t="s">
        <v>50</v>
      </c>
      <c r="D9" s="2" t="s">
        <v>51</v>
      </c>
      <c r="E9" s="2" t="s">
        <v>52</v>
      </c>
      <c r="F9" s="2" t="s">
        <v>39</v>
      </c>
      <c r="G9" s="2">
        <v>0.78</v>
      </c>
    </row>
    <row r="10" spans="1:7" x14ac:dyDescent="0.15">
      <c r="A10" s="2" t="s">
        <v>180</v>
      </c>
      <c r="B10" s="2" t="s">
        <v>21</v>
      </c>
      <c r="C10" s="2" t="s">
        <v>53</v>
      </c>
      <c r="D10" s="2" t="s">
        <v>51</v>
      </c>
      <c r="E10" s="2" t="s">
        <v>54</v>
      </c>
      <c r="F10" s="2" t="s">
        <v>39</v>
      </c>
      <c r="G10" s="2">
        <v>0.65</v>
      </c>
    </row>
    <row r="11" spans="1:7" x14ac:dyDescent="0.15">
      <c r="A11" s="2" t="s">
        <v>182</v>
      </c>
      <c r="B11" s="2" t="s">
        <v>22</v>
      </c>
      <c r="C11" s="2" t="s">
        <v>55</v>
      </c>
      <c r="D11" s="2" t="s">
        <v>51</v>
      </c>
      <c r="E11" s="2" t="s">
        <v>56</v>
      </c>
      <c r="F11" s="2" t="s">
        <v>39</v>
      </c>
      <c r="G11" s="2">
        <v>0.75</v>
      </c>
    </row>
    <row r="12" spans="1:7" x14ac:dyDescent="0.15">
      <c r="A12" s="3" t="s">
        <v>7</v>
      </c>
      <c r="B12" s="3" t="s">
        <v>23</v>
      </c>
      <c r="C12" s="2" t="s">
        <v>57</v>
      </c>
      <c r="D12" s="2" t="s">
        <v>51</v>
      </c>
      <c r="E12" s="2" t="s">
        <v>58</v>
      </c>
      <c r="F12" s="2" t="s">
        <v>39</v>
      </c>
      <c r="G12" s="2">
        <v>0.85</v>
      </c>
    </row>
    <row r="13" spans="1:7" x14ac:dyDescent="0.15">
      <c r="A13" s="3" t="s">
        <v>179</v>
      </c>
      <c r="B13" s="3" t="s">
        <v>23</v>
      </c>
      <c r="C13" s="2" t="s">
        <v>59</v>
      </c>
      <c r="D13" s="2" t="s">
        <v>51</v>
      </c>
      <c r="E13" s="2" t="s">
        <v>60</v>
      </c>
      <c r="F13" s="2" t="s">
        <v>39</v>
      </c>
      <c r="G13" s="2">
        <v>0.9</v>
      </c>
    </row>
    <row r="14" spans="1:7" x14ac:dyDescent="0.15">
      <c r="A14" s="2" t="s">
        <v>183</v>
      </c>
      <c r="B14" s="2" t="s">
        <v>24</v>
      </c>
      <c r="C14" s="2" t="s">
        <v>61</v>
      </c>
      <c r="D14" s="2" t="s">
        <v>51</v>
      </c>
      <c r="E14" s="2" t="s">
        <v>62</v>
      </c>
      <c r="F14" s="2" t="s">
        <v>39</v>
      </c>
      <c r="G14" s="2">
        <v>0.55000000000000004</v>
      </c>
    </row>
    <row r="15" spans="1:7" x14ac:dyDescent="0.15">
      <c r="A15" s="2" t="s">
        <v>184</v>
      </c>
      <c r="B15" s="2" t="s">
        <v>25</v>
      </c>
      <c r="C15" s="2" t="s">
        <v>63</v>
      </c>
      <c r="D15" s="2" t="s">
        <v>64</v>
      </c>
      <c r="E15" s="2" t="s">
        <v>65</v>
      </c>
      <c r="F15" s="2" t="s">
        <v>39</v>
      </c>
      <c r="G15" s="2">
        <v>58.5</v>
      </c>
    </row>
    <row r="16" spans="1:7" x14ac:dyDescent="0.15">
      <c r="A16" s="2" t="s">
        <v>186</v>
      </c>
      <c r="B16" s="2" t="s">
        <v>26</v>
      </c>
      <c r="C16" s="2" t="s">
        <v>66</v>
      </c>
      <c r="D16" s="2" t="s">
        <v>64</v>
      </c>
      <c r="E16" s="2" t="s">
        <v>67</v>
      </c>
      <c r="F16" s="2" t="s">
        <v>39</v>
      </c>
      <c r="G16" s="2">
        <v>75.599999999999994</v>
      </c>
    </row>
    <row r="17" spans="1:7" x14ac:dyDescent="0.15">
      <c r="A17" s="2" t="s">
        <v>11</v>
      </c>
      <c r="B17" s="2" t="s">
        <v>27</v>
      </c>
      <c r="C17" s="2" t="s">
        <v>68</v>
      </c>
      <c r="D17" s="2" t="s">
        <v>64</v>
      </c>
      <c r="E17" s="2" t="s">
        <v>69</v>
      </c>
      <c r="F17" s="2" t="s">
        <v>39</v>
      </c>
      <c r="G17" s="2">
        <v>124.85</v>
      </c>
    </row>
    <row r="18" spans="1:7" x14ac:dyDescent="0.15">
      <c r="A18" s="2" t="s">
        <v>12</v>
      </c>
      <c r="B18" s="2" t="s">
        <v>28</v>
      </c>
      <c r="C18" s="2" t="s">
        <v>70</v>
      </c>
      <c r="D18" s="2" t="s">
        <v>64</v>
      </c>
      <c r="E18" s="2" t="s">
        <v>71</v>
      </c>
      <c r="F18" s="2" t="s">
        <v>39</v>
      </c>
      <c r="G18" s="2">
        <v>320</v>
      </c>
    </row>
    <row r="19" spans="1:7" x14ac:dyDescent="0.15">
      <c r="A19" s="2" t="s">
        <v>13</v>
      </c>
      <c r="B19" s="2" t="s">
        <v>29</v>
      </c>
      <c r="C19" s="2" t="s">
        <v>72</v>
      </c>
      <c r="D19" s="2" t="s">
        <v>64</v>
      </c>
      <c r="E19" s="2" t="s">
        <v>73</v>
      </c>
      <c r="F19" s="2" t="s">
        <v>39</v>
      </c>
      <c r="G19" s="2">
        <v>70</v>
      </c>
    </row>
    <row r="20" spans="1:7" x14ac:dyDescent="0.15">
      <c r="A20" s="2" t="s">
        <v>14</v>
      </c>
      <c r="B20" s="2" t="s">
        <v>30</v>
      </c>
      <c r="C20" s="2" t="s">
        <v>74</v>
      </c>
      <c r="D20" s="2" t="s">
        <v>64</v>
      </c>
      <c r="E20" s="2" t="s">
        <v>75</v>
      </c>
      <c r="F20" s="2" t="s">
        <v>39</v>
      </c>
      <c r="G20" s="2">
        <v>185</v>
      </c>
    </row>
    <row r="21" spans="1:7" x14ac:dyDescent="0.15">
      <c r="A21" s="2" t="s">
        <v>15</v>
      </c>
      <c r="B21" s="2" t="s">
        <v>31</v>
      </c>
      <c r="C21" s="2" t="s">
        <v>76</v>
      </c>
      <c r="D21" s="2" t="s">
        <v>64</v>
      </c>
      <c r="E21" s="2" t="s">
        <v>77</v>
      </c>
      <c r="F21" s="2" t="s">
        <v>39</v>
      </c>
      <c r="G21" s="2">
        <v>412.5</v>
      </c>
    </row>
  </sheetData>
  <mergeCells count="1">
    <mergeCell ref="A1:G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91"/>
  <sheetViews>
    <sheetView zoomScale="90" zoomScaleNormal="90" workbookViewId="0">
      <selection activeCell="H5" sqref="H5"/>
    </sheetView>
  </sheetViews>
  <sheetFormatPr defaultRowHeight="15.75" x14ac:dyDescent="0.15"/>
  <cols>
    <col min="1" max="1" width="3.5" style="4" customWidth="1"/>
    <col min="2" max="2" width="7.375" style="4" bestFit="1" customWidth="1"/>
    <col min="3" max="3" width="4.875" style="4" customWidth="1"/>
    <col min="4" max="4" width="13.75" style="6" customWidth="1"/>
    <col min="5" max="5" width="12.875" style="4" customWidth="1"/>
    <col min="6" max="6" width="16.375" style="4" customWidth="1"/>
    <col min="7" max="7" width="9.25" style="4" bestFit="1" customWidth="1"/>
    <col min="8" max="8" width="8.375" style="4" bestFit="1" customWidth="1"/>
    <col min="9" max="9" width="9.25" style="4" bestFit="1" customWidth="1"/>
    <col min="10" max="10" width="5.5" style="4" bestFit="1" customWidth="1"/>
    <col min="11" max="11" width="9.625" style="4" customWidth="1"/>
    <col min="12" max="12" width="10.25" style="4" customWidth="1"/>
    <col min="13" max="13" width="17.5" style="4" customWidth="1"/>
    <col min="14" max="16384" width="9" style="4"/>
  </cols>
  <sheetData>
    <row r="1" spans="2:13" ht="39.75" customHeight="1" thickBot="1" x14ac:dyDescent="0.2">
      <c r="B1" s="64" t="s">
        <v>82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6"/>
    </row>
    <row r="2" spans="2:13" ht="24.75" customHeight="1" thickBot="1" x14ac:dyDescent="0.2">
      <c r="B2" s="5"/>
      <c r="M2" s="6"/>
    </row>
    <row r="3" spans="2:13" s="7" customFormat="1" ht="21.75" customHeight="1" x14ac:dyDescent="0.15">
      <c r="B3" s="13" t="s">
        <v>83</v>
      </c>
      <c r="C3" s="14" t="s">
        <v>84</v>
      </c>
      <c r="D3" s="14" t="s">
        <v>85</v>
      </c>
      <c r="E3" s="14" t="s">
        <v>86</v>
      </c>
      <c r="F3" s="14" t="s">
        <v>87</v>
      </c>
      <c r="G3" s="14" t="s">
        <v>88</v>
      </c>
      <c r="H3" s="14" t="s">
        <v>89</v>
      </c>
      <c r="I3" s="14" t="s">
        <v>90</v>
      </c>
      <c r="J3" s="14" t="s">
        <v>91</v>
      </c>
      <c r="K3" s="14" t="s">
        <v>92</v>
      </c>
      <c r="L3" s="14" t="s">
        <v>93</v>
      </c>
      <c r="M3" s="15" t="s">
        <v>94</v>
      </c>
    </row>
    <row r="4" spans="2:13" s="9" customFormat="1" x14ac:dyDescent="0.15">
      <c r="B4" s="16">
        <v>6</v>
      </c>
      <c r="C4" s="11">
        <v>5</v>
      </c>
      <c r="D4" s="23" t="s">
        <v>101</v>
      </c>
      <c r="E4" s="11" t="str">
        <f>VLOOKUP(D4,基础数据表!A:G,2,FALSE)</f>
        <v>海域电子</v>
      </c>
      <c r="F4" s="11">
        <v>2012060001</v>
      </c>
      <c r="G4" s="11" t="str">
        <f>VLOOKUP(D4,基础数据表!A:G,3,FALSE)</f>
        <v>DR0004</v>
      </c>
      <c r="H4" s="11" t="str">
        <f>VLOOKUP(D4,基础数据表!A:G,4,FALSE)</f>
        <v>电容</v>
      </c>
      <c r="I4" s="11" t="str">
        <f>VLOOKUP(D4,基础数据表!A:G,5,FALSE)</f>
        <v>100F</v>
      </c>
      <c r="J4" s="11" t="str">
        <f>VLOOKUP(D4,基础数据表!A:G,6,FALSE)</f>
        <v>支</v>
      </c>
      <c r="K4" s="10">
        <v>100</v>
      </c>
      <c r="L4" s="11">
        <f>VLOOKUP(D4,基础数据表!A:G,7,FALSE)</f>
        <v>0.85</v>
      </c>
      <c r="M4" s="17">
        <f t="shared" ref="M4:M35" si="0">K4*L4</f>
        <v>85</v>
      </c>
    </row>
    <row r="5" spans="2:13" s="9" customFormat="1" x14ac:dyDescent="0.15">
      <c r="B5" s="16">
        <v>6</v>
      </c>
      <c r="C5" s="11">
        <v>5</v>
      </c>
      <c r="D5" s="8" t="s">
        <v>8</v>
      </c>
      <c r="E5" s="11" t="str">
        <f>VLOOKUP(D5,基础数据表!A:G,2,FALSE)</f>
        <v>海域电子</v>
      </c>
      <c r="F5" s="11">
        <v>2012060001</v>
      </c>
      <c r="G5" s="11" t="str">
        <f>VLOOKUP(D5,基础数据表!A:G,3,FALSE)</f>
        <v>DR0005</v>
      </c>
      <c r="H5" s="11" t="str">
        <f>VLOOKUP(D5,基础数据表!A:G,4,FALSE)</f>
        <v>电容</v>
      </c>
      <c r="I5" s="11" t="str">
        <f>VLOOKUP(D5,基础数据表!A:G,5,FALSE)</f>
        <v>25F</v>
      </c>
      <c r="J5" s="11" t="str">
        <f>VLOOKUP(D5,基础数据表!A:G,6,FALSE)</f>
        <v>支</v>
      </c>
      <c r="K5" s="10">
        <v>752</v>
      </c>
      <c r="L5" s="11">
        <f>VLOOKUP(D5,基础数据表!A:G,7,FALSE)</f>
        <v>0.9</v>
      </c>
      <c r="M5" s="17">
        <f t="shared" si="0"/>
        <v>676.80000000000007</v>
      </c>
    </row>
    <row r="6" spans="2:13" s="9" customFormat="1" x14ac:dyDescent="0.15">
      <c r="B6" s="16">
        <v>6</v>
      </c>
      <c r="C6" s="11">
        <v>6</v>
      </c>
      <c r="D6" s="8" t="s">
        <v>101</v>
      </c>
      <c r="E6" s="11" t="str">
        <f>VLOOKUP(D6,基础数据表!A:G,2,FALSE)</f>
        <v>海域电子</v>
      </c>
      <c r="F6" s="11">
        <v>2012060001</v>
      </c>
      <c r="G6" s="11" t="str">
        <f>VLOOKUP(D6,基础数据表!A:G,3,FALSE)</f>
        <v>DR0004</v>
      </c>
      <c r="H6" s="11" t="str">
        <f>VLOOKUP(D6,基础数据表!A:G,4,FALSE)</f>
        <v>电容</v>
      </c>
      <c r="I6" s="11" t="str">
        <f>VLOOKUP(D6,基础数据表!A:G,5,FALSE)</f>
        <v>100F</v>
      </c>
      <c r="J6" s="11" t="str">
        <f>VLOOKUP(D6,基础数据表!A:G,6,FALSE)</f>
        <v>支</v>
      </c>
      <c r="K6" s="10">
        <v>800</v>
      </c>
      <c r="L6" s="11">
        <f>VLOOKUP(D6,基础数据表!A:G,7,FALSE)</f>
        <v>0.85</v>
      </c>
      <c r="M6" s="17">
        <f t="shared" si="0"/>
        <v>680</v>
      </c>
    </row>
    <row r="7" spans="2:13" s="9" customFormat="1" x14ac:dyDescent="0.15">
      <c r="B7" s="16">
        <v>6</v>
      </c>
      <c r="C7" s="11">
        <v>7</v>
      </c>
      <c r="D7" s="8" t="s">
        <v>9</v>
      </c>
      <c r="E7" s="11" t="str">
        <f>VLOOKUP(D7,基础数据表!A:G,2,FALSE)</f>
        <v>创维科技</v>
      </c>
      <c r="F7" s="11">
        <v>2012060001</v>
      </c>
      <c r="G7" s="11" t="str">
        <f>VLOOKUP(D7,基础数据表!A:G,3,FALSE)</f>
        <v>DR0006</v>
      </c>
      <c r="H7" s="11" t="str">
        <f>VLOOKUP(D7,基础数据表!A:G,4,FALSE)</f>
        <v>电容</v>
      </c>
      <c r="I7" s="11" t="str">
        <f>VLOOKUP(D7,基础数据表!A:G,5,FALSE)</f>
        <v>0.5F</v>
      </c>
      <c r="J7" s="11" t="str">
        <f>VLOOKUP(D7,基础数据表!A:G,6,FALSE)</f>
        <v>支</v>
      </c>
      <c r="K7" s="10">
        <v>100</v>
      </c>
      <c r="L7" s="11">
        <f>VLOOKUP(D7,基础数据表!A:G,7,FALSE)</f>
        <v>0.55000000000000004</v>
      </c>
      <c r="M7" s="17">
        <f t="shared" si="0"/>
        <v>55.000000000000007</v>
      </c>
    </row>
    <row r="8" spans="2:13" s="9" customFormat="1" x14ac:dyDescent="0.15">
      <c r="B8" s="16">
        <v>6</v>
      </c>
      <c r="C8" s="12">
        <v>10</v>
      </c>
      <c r="D8" s="8" t="s">
        <v>10</v>
      </c>
      <c r="E8" s="11" t="str">
        <f>VLOOKUP(D8,基础数据表!A:G,2,FALSE)</f>
        <v>宏图三胞</v>
      </c>
      <c r="F8" s="11">
        <v>2012060001</v>
      </c>
      <c r="G8" s="11" t="str">
        <f>VLOOKUP(D8,基础数据表!A:G,3,FALSE)</f>
        <v>JCK001</v>
      </c>
      <c r="H8" s="11" t="str">
        <f>VLOOKUP(D8,基础数据表!A:G,4,FALSE)</f>
        <v>集成块</v>
      </c>
      <c r="I8" s="11" t="str">
        <f>VLOOKUP(D8,基础数据表!A:G,5,FALSE)</f>
        <v>AEu8139</v>
      </c>
      <c r="J8" s="11" t="str">
        <f>VLOOKUP(D8,基础数据表!A:G,6,FALSE)</f>
        <v>支</v>
      </c>
      <c r="K8" s="8">
        <v>20000</v>
      </c>
      <c r="L8" s="11">
        <f>VLOOKUP(D8,基础数据表!A:G,7,FALSE)</f>
        <v>58.5</v>
      </c>
      <c r="M8" s="17">
        <f t="shared" si="0"/>
        <v>1170000</v>
      </c>
    </row>
    <row r="9" spans="2:13" s="9" customFormat="1" x14ac:dyDescent="0.15">
      <c r="B9" s="16">
        <v>6</v>
      </c>
      <c r="C9" s="12">
        <v>15</v>
      </c>
      <c r="D9" s="8" t="s">
        <v>8</v>
      </c>
      <c r="E9" s="11" t="str">
        <f>VLOOKUP(D9,基础数据表!A:G,2,FALSE)</f>
        <v>海域电子</v>
      </c>
      <c r="F9" s="11">
        <v>2012060001</v>
      </c>
      <c r="G9" s="11" t="str">
        <f>VLOOKUP(D9,基础数据表!A:G,3,FALSE)</f>
        <v>DR0005</v>
      </c>
      <c r="H9" s="11" t="str">
        <f>VLOOKUP(D9,基础数据表!A:G,4,FALSE)</f>
        <v>电容</v>
      </c>
      <c r="I9" s="11" t="str">
        <f>VLOOKUP(D9,基础数据表!A:G,5,FALSE)</f>
        <v>25F</v>
      </c>
      <c r="J9" s="11" t="str">
        <f>VLOOKUP(D9,基础数据表!A:G,6,FALSE)</f>
        <v>支</v>
      </c>
      <c r="K9" s="8">
        <v>600</v>
      </c>
      <c r="L9" s="11">
        <f>VLOOKUP(D9,基础数据表!A:G,7,FALSE)</f>
        <v>0.9</v>
      </c>
      <c r="M9" s="17">
        <f t="shared" si="0"/>
        <v>540</v>
      </c>
    </row>
    <row r="10" spans="2:13" s="9" customFormat="1" x14ac:dyDescent="0.15">
      <c r="B10" s="16">
        <v>6</v>
      </c>
      <c r="C10" s="12">
        <v>22</v>
      </c>
      <c r="D10" s="8" t="s">
        <v>101</v>
      </c>
      <c r="E10" s="11" t="str">
        <f>VLOOKUP(D10,基础数据表!A:G,2,FALSE)</f>
        <v>海域电子</v>
      </c>
      <c r="F10" s="11">
        <v>2012060001</v>
      </c>
      <c r="G10" s="11" t="str">
        <f>VLOOKUP(D10,基础数据表!A:G,3,FALSE)</f>
        <v>DR0004</v>
      </c>
      <c r="H10" s="11" t="str">
        <f>VLOOKUP(D10,基础数据表!A:G,4,FALSE)</f>
        <v>电容</v>
      </c>
      <c r="I10" s="11" t="str">
        <f>VLOOKUP(D10,基础数据表!A:G,5,FALSE)</f>
        <v>100F</v>
      </c>
      <c r="J10" s="11" t="str">
        <f>VLOOKUP(D10,基础数据表!A:G,6,FALSE)</f>
        <v>支</v>
      </c>
      <c r="K10" s="10">
        <v>320</v>
      </c>
      <c r="L10" s="11">
        <f>VLOOKUP(D10,基础数据表!A:G,7,FALSE)</f>
        <v>0.85</v>
      </c>
      <c r="M10" s="17">
        <f t="shared" si="0"/>
        <v>272</v>
      </c>
    </row>
    <row r="11" spans="2:13" s="9" customFormat="1" x14ac:dyDescent="0.15">
      <c r="B11" s="16">
        <v>6</v>
      </c>
      <c r="C11" s="12">
        <v>23</v>
      </c>
      <c r="D11" s="8" t="s">
        <v>8</v>
      </c>
      <c r="E11" s="11" t="str">
        <f>VLOOKUP(D11,基础数据表!A:G,2,FALSE)</f>
        <v>海域电子</v>
      </c>
      <c r="F11" s="11">
        <v>2012060001</v>
      </c>
      <c r="G11" s="11" t="str">
        <f>VLOOKUP(D11,基础数据表!A:G,3,FALSE)</f>
        <v>DR0005</v>
      </c>
      <c r="H11" s="11" t="str">
        <f>VLOOKUP(D11,基础数据表!A:G,4,FALSE)</f>
        <v>电容</v>
      </c>
      <c r="I11" s="11" t="str">
        <f>VLOOKUP(D11,基础数据表!A:G,5,FALSE)</f>
        <v>25F</v>
      </c>
      <c r="J11" s="11" t="str">
        <f>VLOOKUP(D11,基础数据表!A:G,6,FALSE)</f>
        <v>支</v>
      </c>
      <c r="K11" s="10">
        <v>410</v>
      </c>
      <c r="L11" s="11">
        <f>VLOOKUP(D11,基础数据表!A:G,7,FALSE)</f>
        <v>0.9</v>
      </c>
      <c r="M11" s="17">
        <f t="shared" si="0"/>
        <v>369</v>
      </c>
    </row>
    <row r="12" spans="2:13" s="9" customFormat="1" x14ac:dyDescent="0.15">
      <c r="B12" s="16">
        <v>6</v>
      </c>
      <c r="C12" s="12">
        <v>25</v>
      </c>
      <c r="D12" s="8" t="s">
        <v>101</v>
      </c>
      <c r="E12" s="11" t="str">
        <f>VLOOKUP(D12,基础数据表!A:G,2,FALSE)</f>
        <v>海域电子</v>
      </c>
      <c r="F12" s="11">
        <v>2012060001</v>
      </c>
      <c r="G12" s="11" t="str">
        <f>VLOOKUP(D12,基础数据表!A:G,3,FALSE)</f>
        <v>DR0004</v>
      </c>
      <c r="H12" s="11" t="str">
        <f>VLOOKUP(D12,基础数据表!A:G,4,FALSE)</f>
        <v>电容</v>
      </c>
      <c r="I12" s="11" t="str">
        <f>VLOOKUP(D12,基础数据表!A:G,5,FALSE)</f>
        <v>100F</v>
      </c>
      <c r="J12" s="11" t="str">
        <f>VLOOKUP(D12,基础数据表!A:G,6,FALSE)</f>
        <v>支</v>
      </c>
      <c r="K12" s="10">
        <v>500</v>
      </c>
      <c r="L12" s="11">
        <f>VLOOKUP(D12,基础数据表!A:G,7,FALSE)</f>
        <v>0.85</v>
      </c>
      <c r="M12" s="17">
        <f t="shared" si="0"/>
        <v>425</v>
      </c>
    </row>
    <row r="13" spans="2:13" s="9" customFormat="1" x14ac:dyDescent="0.15">
      <c r="B13" s="16">
        <v>6</v>
      </c>
      <c r="C13" s="11">
        <v>1</v>
      </c>
      <c r="D13" s="8" t="s">
        <v>181</v>
      </c>
      <c r="E13" s="11" t="str">
        <f>VLOOKUP(D13,基础数据表!A:G,2,FALSE)</f>
        <v>华声集团</v>
      </c>
      <c r="F13" s="11">
        <v>2012060001</v>
      </c>
      <c r="G13" s="11" t="str">
        <f>VLOOKUP(D13,基础数据表!A:G,3,FALSE)</f>
        <v>DR0003</v>
      </c>
      <c r="H13" s="11" t="str">
        <f>VLOOKUP(D13,基础数据表!A:G,4,FALSE)</f>
        <v>电容</v>
      </c>
      <c r="I13" s="11" t="str">
        <f>VLOOKUP(D13,基础数据表!A:G,5,FALSE)</f>
        <v>50F</v>
      </c>
      <c r="J13" s="11" t="str">
        <f>VLOOKUP(D13,基础数据表!A:G,6,FALSE)</f>
        <v>支</v>
      </c>
      <c r="K13" s="10">
        <v>782</v>
      </c>
      <c r="L13" s="11">
        <f>VLOOKUP(D13,基础数据表!A:G,7,FALSE)</f>
        <v>0.75</v>
      </c>
      <c r="M13" s="17">
        <f t="shared" si="0"/>
        <v>586.5</v>
      </c>
    </row>
    <row r="14" spans="2:13" s="9" customFormat="1" x14ac:dyDescent="0.15">
      <c r="B14" s="16">
        <v>6</v>
      </c>
      <c r="C14" s="11">
        <v>3</v>
      </c>
      <c r="D14" s="8" t="s">
        <v>181</v>
      </c>
      <c r="E14" s="11" t="str">
        <f>VLOOKUP(D14,基础数据表!A:G,2,FALSE)</f>
        <v>华声集团</v>
      </c>
      <c r="F14" s="11">
        <v>2012060001</v>
      </c>
      <c r="G14" s="11" t="str">
        <f>VLOOKUP(D14,基础数据表!A:G,3,FALSE)</f>
        <v>DR0003</v>
      </c>
      <c r="H14" s="11" t="str">
        <f>VLOOKUP(D14,基础数据表!A:G,4,FALSE)</f>
        <v>电容</v>
      </c>
      <c r="I14" s="11" t="str">
        <f>VLOOKUP(D14,基础数据表!A:G,5,FALSE)</f>
        <v>50F</v>
      </c>
      <c r="J14" s="11" t="str">
        <f>VLOOKUP(D14,基础数据表!A:G,6,FALSE)</f>
        <v>支</v>
      </c>
      <c r="K14" s="10">
        <v>100</v>
      </c>
      <c r="L14" s="11">
        <f>VLOOKUP(D14,基础数据表!A:G,7,FALSE)</f>
        <v>0.75</v>
      </c>
      <c r="M14" s="17">
        <f t="shared" si="0"/>
        <v>75</v>
      </c>
    </row>
    <row r="15" spans="2:13" s="9" customFormat="1" x14ac:dyDescent="0.15">
      <c r="B15" s="16">
        <v>6</v>
      </c>
      <c r="C15" s="11">
        <v>5</v>
      </c>
      <c r="D15" s="8" t="s">
        <v>181</v>
      </c>
      <c r="E15" s="11" t="str">
        <f>VLOOKUP(D15,基础数据表!A:G,2,FALSE)</f>
        <v>华声集团</v>
      </c>
      <c r="F15" s="11">
        <v>2012060001</v>
      </c>
      <c r="G15" s="11" t="str">
        <f>VLOOKUP(D15,基础数据表!A:G,3,FALSE)</f>
        <v>DR0003</v>
      </c>
      <c r="H15" s="11" t="str">
        <f>VLOOKUP(D15,基础数据表!A:G,4,FALSE)</f>
        <v>电容</v>
      </c>
      <c r="I15" s="11" t="str">
        <f>VLOOKUP(D15,基础数据表!A:G,5,FALSE)</f>
        <v>50F</v>
      </c>
      <c r="J15" s="11" t="str">
        <f>VLOOKUP(D15,基础数据表!A:G,6,FALSE)</f>
        <v>支</v>
      </c>
      <c r="K15" s="10">
        <v>200</v>
      </c>
      <c r="L15" s="11">
        <f>VLOOKUP(D15,基础数据表!A:G,7,FALSE)</f>
        <v>0.75</v>
      </c>
      <c r="M15" s="17">
        <f t="shared" si="0"/>
        <v>150</v>
      </c>
    </row>
    <row r="16" spans="2:13" s="9" customFormat="1" x14ac:dyDescent="0.15">
      <c r="B16" s="16">
        <v>6</v>
      </c>
      <c r="C16" s="11">
        <v>7</v>
      </c>
      <c r="D16" s="8" t="s">
        <v>181</v>
      </c>
      <c r="E16" s="11" t="str">
        <f>VLOOKUP(D16,基础数据表!A:G,2,FALSE)</f>
        <v>华声集团</v>
      </c>
      <c r="F16" s="11">
        <v>2012060001</v>
      </c>
      <c r="G16" s="11" t="str">
        <f>VLOOKUP(D16,基础数据表!A:G,3,FALSE)</f>
        <v>DR0003</v>
      </c>
      <c r="H16" s="11" t="str">
        <f>VLOOKUP(D16,基础数据表!A:G,4,FALSE)</f>
        <v>电容</v>
      </c>
      <c r="I16" s="11" t="str">
        <f>VLOOKUP(D16,基础数据表!A:G,5,FALSE)</f>
        <v>50F</v>
      </c>
      <c r="J16" s="11" t="str">
        <f>VLOOKUP(D16,基础数据表!A:G,6,FALSE)</f>
        <v>支</v>
      </c>
      <c r="K16" s="10">
        <v>451</v>
      </c>
      <c r="L16" s="11">
        <f>VLOOKUP(D16,基础数据表!A:G,7,FALSE)</f>
        <v>0.75</v>
      </c>
      <c r="M16" s="17">
        <f t="shared" si="0"/>
        <v>338.25</v>
      </c>
    </row>
    <row r="17" spans="2:13" s="9" customFormat="1" x14ac:dyDescent="0.15">
      <c r="B17" s="16">
        <v>6</v>
      </c>
      <c r="C17" s="12">
        <v>11</v>
      </c>
      <c r="D17" s="8" t="s">
        <v>9</v>
      </c>
      <c r="E17" s="11" t="str">
        <f>VLOOKUP(D17,基础数据表!A:G,2,FALSE)</f>
        <v>创维科技</v>
      </c>
      <c r="F17" s="11">
        <v>2012060001</v>
      </c>
      <c r="G17" s="11" t="str">
        <f>VLOOKUP(D17,基础数据表!A:G,3,FALSE)</f>
        <v>DR0006</v>
      </c>
      <c r="H17" s="11" t="str">
        <f>VLOOKUP(D17,基础数据表!A:G,4,FALSE)</f>
        <v>电容</v>
      </c>
      <c r="I17" s="11" t="str">
        <f>VLOOKUP(D17,基础数据表!A:G,5,FALSE)</f>
        <v>0.5F</v>
      </c>
      <c r="J17" s="11" t="str">
        <f>VLOOKUP(D17,基础数据表!A:G,6,FALSE)</f>
        <v>支</v>
      </c>
      <c r="K17" s="8">
        <v>5000</v>
      </c>
      <c r="L17" s="11">
        <f>VLOOKUP(D17,基础数据表!A:G,7,FALSE)</f>
        <v>0.55000000000000004</v>
      </c>
      <c r="M17" s="17">
        <f t="shared" si="0"/>
        <v>2750</v>
      </c>
    </row>
    <row r="18" spans="2:13" s="9" customFormat="1" x14ac:dyDescent="0.15">
      <c r="B18" s="16">
        <v>6</v>
      </c>
      <c r="C18" s="12">
        <v>15</v>
      </c>
      <c r="D18" s="8" t="s">
        <v>5</v>
      </c>
      <c r="E18" s="11" t="str">
        <f>VLOOKUP(D18,基础数据表!A:G,2,FALSE)</f>
        <v>盛华</v>
      </c>
      <c r="F18" s="11">
        <v>2012060001</v>
      </c>
      <c r="G18" s="11" t="str">
        <f>VLOOKUP(D18,基础数据表!A:G,3,FALSE)</f>
        <v>DR0001</v>
      </c>
      <c r="H18" s="11" t="str">
        <f>VLOOKUP(D18,基础数据表!A:G,4,FALSE)</f>
        <v>电容</v>
      </c>
      <c r="I18" s="11" t="str">
        <f>VLOOKUP(D18,基础数据表!A:G,5,FALSE)</f>
        <v>10F</v>
      </c>
      <c r="J18" s="11" t="str">
        <f>VLOOKUP(D18,基础数据表!A:G,6,FALSE)</f>
        <v>支</v>
      </c>
      <c r="K18" s="8">
        <v>4500</v>
      </c>
      <c r="L18" s="11">
        <f>VLOOKUP(D18,基础数据表!A:G,7,FALSE)</f>
        <v>0.78</v>
      </c>
      <c r="M18" s="17">
        <f t="shared" si="0"/>
        <v>3510</v>
      </c>
    </row>
    <row r="19" spans="2:13" s="9" customFormat="1" x14ac:dyDescent="0.15">
      <c r="B19" s="16">
        <v>6</v>
      </c>
      <c r="C19" s="12">
        <v>20</v>
      </c>
      <c r="D19" s="8" t="s">
        <v>5</v>
      </c>
      <c r="E19" s="11" t="str">
        <f>VLOOKUP(D19,基础数据表!A:G,2,FALSE)</f>
        <v>盛华</v>
      </c>
      <c r="F19" s="11">
        <v>2012060001</v>
      </c>
      <c r="G19" s="11" t="str">
        <f>VLOOKUP(D19,基础数据表!A:G,3,FALSE)</f>
        <v>DR0001</v>
      </c>
      <c r="H19" s="11" t="str">
        <f>VLOOKUP(D19,基础数据表!A:G,4,FALSE)</f>
        <v>电容</v>
      </c>
      <c r="I19" s="11" t="str">
        <f>VLOOKUP(D19,基础数据表!A:G,5,FALSE)</f>
        <v>10F</v>
      </c>
      <c r="J19" s="11" t="str">
        <f>VLOOKUP(D19,基础数据表!A:G,6,FALSE)</f>
        <v>支</v>
      </c>
      <c r="K19" s="10">
        <v>520</v>
      </c>
      <c r="L19" s="11">
        <f>VLOOKUP(D19,基础数据表!A:G,7,FALSE)</f>
        <v>0.78</v>
      </c>
      <c r="M19" s="17">
        <f t="shared" si="0"/>
        <v>405.6</v>
      </c>
    </row>
    <row r="20" spans="2:13" s="9" customFormat="1" x14ac:dyDescent="0.15">
      <c r="B20" s="16">
        <v>6</v>
      </c>
      <c r="C20" s="12">
        <v>25</v>
      </c>
      <c r="D20" s="8" t="s">
        <v>5</v>
      </c>
      <c r="E20" s="11" t="str">
        <f>VLOOKUP(D20,基础数据表!A:G,2,FALSE)</f>
        <v>盛华</v>
      </c>
      <c r="F20" s="11">
        <v>2012060001</v>
      </c>
      <c r="G20" s="11" t="str">
        <f>VLOOKUP(D20,基础数据表!A:G,3,FALSE)</f>
        <v>DR0001</v>
      </c>
      <c r="H20" s="11" t="str">
        <f>VLOOKUP(D20,基础数据表!A:G,4,FALSE)</f>
        <v>电容</v>
      </c>
      <c r="I20" s="11" t="str">
        <f>VLOOKUP(D20,基础数据表!A:G,5,FALSE)</f>
        <v>10F</v>
      </c>
      <c r="J20" s="11" t="str">
        <f>VLOOKUP(D20,基础数据表!A:G,6,FALSE)</f>
        <v>支</v>
      </c>
      <c r="K20" s="10">
        <v>600</v>
      </c>
      <c r="L20" s="11">
        <f>VLOOKUP(D20,基础数据表!A:G,7,FALSE)</f>
        <v>0.78</v>
      </c>
      <c r="M20" s="17">
        <f t="shared" si="0"/>
        <v>468</v>
      </c>
    </row>
    <row r="21" spans="2:13" s="9" customFormat="1" x14ac:dyDescent="0.15">
      <c r="B21" s="16">
        <v>6</v>
      </c>
      <c r="C21" s="12">
        <v>25</v>
      </c>
      <c r="D21" s="8" t="s">
        <v>5</v>
      </c>
      <c r="E21" s="11" t="str">
        <f>VLOOKUP(D21,基础数据表!A:G,2,FALSE)</f>
        <v>盛华</v>
      </c>
      <c r="F21" s="11">
        <v>2012060001</v>
      </c>
      <c r="G21" s="11" t="str">
        <f>VLOOKUP(D21,基础数据表!A:G,3,FALSE)</f>
        <v>DR0001</v>
      </c>
      <c r="H21" s="11" t="str">
        <f>VLOOKUP(D21,基础数据表!A:G,4,FALSE)</f>
        <v>电容</v>
      </c>
      <c r="I21" s="11" t="str">
        <f>VLOOKUP(D21,基础数据表!A:G,5,FALSE)</f>
        <v>10F</v>
      </c>
      <c r="J21" s="11" t="str">
        <f>VLOOKUP(D21,基础数据表!A:G,6,FALSE)</f>
        <v>支</v>
      </c>
      <c r="K21" s="10">
        <v>400</v>
      </c>
      <c r="L21" s="11">
        <f>VLOOKUP(D21,基础数据表!A:G,7,FALSE)</f>
        <v>0.78</v>
      </c>
      <c r="M21" s="17">
        <f t="shared" si="0"/>
        <v>312</v>
      </c>
    </row>
    <row r="22" spans="2:13" s="9" customFormat="1" x14ac:dyDescent="0.15">
      <c r="B22" s="16">
        <v>6</v>
      </c>
      <c r="C22" s="12">
        <v>27</v>
      </c>
      <c r="D22" s="8" t="s">
        <v>5</v>
      </c>
      <c r="E22" s="11" t="str">
        <f>VLOOKUP(D22,基础数据表!A:G,2,FALSE)</f>
        <v>盛华</v>
      </c>
      <c r="F22" s="11">
        <v>2012060001</v>
      </c>
      <c r="G22" s="11" t="str">
        <f>VLOOKUP(D22,基础数据表!A:G,3,FALSE)</f>
        <v>DR0001</v>
      </c>
      <c r="H22" s="11" t="str">
        <f>VLOOKUP(D22,基础数据表!A:G,4,FALSE)</f>
        <v>电容</v>
      </c>
      <c r="I22" s="11" t="str">
        <f>VLOOKUP(D22,基础数据表!A:G,5,FALSE)</f>
        <v>10F</v>
      </c>
      <c r="J22" s="11" t="str">
        <f>VLOOKUP(D22,基础数据表!A:G,6,FALSE)</f>
        <v>支</v>
      </c>
      <c r="K22" s="10">
        <v>100</v>
      </c>
      <c r="L22" s="11">
        <f>VLOOKUP(D22,基础数据表!A:G,7,FALSE)</f>
        <v>0.78</v>
      </c>
      <c r="M22" s="17">
        <f t="shared" si="0"/>
        <v>78</v>
      </c>
    </row>
    <row r="23" spans="2:13" s="9" customFormat="1" x14ac:dyDescent="0.15">
      <c r="B23" s="16">
        <v>6</v>
      </c>
      <c r="C23" s="12">
        <v>15</v>
      </c>
      <c r="D23" s="8" t="s">
        <v>9</v>
      </c>
      <c r="E23" s="11" t="str">
        <f>VLOOKUP(D23,基础数据表!A:G,2,FALSE)</f>
        <v>创维科技</v>
      </c>
      <c r="F23" s="11">
        <v>2012060001</v>
      </c>
      <c r="G23" s="11" t="str">
        <f>VLOOKUP(D23,基础数据表!A:G,3,FALSE)</f>
        <v>DR0006</v>
      </c>
      <c r="H23" s="11" t="str">
        <f>VLOOKUP(D23,基础数据表!A:G,4,FALSE)</f>
        <v>电容</v>
      </c>
      <c r="I23" s="11" t="str">
        <f>VLOOKUP(D23,基础数据表!A:G,5,FALSE)</f>
        <v>0.5F</v>
      </c>
      <c r="J23" s="11" t="str">
        <f>VLOOKUP(D23,基础数据表!A:G,6,FALSE)</f>
        <v>支</v>
      </c>
      <c r="K23" s="8">
        <v>850</v>
      </c>
      <c r="L23" s="11">
        <f>VLOOKUP(D23,基础数据表!A:G,7,FALSE)</f>
        <v>0.55000000000000004</v>
      </c>
      <c r="M23" s="17">
        <f t="shared" si="0"/>
        <v>467.50000000000006</v>
      </c>
    </row>
    <row r="24" spans="2:13" x14ac:dyDescent="0.15">
      <c r="B24" s="16">
        <v>6</v>
      </c>
      <c r="C24" s="12">
        <v>24</v>
      </c>
      <c r="D24" s="8" t="s">
        <v>9</v>
      </c>
      <c r="E24" s="11" t="str">
        <f>VLOOKUP(D24,基础数据表!A:G,2,FALSE)</f>
        <v>创维科技</v>
      </c>
      <c r="F24" s="11">
        <v>2012060001</v>
      </c>
      <c r="G24" s="11" t="str">
        <f>VLOOKUP(D24,基础数据表!A:G,3,FALSE)</f>
        <v>DR0006</v>
      </c>
      <c r="H24" s="11" t="str">
        <f>VLOOKUP(D24,基础数据表!A:G,4,FALSE)</f>
        <v>电容</v>
      </c>
      <c r="I24" s="11" t="str">
        <f>VLOOKUP(D24,基础数据表!A:G,5,FALSE)</f>
        <v>0.5F</v>
      </c>
      <c r="J24" s="11" t="str">
        <f>VLOOKUP(D24,基础数据表!A:G,6,FALSE)</f>
        <v>支</v>
      </c>
      <c r="K24" s="10">
        <v>200</v>
      </c>
      <c r="L24" s="11">
        <f>VLOOKUP(D24,基础数据表!A:G,7,FALSE)</f>
        <v>0.55000000000000004</v>
      </c>
      <c r="M24" s="17">
        <f t="shared" si="0"/>
        <v>110.00000000000001</v>
      </c>
    </row>
    <row r="25" spans="2:13" x14ac:dyDescent="0.15">
      <c r="B25" s="16">
        <v>6</v>
      </c>
      <c r="C25" s="11">
        <v>3</v>
      </c>
      <c r="D25" s="8" t="s">
        <v>6</v>
      </c>
      <c r="E25" s="11" t="str">
        <f>VLOOKUP(D25,基础数据表!A:G,2,FALSE)</f>
        <v>恒杰电子</v>
      </c>
      <c r="F25" s="11">
        <v>2012060001</v>
      </c>
      <c r="G25" s="11" t="str">
        <f>VLOOKUP(D25,基础数据表!A:G,3,FALSE)</f>
        <v>DR0002</v>
      </c>
      <c r="H25" s="11" t="str">
        <f>VLOOKUP(D25,基础数据表!A:G,4,FALSE)</f>
        <v>电容</v>
      </c>
      <c r="I25" s="11" t="str">
        <f>VLOOKUP(D25,基础数据表!A:G,5,FALSE)</f>
        <v>18F</v>
      </c>
      <c r="J25" s="11" t="str">
        <f>VLOOKUP(D25,基础数据表!A:G,6,FALSE)</f>
        <v>支</v>
      </c>
      <c r="K25" s="10">
        <v>100</v>
      </c>
      <c r="L25" s="11">
        <f>VLOOKUP(D25,基础数据表!A:G,7,FALSE)</f>
        <v>0.65</v>
      </c>
      <c r="M25" s="17">
        <f t="shared" si="0"/>
        <v>65</v>
      </c>
    </row>
    <row r="26" spans="2:13" x14ac:dyDescent="0.15">
      <c r="B26" s="16">
        <v>6</v>
      </c>
      <c r="C26" s="11">
        <v>5</v>
      </c>
      <c r="D26" s="8" t="s">
        <v>6</v>
      </c>
      <c r="E26" s="11" t="str">
        <f>VLOOKUP(D26,基础数据表!A:G,2,FALSE)</f>
        <v>恒杰电子</v>
      </c>
      <c r="F26" s="11">
        <v>2012060001</v>
      </c>
      <c r="G26" s="11" t="str">
        <f>VLOOKUP(D26,基础数据表!A:G,3,FALSE)</f>
        <v>DR0002</v>
      </c>
      <c r="H26" s="11" t="str">
        <f>VLOOKUP(D26,基础数据表!A:G,4,FALSE)</f>
        <v>电容</v>
      </c>
      <c r="I26" s="11" t="str">
        <f>VLOOKUP(D26,基础数据表!A:G,5,FALSE)</f>
        <v>18F</v>
      </c>
      <c r="J26" s="11" t="str">
        <f>VLOOKUP(D26,基础数据表!A:G,6,FALSE)</f>
        <v>支</v>
      </c>
      <c r="K26" s="10">
        <v>710</v>
      </c>
      <c r="L26" s="11">
        <f>VLOOKUP(D26,基础数据表!A:G,7,FALSE)</f>
        <v>0.65</v>
      </c>
      <c r="M26" s="17">
        <f t="shared" si="0"/>
        <v>461.5</v>
      </c>
    </row>
    <row r="27" spans="2:13" x14ac:dyDescent="0.15">
      <c r="B27" s="16">
        <v>6</v>
      </c>
      <c r="C27" s="11">
        <v>7</v>
      </c>
      <c r="D27" s="8" t="s">
        <v>6</v>
      </c>
      <c r="E27" s="11" t="str">
        <f>VLOOKUP(D27,基础数据表!A:G,2,FALSE)</f>
        <v>恒杰电子</v>
      </c>
      <c r="F27" s="11">
        <v>2012060001</v>
      </c>
      <c r="G27" s="11" t="str">
        <f>VLOOKUP(D27,基础数据表!A:G,3,FALSE)</f>
        <v>DR0002</v>
      </c>
      <c r="H27" s="11" t="str">
        <f>VLOOKUP(D27,基础数据表!A:G,4,FALSE)</f>
        <v>电容</v>
      </c>
      <c r="I27" s="11" t="str">
        <f>VLOOKUP(D27,基础数据表!A:G,5,FALSE)</f>
        <v>18F</v>
      </c>
      <c r="J27" s="11" t="str">
        <f>VLOOKUP(D27,基础数据表!A:G,6,FALSE)</f>
        <v>支</v>
      </c>
      <c r="K27" s="10">
        <v>200</v>
      </c>
      <c r="L27" s="11">
        <f>VLOOKUP(D27,基础数据表!A:G,7,FALSE)</f>
        <v>0.65</v>
      </c>
      <c r="M27" s="17">
        <f t="shared" si="0"/>
        <v>130</v>
      </c>
    </row>
    <row r="28" spans="2:13" x14ac:dyDescent="0.15">
      <c r="B28" s="16">
        <v>6</v>
      </c>
      <c r="C28" s="11">
        <v>7</v>
      </c>
      <c r="D28" s="8" t="s">
        <v>6</v>
      </c>
      <c r="E28" s="11" t="str">
        <f>VLOOKUP(D28,基础数据表!A:G,2,FALSE)</f>
        <v>恒杰电子</v>
      </c>
      <c r="F28" s="11">
        <v>2012060001</v>
      </c>
      <c r="G28" s="11" t="str">
        <f>VLOOKUP(D28,基础数据表!A:G,3,FALSE)</f>
        <v>DR0002</v>
      </c>
      <c r="H28" s="11" t="str">
        <f>VLOOKUP(D28,基础数据表!A:G,4,FALSE)</f>
        <v>电容</v>
      </c>
      <c r="I28" s="11" t="str">
        <f>VLOOKUP(D28,基础数据表!A:G,5,FALSE)</f>
        <v>18F</v>
      </c>
      <c r="J28" s="11" t="str">
        <f>VLOOKUP(D28,基础数据表!A:G,6,FALSE)</f>
        <v>支</v>
      </c>
      <c r="K28" s="10">
        <v>600</v>
      </c>
      <c r="L28" s="11">
        <f>VLOOKUP(D28,基础数据表!A:G,7,FALSE)</f>
        <v>0.65</v>
      </c>
      <c r="M28" s="17">
        <f t="shared" si="0"/>
        <v>390</v>
      </c>
    </row>
    <row r="29" spans="2:13" x14ac:dyDescent="0.15">
      <c r="B29" s="16">
        <v>6</v>
      </c>
      <c r="C29" s="11">
        <v>8</v>
      </c>
      <c r="D29" s="8" t="s">
        <v>8</v>
      </c>
      <c r="E29" s="11" t="str">
        <f>VLOOKUP(D29,基础数据表!A:G,2,FALSE)</f>
        <v>海域电子</v>
      </c>
      <c r="F29" s="11">
        <v>2012060001</v>
      </c>
      <c r="G29" s="11" t="str">
        <f>VLOOKUP(D29,基础数据表!A:G,3,FALSE)</f>
        <v>DR0005</v>
      </c>
      <c r="H29" s="11" t="str">
        <f>VLOOKUP(D29,基础数据表!A:G,4,FALSE)</f>
        <v>电容</v>
      </c>
      <c r="I29" s="11" t="str">
        <f>VLOOKUP(D29,基础数据表!A:G,5,FALSE)</f>
        <v>25F</v>
      </c>
      <c r="J29" s="11" t="str">
        <f>VLOOKUP(D29,基础数据表!A:G,6,FALSE)</f>
        <v>支</v>
      </c>
      <c r="K29" s="10">
        <v>100</v>
      </c>
      <c r="L29" s="11">
        <f>VLOOKUP(D29,基础数据表!A:G,7,FALSE)</f>
        <v>0.9</v>
      </c>
      <c r="M29" s="17">
        <f t="shared" si="0"/>
        <v>90</v>
      </c>
    </row>
    <row r="30" spans="2:13" x14ac:dyDescent="0.15">
      <c r="B30" s="16">
        <v>6</v>
      </c>
      <c r="C30" s="11">
        <v>8</v>
      </c>
      <c r="D30" s="8" t="s">
        <v>8</v>
      </c>
      <c r="E30" s="11" t="str">
        <f>VLOOKUP(D30,基础数据表!A:G,2,FALSE)</f>
        <v>海域电子</v>
      </c>
      <c r="F30" s="11">
        <v>2012060001</v>
      </c>
      <c r="G30" s="11" t="str">
        <f>VLOOKUP(D30,基础数据表!A:G,3,FALSE)</f>
        <v>DR0005</v>
      </c>
      <c r="H30" s="11" t="str">
        <f>VLOOKUP(D30,基础数据表!A:G,4,FALSE)</f>
        <v>电容</v>
      </c>
      <c r="I30" s="11" t="str">
        <f>VLOOKUP(D30,基础数据表!A:G,5,FALSE)</f>
        <v>25F</v>
      </c>
      <c r="J30" s="11" t="str">
        <f>VLOOKUP(D30,基础数据表!A:G,6,FALSE)</f>
        <v>支</v>
      </c>
      <c r="K30" s="8">
        <v>5000</v>
      </c>
      <c r="L30" s="11">
        <f>VLOOKUP(D30,基础数据表!A:G,7,FALSE)</f>
        <v>0.9</v>
      </c>
      <c r="M30" s="17">
        <f t="shared" si="0"/>
        <v>4500</v>
      </c>
    </row>
    <row r="31" spans="2:13" x14ac:dyDescent="0.15">
      <c r="B31" s="16">
        <v>6</v>
      </c>
      <c r="C31" s="11">
        <v>8</v>
      </c>
      <c r="D31" s="8" t="s">
        <v>8</v>
      </c>
      <c r="E31" s="11" t="str">
        <f>VLOOKUP(D31,基础数据表!A:G,2,FALSE)</f>
        <v>海域电子</v>
      </c>
      <c r="F31" s="11">
        <v>2012060001</v>
      </c>
      <c r="G31" s="11" t="str">
        <f>VLOOKUP(D31,基础数据表!A:G,3,FALSE)</f>
        <v>DR0005</v>
      </c>
      <c r="H31" s="11" t="str">
        <f>VLOOKUP(D31,基础数据表!A:G,4,FALSE)</f>
        <v>电容</v>
      </c>
      <c r="I31" s="11" t="str">
        <f>VLOOKUP(D31,基础数据表!A:G,5,FALSE)</f>
        <v>25F</v>
      </c>
      <c r="J31" s="11" t="str">
        <f>VLOOKUP(D31,基础数据表!A:G,6,FALSE)</f>
        <v>支</v>
      </c>
      <c r="K31" s="8">
        <v>1500</v>
      </c>
      <c r="L31" s="11">
        <f>VLOOKUP(D31,基础数据表!A:G,7,FALSE)</f>
        <v>0.9</v>
      </c>
      <c r="M31" s="17">
        <f t="shared" si="0"/>
        <v>1350</v>
      </c>
    </row>
    <row r="32" spans="2:13" x14ac:dyDescent="0.15">
      <c r="B32" s="16">
        <v>6</v>
      </c>
      <c r="C32" s="12">
        <v>10</v>
      </c>
      <c r="D32" s="8" t="s">
        <v>8</v>
      </c>
      <c r="E32" s="11" t="str">
        <f>VLOOKUP(D32,基础数据表!A:G,2,FALSE)</f>
        <v>海域电子</v>
      </c>
      <c r="F32" s="11">
        <v>2012060001</v>
      </c>
      <c r="G32" s="11" t="str">
        <f>VLOOKUP(D32,基础数据表!A:G,3,FALSE)</f>
        <v>DR0005</v>
      </c>
      <c r="H32" s="11" t="str">
        <f>VLOOKUP(D32,基础数据表!A:G,4,FALSE)</f>
        <v>电容</v>
      </c>
      <c r="I32" s="11" t="str">
        <f>VLOOKUP(D32,基础数据表!A:G,5,FALSE)</f>
        <v>25F</v>
      </c>
      <c r="J32" s="11" t="str">
        <f>VLOOKUP(D32,基础数据表!A:G,6,FALSE)</f>
        <v>支</v>
      </c>
      <c r="K32" s="8">
        <v>5000</v>
      </c>
      <c r="L32" s="11">
        <f>VLOOKUP(D32,基础数据表!A:G,7,FALSE)</f>
        <v>0.9</v>
      </c>
      <c r="M32" s="17">
        <f t="shared" si="0"/>
        <v>4500</v>
      </c>
    </row>
    <row r="33" spans="2:13" x14ac:dyDescent="0.15">
      <c r="B33" s="16">
        <v>6</v>
      </c>
      <c r="C33" s="12">
        <v>15</v>
      </c>
      <c r="D33" s="8" t="s">
        <v>185</v>
      </c>
      <c r="E33" s="11" t="str">
        <f>VLOOKUP(D33,基础数据表!A:G,2,FALSE)</f>
        <v>罗利亚</v>
      </c>
      <c r="F33" s="11">
        <v>2012060001</v>
      </c>
      <c r="G33" s="11" t="str">
        <f>VLOOKUP(D33,基础数据表!A:G,3,FALSE)</f>
        <v>JCK002</v>
      </c>
      <c r="H33" s="11" t="str">
        <f>VLOOKUP(D33,基础数据表!A:G,4,FALSE)</f>
        <v>集成块</v>
      </c>
      <c r="I33" s="11" t="str">
        <f>VLOOKUP(D33,基础数据表!A:G,5,FALSE)</f>
        <v>AEu8120</v>
      </c>
      <c r="J33" s="11" t="str">
        <f>VLOOKUP(D33,基础数据表!A:G,6,FALSE)</f>
        <v>支</v>
      </c>
      <c r="K33" s="8">
        <v>7800</v>
      </c>
      <c r="L33" s="11">
        <f>VLOOKUP(D33,基础数据表!A:G,7,FALSE)</f>
        <v>75.599999999999994</v>
      </c>
      <c r="M33" s="17">
        <f t="shared" si="0"/>
        <v>589680</v>
      </c>
    </row>
    <row r="34" spans="2:13" x14ac:dyDescent="0.15">
      <c r="B34" s="16">
        <v>6</v>
      </c>
      <c r="C34" s="12">
        <v>21</v>
      </c>
      <c r="D34" s="8" t="s">
        <v>185</v>
      </c>
      <c r="E34" s="11" t="str">
        <f>VLOOKUP(D34,基础数据表!A:G,2,FALSE)</f>
        <v>罗利亚</v>
      </c>
      <c r="F34" s="11">
        <v>2012060001</v>
      </c>
      <c r="G34" s="11" t="str">
        <f>VLOOKUP(D34,基础数据表!A:G,3,FALSE)</f>
        <v>JCK002</v>
      </c>
      <c r="H34" s="11" t="str">
        <f>VLOOKUP(D34,基础数据表!A:G,4,FALSE)</f>
        <v>集成块</v>
      </c>
      <c r="I34" s="11" t="str">
        <f>VLOOKUP(D34,基础数据表!A:G,5,FALSE)</f>
        <v>AEu8120</v>
      </c>
      <c r="J34" s="11" t="str">
        <f>VLOOKUP(D34,基础数据表!A:G,6,FALSE)</f>
        <v>支</v>
      </c>
      <c r="K34" s="10">
        <v>560</v>
      </c>
      <c r="L34" s="11">
        <f>VLOOKUP(D34,基础数据表!A:G,7,FALSE)</f>
        <v>75.599999999999994</v>
      </c>
      <c r="M34" s="17">
        <f t="shared" si="0"/>
        <v>42336</v>
      </c>
    </row>
    <row r="35" spans="2:13" x14ac:dyDescent="0.15">
      <c r="B35" s="16">
        <v>6</v>
      </c>
      <c r="C35" s="12">
        <v>27</v>
      </c>
      <c r="D35" s="8" t="s">
        <v>8</v>
      </c>
      <c r="E35" s="11" t="str">
        <f>VLOOKUP(D35,基础数据表!A:G,2,FALSE)</f>
        <v>海域电子</v>
      </c>
      <c r="F35" s="11">
        <v>2012060001</v>
      </c>
      <c r="G35" s="11" t="str">
        <f>VLOOKUP(D35,基础数据表!A:G,3,FALSE)</f>
        <v>DR0005</v>
      </c>
      <c r="H35" s="11" t="str">
        <f>VLOOKUP(D35,基础数据表!A:G,4,FALSE)</f>
        <v>电容</v>
      </c>
      <c r="I35" s="11" t="str">
        <f>VLOOKUP(D35,基础数据表!A:G,5,FALSE)</f>
        <v>25F</v>
      </c>
      <c r="J35" s="11" t="str">
        <f>VLOOKUP(D35,基础数据表!A:G,6,FALSE)</f>
        <v>支</v>
      </c>
      <c r="K35" s="10">
        <v>200</v>
      </c>
      <c r="L35" s="11">
        <f>VLOOKUP(D35,基础数据表!A:G,7,FALSE)</f>
        <v>0.9</v>
      </c>
      <c r="M35" s="17">
        <f t="shared" si="0"/>
        <v>180</v>
      </c>
    </row>
    <row r="36" spans="2:13" x14ac:dyDescent="0.15">
      <c r="B36" s="16">
        <v>6</v>
      </c>
      <c r="C36" s="11">
        <v>5</v>
      </c>
      <c r="D36" s="8" t="s">
        <v>99</v>
      </c>
      <c r="E36" s="11" t="str">
        <f>VLOOKUP(D36,基础数据表!A:G,2,FALSE)</f>
        <v>佳缘电器</v>
      </c>
      <c r="F36" s="11">
        <v>2012060001</v>
      </c>
      <c r="G36" s="11" t="str">
        <f>VLOOKUP(D36,基础数据表!A:G,3,FALSE)</f>
        <v>JCK005</v>
      </c>
      <c r="H36" s="11" t="str">
        <f>VLOOKUP(D36,基础数据表!A:G,4,FALSE)</f>
        <v>集成块</v>
      </c>
      <c r="I36" s="11" t="str">
        <f>VLOOKUP(D36,基础数据表!A:G,5,FALSE)</f>
        <v>AEu8143</v>
      </c>
      <c r="J36" s="11" t="str">
        <f>VLOOKUP(D36,基础数据表!A:G,6,FALSE)</f>
        <v>支</v>
      </c>
      <c r="K36" s="10">
        <v>200</v>
      </c>
      <c r="L36" s="11">
        <f>VLOOKUP(D36,基础数据表!A:G,7,FALSE)</f>
        <v>70</v>
      </c>
      <c r="M36" s="17">
        <f t="shared" ref="M36:M67" si="1">K36*L36</f>
        <v>14000</v>
      </c>
    </row>
    <row r="37" spans="2:13" x14ac:dyDescent="0.15">
      <c r="B37" s="16">
        <v>6</v>
      </c>
      <c r="C37" s="11">
        <v>6</v>
      </c>
      <c r="D37" s="8" t="s">
        <v>99</v>
      </c>
      <c r="E37" s="11" t="str">
        <f>VLOOKUP(D37,基础数据表!A:G,2,FALSE)</f>
        <v>佳缘电器</v>
      </c>
      <c r="F37" s="11">
        <v>2012060001</v>
      </c>
      <c r="G37" s="11" t="str">
        <f>VLOOKUP(D37,基础数据表!A:G,3,FALSE)</f>
        <v>JCK005</v>
      </c>
      <c r="H37" s="11" t="str">
        <f>VLOOKUP(D37,基础数据表!A:G,4,FALSE)</f>
        <v>集成块</v>
      </c>
      <c r="I37" s="11" t="str">
        <f>VLOOKUP(D37,基础数据表!A:G,5,FALSE)</f>
        <v>AEu8143</v>
      </c>
      <c r="J37" s="11" t="str">
        <f>VLOOKUP(D37,基础数据表!A:G,6,FALSE)</f>
        <v>支</v>
      </c>
      <c r="K37" s="10">
        <v>520</v>
      </c>
      <c r="L37" s="11">
        <f>VLOOKUP(D37,基础数据表!A:G,7,FALSE)</f>
        <v>70</v>
      </c>
      <c r="M37" s="17">
        <f t="shared" si="1"/>
        <v>36400</v>
      </c>
    </row>
    <row r="38" spans="2:13" x14ac:dyDescent="0.15">
      <c r="B38" s="16">
        <v>6</v>
      </c>
      <c r="C38" s="12">
        <v>18</v>
      </c>
      <c r="D38" s="8" t="s">
        <v>99</v>
      </c>
      <c r="E38" s="11" t="str">
        <f>VLOOKUP(D38,基础数据表!A:G,2,FALSE)</f>
        <v>佳缘电器</v>
      </c>
      <c r="F38" s="11">
        <v>2012060001</v>
      </c>
      <c r="G38" s="11" t="str">
        <f>VLOOKUP(D38,基础数据表!A:G,3,FALSE)</f>
        <v>JCK005</v>
      </c>
      <c r="H38" s="11" t="str">
        <f>VLOOKUP(D38,基础数据表!A:G,4,FALSE)</f>
        <v>集成块</v>
      </c>
      <c r="I38" s="11" t="str">
        <f>VLOOKUP(D38,基础数据表!A:G,5,FALSE)</f>
        <v>AEu8143</v>
      </c>
      <c r="J38" s="11" t="str">
        <f>VLOOKUP(D38,基础数据表!A:G,6,FALSE)</f>
        <v>支</v>
      </c>
      <c r="K38" s="8">
        <v>1000</v>
      </c>
      <c r="L38" s="11">
        <f>VLOOKUP(D38,基础数据表!A:G,7,FALSE)</f>
        <v>70</v>
      </c>
      <c r="M38" s="17">
        <f t="shared" si="1"/>
        <v>70000</v>
      </c>
    </row>
    <row r="39" spans="2:13" x14ac:dyDescent="0.15">
      <c r="B39" s="16">
        <v>6</v>
      </c>
      <c r="C39" s="12">
        <v>25</v>
      </c>
      <c r="D39" s="8" t="s">
        <v>99</v>
      </c>
      <c r="E39" s="11" t="str">
        <f>VLOOKUP(D39,基础数据表!A:G,2,FALSE)</f>
        <v>佳缘电器</v>
      </c>
      <c r="F39" s="11">
        <v>2012060001</v>
      </c>
      <c r="G39" s="11" t="str">
        <f>VLOOKUP(D39,基础数据表!A:G,3,FALSE)</f>
        <v>JCK005</v>
      </c>
      <c r="H39" s="11" t="str">
        <f>VLOOKUP(D39,基础数据表!A:G,4,FALSE)</f>
        <v>集成块</v>
      </c>
      <c r="I39" s="11" t="str">
        <f>VLOOKUP(D39,基础数据表!A:G,5,FALSE)</f>
        <v>AEu8143</v>
      </c>
      <c r="J39" s="11" t="str">
        <f>VLOOKUP(D39,基础数据表!A:G,6,FALSE)</f>
        <v>支</v>
      </c>
      <c r="K39" s="10">
        <v>400</v>
      </c>
      <c r="L39" s="11">
        <f>VLOOKUP(D39,基础数据表!A:G,7,FALSE)</f>
        <v>70</v>
      </c>
      <c r="M39" s="17">
        <f t="shared" si="1"/>
        <v>28000</v>
      </c>
    </row>
    <row r="40" spans="2:13" x14ac:dyDescent="0.15">
      <c r="B40" s="16">
        <v>6</v>
      </c>
      <c r="C40" s="11">
        <v>1</v>
      </c>
      <c r="D40" s="8" t="s">
        <v>4</v>
      </c>
      <c r="E40" s="11" t="str">
        <f>VLOOKUP(D40,基础数据表!A:G,2,FALSE)</f>
        <v>金元电器</v>
      </c>
      <c r="F40" s="11">
        <v>2012060001</v>
      </c>
      <c r="G40" s="11" t="str">
        <f>VLOOKUP(D40,基础数据表!A:G,3,FALSE)</f>
        <v>DZ0006</v>
      </c>
      <c r="H40" s="11" t="str">
        <f>VLOOKUP(D40,基础数据表!A:G,4,FALSE)</f>
        <v>电阻</v>
      </c>
      <c r="I40" s="11" t="str">
        <f>VLOOKUP(D40,基础数据表!A:G,5,FALSE)</f>
        <v>30Ω</v>
      </c>
      <c r="J40" s="11" t="str">
        <f>VLOOKUP(D40,基础数据表!A:G,6,FALSE)</f>
        <v>支</v>
      </c>
      <c r="K40" s="10">
        <v>540</v>
      </c>
      <c r="L40" s="11">
        <f>VLOOKUP(D40,基础数据表!A:G,7,FALSE)</f>
        <v>0.36</v>
      </c>
      <c r="M40" s="17">
        <f t="shared" si="1"/>
        <v>194.4</v>
      </c>
    </row>
    <row r="41" spans="2:13" x14ac:dyDescent="0.15">
      <c r="B41" s="16">
        <v>6</v>
      </c>
      <c r="C41" s="11">
        <v>1</v>
      </c>
      <c r="D41" s="8" t="s">
        <v>4</v>
      </c>
      <c r="E41" s="11" t="str">
        <f>VLOOKUP(D41,基础数据表!A:G,2,FALSE)</f>
        <v>金元电器</v>
      </c>
      <c r="F41" s="11">
        <v>2012060001</v>
      </c>
      <c r="G41" s="11" t="str">
        <f>VLOOKUP(D41,基础数据表!A:G,3,FALSE)</f>
        <v>DZ0006</v>
      </c>
      <c r="H41" s="11" t="str">
        <f>VLOOKUP(D41,基础数据表!A:G,4,FALSE)</f>
        <v>电阻</v>
      </c>
      <c r="I41" s="11" t="str">
        <f>VLOOKUP(D41,基础数据表!A:G,5,FALSE)</f>
        <v>30Ω</v>
      </c>
      <c r="J41" s="11" t="str">
        <f>VLOOKUP(D41,基础数据表!A:G,6,FALSE)</f>
        <v>支</v>
      </c>
      <c r="K41" s="10">
        <v>456</v>
      </c>
      <c r="L41" s="11">
        <f>VLOOKUP(D41,基础数据表!A:G,7,FALSE)</f>
        <v>0.36</v>
      </c>
      <c r="M41" s="17">
        <f t="shared" si="1"/>
        <v>164.16</v>
      </c>
    </row>
    <row r="42" spans="2:13" x14ac:dyDescent="0.15">
      <c r="B42" s="16">
        <v>6</v>
      </c>
      <c r="C42" s="11">
        <v>2</v>
      </c>
      <c r="D42" s="8" t="s">
        <v>6</v>
      </c>
      <c r="E42" s="11" t="str">
        <f>VLOOKUP(D42,基础数据表!A:G,2,FALSE)</f>
        <v>恒杰电子</v>
      </c>
      <c r="F42" s="11">
        <v>2012060001</v>
      </c>
      <c r="G42" s="11" t="str">
        <f>VLOOKUP(D42,基础数据表!A:G,3,FALSE)</f>
        <v>DR0002</v>
      </c>
      <c r="H42" s="11" t="str">
        <f>VLOOKUP(D42,基础数据表!A:G,4,FALSE)</f>
        <v>电容</v>
      </c>
      <c r="I42" s="11" t="str">
        <f>VLOOKUP(D42,基础数据表!A:G,5,FALSE)</f>
        <v>18F</v>
      </c>
      <c r="J42" s="11" t="str">
        <f>VLOOKUP(D42,基础数据表!A:G,6,FALSE)</f>
        <v>支</v>
      </c>
      <c r="K42" s="10">
        <v>215</v>
      </c>
      <c r="L42" s="11">
        <f>VLOOKUP(D42,基础数据表!A:G,7,FALSE)</f>
        <v>0.65</v>
      </c>
      <c r="M42" s="17">
        <f t="shared" si="1"/>
        <v>139.75</v>
      </c>
    </row>
    <row r="43" spans="2:13" x14ac:dyDescent="0.15">
      <c r="B43" s="16">
        <v>6</v>
      </c>
      <c r="C43" s="11">
        <v>2</v>
      </c>
      <c r="D43" s="8" t="s">
        <v>5</v>
      </c>
      <c r="E43" s="11" t="str">
        <f>VLOOKUP(D43,基础数据表!A:G,2,FALSE)</f>
        <v>盛华</v>
      </c>
      <c r="F43" s="11">
        <v>2012060001</v>
      </c>
      <c r="G43" s="11" t="str">
        <f>VLOOKUP(D43,基础数据表!A:G,3,FALSE)</f>
        <v>DR0001</v>
      </c>
      <c r="H43" s="11" t="str">
        <f>VLOOKUP(D43,基础数据表!A:G,4,FALSE)</f>
        <v>电容</v>
      </c>
      <c r="I43" s="11" t="str">
        <f>VLOOKUP(D43,基础数据表!A:G,5,FALSE)</f>
        <v>10F</v>
      </c>
      <c r="J43" s="11" t="str">
        <f>VLOOKUP(D43,基础数据表!A:G,6,FALSE)</f>
        <v>支</v>
      </c>
      <c r="K43" s="10">
        <v>2000</v>
      </c>
      <c r="L43" s="11">
        <f>VLOOKUP(D43,基础数据表!A:G,7,FALSE)</f>
        <v>0.78</v>
      </c>
      <c r="M43" s="17">
        <f t="shared" si="1"/>
        <v>1560</v>
      </c>
    </row>
    <row r="44" spans="2:13" x14ac:dyDescent="0.15">
      <c r="B44" s="16">
        <v>6</v>
      </c>
      <c r="C44" s="11">
        <v>3</v>
      </c>
      <c r="D44" s="8" t="s">
        <v>5</v>
      </c>
      <c r="E44" s="11" t="str">
        <f>VLOOKUP(D44,基础数据表!A:G,2,FALSE)</f>
        <v>盛华</v>
      </c>
      <c r="F44" s="11">
        <v>2012060001</v>
      </c>
      <c r="G44" s="11" t="str">
        <f>VLOOKUP(D44,基础数据表!A:G,3,FALSE)</f>
        <v>DR0001</v>
      </c>
      <c r="H44" s="11" t="str">
        <f>VLOOKUP(D44,基础数据表!A:G,4,FALSE)</f>
        <v>电容</v>
      </c>
      <c r="I44" s="11" t="str">
        <f>VLOOKUP(D44,基础数据表!A:G,5,FALSE)</f>
        <v>10F</v>
      </c>
      <c r="J44" s="11" t="str">
        <f>VLOOKUP(D44,基础数据表!A:G,6,FALSE)</f>
        <v>支</v>
      </c>
      <c r="K44" s="10">
        <v>3000</v>
      </c>
      <c r="L44" s="11">
        <f>VLOOKUP(D44,基础数据表!A:G,7,FALSE)</f>
        <v>0.78</v>
      </c>
      <c r="M44" s="17">
        <f t="shared" si="1"/>
        <v>2340</v>
      </c>
    </row>
    <row r="45" spans="2:13" x14ac:dyDescent="0.15">
      <c r="B45" s="16">
        <v>6</v>
      </c>
      <c r="C45" s="11">
        <v>3</v>
      </c>
      <c r="D45" s="8" t="s">
        <v>97</v>
      </c>
      <c r="E45" s="11" t="str">
        <f>VLOOKUP(D45,基础数据表!A:G,2,FALSE)</f>
        <v>金元电器</v>
      </c>
      <c r="F45" s="11">
        <v>2012060001</v>
      </c>
      <c r="G45" s="11" t="str">
        <f>VLOOKUP(D45,基础数据表!A:G,3,FALSE)</f>
        <v>DZ0005</v>
      </c>
      <c r="H45" s="11" t="str">
        <f>VLOOKUP(D45,基础数据表!A:G,4,FALSE)</f>
        <v>电阻</v>
      </c>
      <c r="I45" s="11" t="str">
        <f>VLOOKUP(D45,基础数据表!A:G,5,FALSE)</f>
        <v>29Ω</v>
      </c>
      <c r="J45" s="11" t="str">
        <f>VLOOKUP(D45,基础数据表!A:G,6,FALSE)</f>
        <v>支</v>
      </c>
      <c r="K45" s="10">
        <v>200</v>
      </c>
      <c r="L45" s="11">
        <f>VLOOKUP(D45,基础数据表!A:G,7,FALSE)</f>
        <v>0.21</v>
      </c>
      <c r="M45" s="17">
        <f t="shared" si="1"/>
        <v>42</v>
      </c>
    </row>
    <row r="46" spans="2:13" x14ac:dyDescent="0.15">
      <c r="B46" s="16">
        <v>6</v>
      </c>
      <c r="C46" s="11">
        <v>5</v>
      </c>
      <c r="D46" s="8" t="s">
        <v>4</v>
      </c>
      <c r="E46" s="11" t="str">
        <f>VLOOKUP(D46,基础数据表!A:G,2,FALSE)</f>
        <v>金元电器</v>
      </c>
      <c r="F46" s="11">
        <v>2012060001</v>
      </c>
      <c r="G46" s="11" t="str">
        <f>VLOOKUP(D46,基础数据表!A:G,3,FALSE)</f>
        <v>DZ0006</v>
      </c>
      <c r="H46" s="11" t="str">
        <f>VLOOKUP(D46,基础数据表!A:G,4,FALSE)</f>
        <v>电阻</v>
      </c>
      <c r="I46" s="11" t="str">
        <f>VLOOKUP(D46,基础数据表!A:G,5,FALSE)</f>
        <v>30Ω</v>
      </c>
      <c r="J46" s="11" t="str">
        <f>VLOOKUP(D46,基础数据表!A:G,6,FALSE)</f>
        <v>支</v>
      </c>
      <c r="K46" s="10">
        <v>201</v>
      </c>
      <c r="L46" s="11">
        <f>VLOOKUP(D46,基础数据表!A:G,7,FALSE)</f>
        <v>0.36</v>
      </c>
      <c r="M46" s="17">
        <f t="shared" si="1"/>
        <v>72.36</v>
      </c>
    </row>
    <row r="47" spans="2:13" x14ac:dyDescent="0.15">
      <c r="B47" s="16">
        <v>6</v>
      </c>
      <c r="C47" s="12">
        <v>12</v>
      </c>
      <c r="D47" s="8" t="s">
        <v>5</v>
      </c>
      <c r="E47" s="11" t="str">
        <f>VLOOKUP(D47,基础数据表!A:G,2,FALSE)</f>
        <v>盛华</v>
      </c>
      <c r="F47" s="11">
        <v>2012060001</v>
      </c>
      <c r="G47" s="11" t="str">
        <f>VLOOKUP(D47,基础数据表!A:G,3,FALSE)</f>
        <v>DR0001</v>
      </c>
      <c r="H47" s="11" t="str">
        <f>VLOOKUP(D47,基础数据表!A:G,4,FALSE)</f>
        <v>电容</v>
      </c>
      <c r="I47" s="11" t="str">
        <f>VLOOKUP(D47,基础数据表!A:G,5,FALSE)</f>
        <v>10F</v>
      </c>
      <c r="J47" s="11" t="str">
        <f>VLOOKUP(D47,基础数据表!A:G,6,FALSE)</f>
        <v>支</v>
      </c>
      <c r="K47" s="8">
        <v>5000</v>
      </c>
      <c r="L47" s="11">
        <f>VLOOKUP(D47,基础数据表!A:G,7,FALSE)</f>
        <v>0.78</v>
      </c>
      <c r="M47" s="17">
        <f t="shared" si="1"/>
        <v>3900</v>
      </c>
    </row>
    <row r="48" spans="2:13" x14ac:dyDescent="0.15">
      <c r="B48" s="16">
        <v>6</v>
      </c>
      <c r="C48" s="12">
        <v>15</v>
      </c>
      <c r="D48" s="8" t="s">
        <v>97</v>
      </c>
      <c r="E48" s="11" t="str">
        <f>VLOOKUP(D48,基础数据表!A:G,2,FALSE)</f>
        <v>金元电器</v>
      </c>
      <c r="F48" s="11">
        <v>2012060001</v>
      </c>
      <c r="G48" s="11" t="str">
        <f>VLOOKUP(D48,基础数据表!A:G,3,FALSE)</f>
        <v>DZ0005</v>
      </c>
      <c r="H48" s="11" t="str">
        <f>VLOOKUP(D48,基础数据表!A:G,4,FALSE)</f>
        <v>电阻</v>
      </c>
      <c r="I48" s="11" t="str">
        <f>VLOOKUP(D48,基础数据表!A:G,5,FALSE)</f>
        <v>29Ω</v>
      </c>
      <c r="J48" s="11" t="str">
        <f>VLOOKUP(D48,基础数据表!A:G,6,FALSE)</f>
        <v>支</v>
      </c>
      <c r="K48" s="8">
        <v>3000</v>
      </c>
      <c r="L48" s="11">
        <f>VLOOKUP(D48,基础数据表!A:G,7,FALSE)</f>
        <v>0.21</v>
      </c>
      <c r="M48" s="17">
        <f t="shared" si="1"/>
        <v>630</v>
      </c>
    </row>
    <row r="49" spans="2:13" x14ac:dyDescent="0.15">
      <c r="B49" s="16">
        <v>6</v>
      </c>
      <c r="C49" s="12">
        <v>15</v>
      </c>
      <c r="D49" s="8" t="s">
        <v>4</v>
      </c>
      <c r="E49" s="11" t="str">
        <f>VLOOKUP(D49,基础数据表!A:G,2,FALSE)</f>
        <v>金元电器</v>
      </c>
      <c r="F49" s="11">
        <v>2012060001</v>
      </c>
      <c r="G49" s="11" t="str">
        <f>VLOOKUP(D49,基础数据表!A:G,3,FALSE)</f>
        <v>DZ0006</v>
      </c>
      <c r="H49" s="11" t="str">
        <f>VLOOKUP(D49,基础数据表!A:G,4,FALSE)</f>
        <v>电阻</v>
      </c>
      <c r="I49" s="11" t="str">
        <f>VLOOKUP(D49,基础数据表!A:G,5,FALSE)</f>
        <v>30Ω</v>
      </c>
      <c r="J49" s="11" t="str">
        <f>VLOOKUP(D49,基础数据表!A:G,6,FALSE)</f>
        <v>支</v>
      </c>
      <c r="K49" s="8">
        <v>600</v>
      </c>
      <c r="L49" s="11">
        <f>VLOOKUP(D49,基础数据表!A:G,7,FALSE)</f>
        <v>0.36</v>
      </c>
      <c r="M49" s="17">
        <f t="shared" si="1"/>
        <v>216</v>
      </c>
    </row>
    <row r="50" spans="2:13" x14ac:dyDescent="0.15">
      <c r="B50" s="16">
        <v>6</v>
      </c>
      <c r="C50" s="12">
        <v>18</v>
      </c>
      <c r="D50" s="8" t="s">
        <v>97</v>
      </c>
      <c r="E50" s="11" t="str">
        <f>VLOOKUP(D50,基础数据表!A:G,2,FALSE)</f>
        <v>金元电器</v>
      </c>
      <c r="F50" s="11">
        <v>2012060001</v>
      </c>
      <c r="G50" s="11" t="str">
        <f>VLOOKUP(D50,基础数据表!A:G,3,FALSE)</f>
        <v>DZ0005</v>
      </c>
      <c r="H50" s="11" t="str">
        <f>VLOOKUP(D50,基础数据表!A:G,4,FALSE)</f>
        <v>电阻</v>
      </c>
      <c r="I50" s="11" t="str">
        <f>VLOOKUP(D50,基础数据表!A:G,5,FALSE)</f>
        <v>29Ω</v>
      </c>
      <c r="J50" s="11" t="str">
        <f>VLOOKUP(D50,基础数据表!A:G,6,FALSE)</f>
        <v>支</v>
      </c>
      <c r="K50" s="10">
        <v>850</v>
      </c>
      <c r="L50" s="11">
        <f>VLOOKUP(D50,基础数据表!A:G,7,FALSE)</f>
        <v>0.21</v>
      </c>
      <c r="M50" s="17">
        <f t="shared" si="1"/>
        <v>178.5</v>
      </c>
    </row>
    <row r="51" spans="2:13" x14ac:dyDescent="0.15">
      <c r="B51" s="16">
        <v>6</v>
      </c>
      <c r="C51" s="12">
        <v>18</v>
      </c>
      <c r="D51" s="8" t="s">
        <v>4</v>
      </c>
      <c r="E51" s="11" t="str">
        <f>VLOOKUP(D51,基础数据表!A:G,2,FALSE)</f>
        <v>金元电器</v>
      </c>
      <c r="F51" s="11">
        <v>2012060001</v>
      </c>
      <c r="G51" s="11" t="str">
        <f>VLOOKUP(D51,基础数据表!A:G,3,FALSE)</f>
        <v>DZ0006</v>
      </c>
      <c r="H51" s="11" t="str">
        <f>VLOOKUP(D51,基础数据表!A:G,4,FALSE)</f>
        <v>电阻</v>
      </c>
      <c r="I51" s="11" t="str">
        <f>VLOOKUP(D51,基础数据表!A:G,5,FALSE)</f>
        <v>30Ω</v>
      </c>
      <c r="J51" s="11" t="str">
        <f>VLOOKUP(D51,基础数据表!A:G,6,FALSE)</f>
        <v>支</v>
      </c>
      <c r="K51" s="10">
        <v>780</v>
      </c>
      <c r="L51" s="11">
        <f>VLOOKUP(D51,基础数据表!A:G,7,FALSE)</f>
        <v>0.36</v>
      </c>
      <c r="M51" s="17">
        <f t="shared" si="1"/>
        <v>280.8</v>
      </c>
    </row>
    <row r="52" spans="2:13" x14ac:dyDescent="0.15">
      <c r="B52" s="16">
        <v>6</v>
      </c>
      <c r="C52" s="12">
        <v>20</v>
      </c>
      <c r="D52" s="8" t="s">
        <v>97</v>
      </c>
      <c r="E52" s="11" t="str">
        <f>VLOOKUP(D52,基础数据表!A:G,2,FALSE)</f>
        <v>金元电器</v>
      </c>
      <c r="F52" s="11">
        <v>2012060001</v>
      </c>
      <c r="G52" s="11" t="str">
        <f>VLOOKUP(D52,基础数据表!A:G,3,FALSE)</f>
        <v>DZ0005</v>
      </c>
      <c r="H52" s="11" t="str">
        <f>VLOOKUP(D52,基础数据表!A:G,4,FALSE)</f>
        <v>电阻</v>
      </c>
      <c r="I52" s="11" t="str">
        <f>VLOOKUP(D52,基础数据表!A:G,5,FALSE)</f>
        <v>29Ω</v>
      </c>
      <c r="J52" s="11" t="str">
        <f>VLOOKUP(D52,基础数据表!A:G,6,FALSE)</f>
        <v>支</v>
      </c>
      <c r="K52" s="10">
        <v>960</v>
      </c>
      <c r="L52" s="11">
        <f>VLOOKUP(D52,基础数据表!A:G,7,FALSE)</f>
        <v>0.21</v>
      </c>
      <c r="M52" s="17">
        <f t="shared" si="1"/>
        <v>201.6</v>
      </c>
    </row>
    <row r="53" spans="2:13" x14ac:dyDescent="0.15">
      <c r="B53" s="16">
        <v>6</v>
      </c>
      <c r="C53" s="12">
        <v>20</v>
      </c>
      <c r="D53" s="8" t="s">
        <v>4</v>
      </c>
      <c r="E53" s="11" t="str">
        <f>VLOOKUP(D53,基础数据表!A:G,2,FALSE)</f>
        <v>金元电器</v>
      </c>
      <c r="F53" s="11">
        <v>2012060001</v>
      </c>
      <c r="G53" s="11" t="str">
        <f>VLOOKUP(D53,基础数据表!A:G,3,FALSE)</f>
        <v>DZ0006</v>
      </c>
      <c r="H53" s="11" t="str">
        <f>VLOOKUP(D53,基础数据表!A:G,4,FALSE)</f>
        <v>电阻</v>
      </c>
      <c r="I53" s="11" t="str">
        <f>VLOOKUP(D53,基础数据表!A:G,5,FALSE)</f>
        <v>30Ω</v>
      </c>
      <c r="J53" s="11" t="str">
        <f>VLOOKUP(D53,基础数据表!A:G,6,FALSE)</f>
        <v>支</v>
      </c>
      <c r="K53" s="10">
        <v>650</v>
      </c>
      <c r="L53" s="11">
        <f>VLOOKUP(D53,基础数据表!A:G,7,FALSE)</f>
        <v>0.36</v>
      </c>
      <c r="M53" s="17">
        <f t="shared" si="1"/>
        <v>234</v>
      </c>
    </row>
    <row r="54" spans="2:13" x14ac:dyDescent="0.15">
      <c r="B54" s="16">
        <v>6</v>
      </c>
      <c r="C54" s="12">
        <v>26</v>
      </c>
      <c r="D54" s="8" t="s">
        <v>97</v>
      </c>
      <c r="E54" s="11" t="str">
        <f>VLOOKUP(D54,基础数据表!A:G,2,FALSE)</f>
        <v>金元电器</v>
      </c>
      <c r="F54" s="11">
        <v>2012060001</v>
      </c>
      <c r="G54" s="11" t="str">
        <f>VLOOKUP(D54,基础数据表!A:G,3,FALSE)</f>
        <v>DZ0005</v>
      </c>
      <c r="H54" s="11" t="str">
        <f>VLOOKUP(D54,基础数据表!A:G,4,FALSE)</f>
        <v>电阻</v>
      </c>
      <c r="I54" s="11" t="str">
        <f>VLOOKUP(D54,基础数据表!A:G,5,FALSE)</f>
        <v>29Ω</v>
      </c>
      <c r="J54" s="11" t="str">
        <f>VLOOKUP(D54,基础数据表!A:G,6,FALSE)</f>
        <v>支</v>
      </c>
      <c r="K54" s="10">
        <v>500</v>
      </c>
      <c r="L54" s="11">
        <f>VLOOKUP(D54,基础数据表!A:G,7,FALSE)</f>
        <v>0.21</v>
      </c>
      <c r="M54" s="17">
        <f t="shared" si="1"/>
        <v>105</v>
      </c>
    </row>
    <row r="55" spans="2:13" x14ac:dyDescent="0.15">
      <c r="B55" s="16">
        <v>6</v>
      </c>
      <c r="C55" s="12">
        <v>28</v>
      </c>
      <c r="D55" s="8" t="s">
        <v>4</v>
      </c>
      <c r="E55" s="11" t="str">
        <f>VLOOKUP(D55,基础数据表!A:G,2,FALSE)</f>
        <v>金元电器</v>
      </c>
      <c r="F55" s="11">
        <v>2012060001</v>
      </c>
      <c r="G55" s="11" t="str">
        <f>VLOOKUP(D55,基础数据表!A:G,3,FALSE)</f>
        <v>DZ0006</v>
      </c>
      <c r="H55" s="11" t="str">
        <f>VLOOKUP(D55,基础数据表!A:G,4,FALSE)</f>
        <v>电阻</v>
      </c>
      <c r="I55" s="11" t="str">
        <f>VLOOKUP(D55,基础数据表!A:G,5,FALSE)</f>
        <v>30Ω</v>
      </c>
      <c r="J55" s="11" t="str">
        <f>VLOOKUP(D55,基础数据表!A:G,6,FALSE)</f>
        <v>支</v>
      </c>
      <c r="K55" s="10">
        <v>1200</v>
      </c>
      <c r="L55" s="11">
        <f>VLOOKUP(D55,基础数据表!A:G,7,FALSE)</f>
        <v>0.36</v>
      </c>
      <c r="M55" s="17">
        <f t="shared" si="1"/>
        <v>432</v>
      </c>
    </row>
    <row r="56" spans="2:13" x14ac:dyDescent="0.15">
      <c r="B56" s="16">
        <v>6</v>
      </c>
      <c r="C56" s="12">
        <v>15</v>
      </c>
      <c r="D56" s="8" t="s">
        <v>103</v>
      </c>
      <c r="E56" s="11" t="str">
        <f>VLOOKUP(D56,基础数据表!A:G,2,FALSE)</f>
        <v>克罗保</v>
      </c>
      <c r="F56" s="11">
        <v>2012060001</v>
      </c>
      <c r="G56" s="11" t="str">
        <f>VLOOKUP(D56,基础数据表!A:G,3,FALSE)</f>
        <v>JCK003</v>
      </c>
      <c r="H56" s="11" t="str">
        <f>VLOOKUP(D56,基础数据表!A:G,4,FALSE)</f>
        <v>集成块</v>
      </c>
      <c r="I56" s="11" t="str">
        <f>VLOOKUP(D56,基础数据表!A:G,5,FALSE)</f>
        <v>AEu8141</v>
      </c>
      <c r="J56" s="11" t="str">
        <f>VLOOKUP(D56,基础数据表!A:G,6,FALSE)</f>
        <v>支</v>
      </c>
      <c r="K56" s="8">
        <v>500</v>
      </c>
      <c r="L56" s="11">
        <f>VLOOKUP(D56,基础数据表!A:G,7,FALSE)</f>
        <v>124.85</v>
      </c>
      <c r="M56" s="17">
        <f t="shared" si="1"/>
        <v>62425</v>
      </c>
    </row>
    <row r="57" spans="2:13" x14ac:dyDescent="0.15">
      <c r="B57" s="16">
        <v>6</v>
      </c>
      <c r="C57" s="12">
        <v>27</v>
      </c>
      <c r="D57" s="8" t="s">
        <v>103</v>
      </c>
      <c r="E57" s="11" t="str">
        <f>VLOOKUP(D57,基础数据表!A:G,2,FALSE)</f>
        <v>克罗保</v>
      </c>
      <c r="F57" s="11">
        <v>2012060001</v>
      </c>
      <c r="G57" s="11" t="str">
        <f>VLOOKUP(D57,基础数据表!A:G,3,FALSE)</f>
        <v>JCK003</v>
      </c>
      <c r="H57" s="11" t="str">
        <f>VLOOKUP(D57,基础数据表!A:G,4,FALSE)</f>
        <v>集成块</v>
      </c>
      <c r="I57" s="11" t="str">
        <f>VLOOKUP(D57,基础数据表!A:G,5,FALSE)</f>
        <v>AEu8141</v>
      </c>
      <c r="J57" s="11" t="str">
        <f>VLOOKUP(D57,基础数据表!A:G,6,FALSE)</f>
        <v>支</v>
      </c>
      <c r="K57" s="10">
        <v>500</v>
      </c>
      <c r="L57" s="11">
        <f>VLOOKUP(D57,基础数据表!A:G,7,FALSE)</f>
        <v>124.85</v>
      </c>
      <c r="M57" s="17">
        <f t="shared" si="1"/>
        <v>62425</v>
      </c>
    </row>
    <row r="58" spans="2:13" x14ac:dyDescent="0.15">
      <c r="B58" s="16">
        <v>6</v>
      </c>
      <c r="C58" s="12">
        <v>18</v>
      </c>
      <c r="D58" s="8" t="s">
        <v>10</v>
      </c>
      <c r="E58" s="11" t="str">
        <f>VLOOKUP(D58,基础数据表!A:G,2,FALSE)</f>
        <v>宏图三胞</v>
      </c>
      <c r="F58" s="11">
        <v>2012060001</v>
      </c>
      <c r="G58" s="11" t="str">
        <f>VLOOKUP(D58,基础数据表!A:G,3,FALSE)</f>
        <v>JCK001</v>
      </c>
      <c r="H58" s="11" t="str">
        <f>VLOOKUP(D58,基础数据表!A:G,4,FALSE)</f>
        <v>集成块</v>
      </c>
      <c r="I58" s="11" t="str">
        <f>VLOOKUP(D58,基础数据表!A:G,5,FALSE)</f>
        <v>AEu8139</v>
      </c>
      <c r="J58" s="11" t="str">
        <f>VLOOKUP(D58,基础数据表!A:G,6,FALSE)</f>
        <v>支</v>
      </c>
      <c r="K58" s="8">
        <v>900</v>
      </c>
      <c r="L58" s="11">
        <f>VLOOKUP(D58,基础数据表!A:G,7,FALSE)</f>
        <v>58.5</v>
      </c>
      <c r="M58" s="17">
        <f t="shared" si="1"/>
        <v>52650</v>
      </c>
    </row>
    <row r="59" spans="2:13" x14ac:dyDescent="0.15">
      <c r="B59" s="16">
        <v>6</v>
      </c>
      <c r="C59" s="12">
        <v>25</v>
      </c>
      <c r="D59" s="8" t="s">
        <v>185</v>
      </c>
      <c r="E59" s="11" t="str">
        <f>VLOOKUP(D59,基础数据表!A:G,2,FALSE)</f>
        <v>罗利亚</v>
      </c>
      <c r="F59" s="11">
        <v>2012060001</v>
      </c>
      <c r="G59" s="11" t="str">
        <f>VLOOKUP(D59,基础数据表!A:G,3,FALSE)</f>
        <v>JCK002</v>
      </c>
      <c r="H59" s="11" t="str">
        <f>VLOOKUP(D59,基础数据表!A:G,4,FALSE)</f>
        <v>集成块</v>
      </c>
      <c r="I59" s="11" t="str">
        <f>VLOOKUP(D59,基础数据表!A:G,5,FALSE)</f>
        <v>AEu8120</v>
      </c>
      <c r="J59" s="11" t="str">
        <f>VLOOKUP(D59,基础数据表!A:G,6,FALSE)</f>
        <v>支</v>
      </c>
      <c r="K59" s="10">
        <v>300</v>
      </c>
      <c r="L59" s="11">
        <f>VLOOKUP(D59,基础数据表!A:G,7,FALSE)</f>
        <v>75.599999999999994</v>
      </c>
      <c r="M59" s="17">
        <f t="shared" si="1"/>
        <v>22680</v>
      </c>
    </row>
    <row r="60" spans="2:13" x14ac:dyDescent="0.15">
      <c r="B60" s="16">
        <v>6</v>
      </c>
      <c r="C60" s="11">
        <v>6</v>
      </c>
      <c r="D60" s="8" t="s">
        <v>14</v>
      </c>
      <c r="E60" s="11" t="str">
        <f>VLOOKUP(D60,基础数据表!A:G,2,FALSE)</f>
        <v>时代电子</v>
      </c>
      <c r="F60" s="11">
        <v>2012060001</v>
      </c>
      <c r="G60" s="11" t="str">
        <f>VLOOKUP(D60,基础数据表!A:G,3,FALSE)</f>
        <v>JCK006</v>
      </c>
      <c r="H60" s="11" t="str">
        <f>VLOOKUP(D60,基础数据表!A:G,4,FALSE)</f>
        <v>集成块</v>
      </c>
      <c r="I60" s="11" t="str">
        <f>VLOOKUP(D60,基础数据表!A:G,5,FALSE)</f>
        <v>AEu9144</v>
      </c>
      <c r="J60" s="11" t="str">
        <f>VLOOKUP(D60,基础数据表!A:G,6,FALSE)</f>
        <v>支</v>
      </c>
      <c r="K60" s="10">
        <v>520</v>
      </c>
      <c r="L60" s="11">
        <f>VLOOKUP(D60,基础数据表!A:G,7,FALSE)</f>
        <v>185</v>
      </c>
      <c r="M60" s="17">
        <f t="shared" si="1"/>
        <v>96200</v>
      </c>
    </row>
    <row r="61" spans="2:13" x14ac:dyDescent="0.15">
      <c r="B61" s="16">
        <v>6</v>
      </c>
      <c r="C61" s="12">
        <v>18</v>
      </c>
      <c r="D61" s="8" t="s">
        <v>14</v>
      </c>
      <c r="E61" s="11" t="str">
        <f>VLOOKUP(D61,基础数据表!A:G,2,FALSE)</f>
        <v>时代电子</v>
      </c>
      <c r="F61" s="11">
        <v>2012060001</v>
      </c>
      <c r="G61" s="11" t="str">
        <f>VLOOKUP(D61,基础数据表!A:G,3,FALSE)</f>
        <v>JCK006</v>
      </c>
      <c r="H61" s="11" t="str">
        <f>VLOOKUP(D61,基础数据表!A:G,4,FALSE)</f>
        <v>集成块</v>
      </c>
      <c r="I61" s="11" t="str">
        <f>VLOOKUP(D61,基础数据表!A:G,5,FALSE)</f>
        <v>AEu9144</v>
      </c>
      <c r="J61" s="11" t="str">
        <f>VLOOKUP(D61,基础数据表!A:G,6,FALSE)</f>
        <v>支</v>
      </c>
      <c r="K61" s="10">
        <v>1000</v>
      </c>
      <c r="L61" s="11">
        <f>VLOOKUP(D61,基础数据表!A:G,7,FALSE)</f>
        <v>185</v>
      </c>
      <c r="M61" s="17">
        <f t="shared" si="1"/>
        <v>185000</v>
      </c>
    </row>
    <row r="62" spans="2:13" x14ac:dyDescent="0.15">
      <c r="B62" s="16">
        <v>6</v>
      </c>
      <c r="C62" s="12">
        <v>25</v>
      </c>
      <c r="D62" s="8" t="s">
        <v>14</v>
      </c>
      <c r="E62" s="11" t="str">
        <f>VLOOKUP(D62,基础数据表!A:G,2,FALSE)</f>
        <v>时代电子</v>
      </c>
      <c r="F62" s="11">
        <v>2012060001</v>
      </c>
      <c r="G62" s="11" t="str">
        <f>VLOOKUP(D62,基础数据表!A:G,3,FALSE)</f>
        <v>JCK006</v>
      </c>
      <c r="H62" s="11" t="str">
        <f>VLOOKUP(D62,基础数据表!A:G,4,FALSE)</f>
        <v>集成块</v>
      </c>
      <c r="I62" s="11" t="str">
        <f>VLOOKUP(D62,基础数据表!A:G,5,FALSE)</f>
        <v>AEu9144</v>
      </c>
      <c r="J62" s="11" t="str">
        <f>VLOOKUP(D62,基础数据表!A:G,6,FALSE)</f>
        <v>支</v>
      </c>
      <c r="K62" s="10">
        <v>500</v>
      </c>
      <c r="L62" s="11">
        <f>VLOOKUP(D62,基础数据表!A:G,7,FALSE)</f>
        <v>185</v>
      </c>
      <c r="M62" s="17">
        <f t="shared" si="1"/>
        <v>92500</v>
      </c>
    </row>
    <row r="63" spans="2:13" x14ac:dyDescent="0.15">
      <c r="B63" s="16">
        <v>6</v>
      </c>
      <c r="C63" s="12">
        <v>25</v>
      </c>
      <c r="D63" s="8" t="s">
        <v>14</v>
      </c>
      <c r="E63" s="11" t="str">
        <f>VLOOKUP(D63,基础数据表!A:G,2,FALSE)</f>
        <v>时代电子</v>
      </c>
      <c r="F63" s="11">
        <v>2012060001</v>
      </c>
      <c r="G63" s="11" t="str">
        <f>VLOOKUP(D63,基础数据表!A:G,3,FALSE)</f>
        <v>JCK006</v>
      </c>
      <c r="H63" s="11" t="str">
        <f>VLOOKUP(D63,基础数据表!A:G,4,FALSE)</f>
        <v>集成块</v>
      </c>
      <c r="I63" s="11" t="str">
        <f>VLOOKUP(D63,基础数据表!A:G,5,FALSE)</f>
        <v>AEu9144</v>
      </c>
      <c r="J63" s="11" t="str">
        <f>VLOOKUP(D63,基础数据表!A:G,6,FALSE)</f>
        <v>支</v>
      </c>
      <c r="K63" s="10">
        <v>900</v>
      </c>
      <c r="L63" s="11">
        <f>VLOOKUP(D63,基础数据表!A:G,7,FALSE)</f>
        <v>185</v>
      </c>
      <c r="M63" s="17">
        <f t="shared" si="1"/>
        <v>166500</v>
      </c>
    </row>
    <row r="64" spans="2:13" x14ac:dyDescent="0.15">
      <c r="B64" s="16">
        <v>6</v>
      </c>
      <c r="C64" s="12">
        <v>30</v>
      </c>
      <c r="D64" s="8" t="s">
        <v>14</v>
      </c>
      <c r="E64" s="11" t="str">
        <f>VLOOKUP(D64,基础数据表!A:G,2,FALSE)</f>
        <v>时代电子</v>
      </c>
      <c r="F64" s="11">
        <v>2012060001</v>
      </c>
      <c r="G64" s="11" t="str">
        <f>VLOOKUP(D64,基础数据表!A:G,3,FALSE)</f>
        <v>JCK006</v>
      </c>
      <c r="H64" s="11" t="str">
        <f>VLOOKUP(D64,基础数据表!A:G,4,FALSE)</f>
        <v>集成块</v>
      </c>
      <c r="I64" s="11" t="str">
        <f>VLOOKUP(D64,基础数据表!A:G,5,FALSE)</f>
        <v>AEu9144</v>
      </c>
      <c r="J64" s="11" t="str">
        <f>VLOOKUP(D64,基础数据表!A:G,6,FALSE)</f>
        <v>支</v>
      </c>
      <c r="K64" s="10">
        <v>1500</v>
      </c>
      <c r="L64" s="11">
        <f>VLOOKUP(D64,基础数据表!A:G,7,FALSE)</f>
        <v>185</v>
      </c>
      <c r="M64" s="17">
        <f t="shared" si="1"/>
        <v>277500</v>
      </c>
    </row>
    <row r="65" spans="2:13" x14ac:dyDescent="0.15">
      <c r="B65" s="16">
        <v>6</v>
      </c>
      <c r="C65" s="11">
        <v>6</v>
      </c>
      <c r="D65" s="8" t="s">
        <v>15</v>
      </c>
      <c r="E65" s="11" t="str">
        <f>VLOOKUP(D65,基础数据表!A:G,2,FALSE)</f>
        <v>思创科技</v>
      </c>
      <c r="F65" s="11">
        <v>2012060001</v>
      </c>
      <c r="G65" s="11" t="str">
        <f>VLOOKUP(D65,基础数据表!A:G,3,FALSE)</f>
        <v>JCK007</v>
      </c>
      <c r="H65" s="11" t="str">
        <f>VLOOKUP(D65,基础数据表!A:G,4,FALSE)</f>
        <v>集成块</v>
      </c>
      <c r="I65" s="11" t="str">
        <f>VLOOKUP(D65,基础数据表!A:G,5,FALSE)</f>
        <v>AEu8145</v>
      </c>
      <c r="J65" s="11" t="str">
        <f>VLOOKUP(D65,基础数据表!A:G,6,FALSE)</f>
        <v>支</v>
      </c>
      <c r="K65" s="10">
        <v>520</v>
      </c>
      <c r="L65" s="11">
        <f>VLOOKUP(D65,基础数据表!A:G,7,FALSE)</f>
        <v>412.5</v>
      </c>
      <c r="M65" s="17">
        <f t="shared" si="1"/>
        <v>214500</v>
      </c>
    </row>
    <row r="66" spans="2:13" x14ac:dyDescent="0.15">
      <c r="B66" s="16">
        <v>6</v>
      </c>
      <c r="C66" s="12">
        <v>18</v>
      </c>
      <c r="D66" s="8" t="s">
        <v>15</v>
      </c>
      <c r="E66" s="11" t="str">
        <f>VLOOKUP(D66,基础数据表!A:G,2,FALSE)</f>
        <v>思创科技</v>
      </c>
      <c r="F66" s="11">
        <v>2012060001</v>
      </c>
      <c r="G66" s="11" t="str">
        <f>VLOOKUP(D66,基础数据表!A:G,3,FALSE)</f>
        <v>JCK007</v>
      </c>
      <c r="H66" s="11" t="str">
        <f>VLOOKUP(D66,基础数据表!A:G,4,FALSE)</f>
        <v>集成块</v>
      </c>
      <c r="I66" s="11" t="str">
        <f>VLOOKUP(D66,基础数据表!A:G,5,FALSE)</f>
        <v>AEu8145</v>
      </c>
      <c r="J66" s="11" t="str">
        <f>VLOOKUP(D66,基础数据表!A:G,6,FALSE)</f>
        <v>支</v>
      </c>
      <c r="K66" s="10">
        <v>1000</v>
      </c>
      <c r="L66" s="11">
        <f>VLOOKUP(D66,基础数据表!A:G,7,FALSE)</f>
        <v>412.5</v>
      </c>
      <c r="M66" s="17">
        <f t="shared" si="1"/>
        <v>412500</v>
      </c>
    </row>
    <row r="67" spans="2:13" x14ac:dyDescent="0.15">
      <c r="B67" s="16">
        <v>6</v>
      </c>
      <c r="C67" s="12">
        <v>18</v>
      </c>
      <c r="D67" s="8" t="s">
        <v>15</v>
      </c>
      <c r="E67" s="11" t="str">
        <f>VLOOKUP(D67,基础数据表!A:G,2,FALSE)</f>
        <v>思创科技</v>
      </c>
      <c r="F67" s="11">
        <v>2012060001</v>
      </c>
      <c r="G67" s="11" t="str">
        <f>VLOOKUP(D67,基础数据表!A:G,3,FALSE)</f>
        <v>JCK007</v>
      </c>
      <c r="H67" s="11" t="str">
        <f>VLOOKUP(D67,基础数据表!A:G,4,FALSE)</f>
        <v>集成块</v>
      </c>
      <c r="I67" s="11" t="str">
        <f>VLOOKUP(D67,基础数据表!A:G,5,FALSE)</f>
        <v>AEu8145</v>
      </c>
      <c r="J67" s="11" t="str">
        <f>VLOOKUP(D67,基础数据表!A:G,6,FALSE)</f>
        <v>支</v>
      </c>
      <c r="K67" s="10">
        <v>500</v>
      </c>
      <c r="L67" s="11">
        <f>VLOOKUP(D67,基础数据表!A:G,7,FALSE)</f>
        <v>412.5</v>
      </c>
      <c r="M67" s="17">
        <f t="shared" si="1"/>
        <v>206250</v>
      </c>
    </row>
    <row r="68" spans="2:13" x14ac:dyDescent="0.15">
      <c r="B68" s="16">
        <v>6</v>
      </c>
      <c r="C68" s="12">
        <v>25</v>
      </c>
      <c r="D68" s="8" t="s">
        <v>15</v>
      </c>
      <c r="E68" s="11" t="str">
        <f>VLOOKUP(D68,基础数据表!A:G,2,FALSE)</f>
        <v>思创科技</v>
      </c>
      <c r="F68" s="11">
        <v>2012060001</v>
      </c>
      <c r="G68" s="11" t="str">
        <f>VLOOKUP(D68,基础数据表!A:G,3,FALSE)</f>
        <v>JCK007</v>
      </c>
      <c r="H68" s="11" t="str">
        <f>VLOOKUP(D68,基础数据表!A:G,4,FALSE)</f>
        <v>集成块</v>
      </c>
      <c r="I68" s="11" t="str">
        <f>VLOOKUP(D68,基础数据表!A:G,5,FALSE)</f>
        <v>AEu8145</v>
      </c>
      <c r="J68" s="11" t="str">
        <f>VLOOKUP(D68,基础数据表!A:G,6,FALSE)</f>
        <v>支</v>
      </c>
      <c r="K68" s="10">
        <v>800</v>
      </c>
      <c r="L68" s="11">
        <f>VLOOKUP(D68,基础数据表!A:G,7,FALSE)</f>
        <v>412.5</v>
      </c>
      <c r="M68" s="17">
        <f t="shared" ref="M68:M83" si="2">K68*L68</f>
        <v>330000</v>
      </c>
    </row>
    <row r="69" spans="2:13" x14ac:dyDescent="0.15">
      <c r="B69" s="16">
        <v>6</v>
      </c>
      <c r="C69" s="11">
        <v>1</v>
      </c>
      <c r="D69" s="10" t="s">
        <v>104</v>
      </c>
      <c r="E69" s="11" t="str">
        <f>VLOOKUP(D69,基础数据表!A:G,2,FALSE)</f>
        <v>元丰今日</v>
      </c>
      <c r="F69" s="11">
        <v>2012060001</v>
      </c>
      <c r="G69" s="11" t="str">
        <f>VLOOKUP(D69,基础数据表!A:G,3,FALSE)</f>
        <v>DZ0004</v>
      </c>
      <c r="H69" s="11" t="str">
        <f>VLOOKUP(D69,基础数据表!A:G,4,FALSE)</f>
        <v>电阻</v>
      </c>
      <c r="I69" s="11" t="str">
        <f>VLOOKUP(D69,基础数据表!A:G,5,FALSE)</f>
        <v>320Ω</v>
      </c>
      <c r="J69" s="11" t="str">
        <f>VLOOKUP(D69,基础数据表!A:G,6,FALSE)</f>
        <v>支</v>
      </c>
      <c r="K69" s="10">
        <v>630</v>
      </c>
      <c r="L69" s="11">
        <f>VLOOKUP(D69,基础数据表!A:G,7,FALSE)</f>
        <v>0.89</v>
      </c>
      <c r="M69" s="17">
        <f t="shared" si="2"/>
        <v>560.70000000000005</v>
      </c>
    </row>
    <row r="70" spans="2:13" x14ac:dyDescent="0.15">
      <c r="B70" s="16">
        <v>6</v>
      </c>
      <c r="C70" s="11">
        <v>5</v>
      </c>
      <c r="D70" s="10" t="s">
        <v>104</v>
      </c>
      <c r="E70" s="11" t="str">
        <f>VLOOKUP(D70,基础数据表!A:G,2,FALSE)</f>
        <v>元丰今日</v>
      </c>
      <c r="F70" s="11">
        <v>2012060001</v>
      </c>
      <c r="G70" s="11" t="str">
        <f>VLOOKUP(D70,基础数据表!A:G,3,FALSE)</f>
        <v>DZ0004</v>
      </c>
      <c r="H70" s="11" t="str">
        <f>VLOOKUP(D70,基础数据表!A:G,4,FALSE)</f>
        <v>电阻</v>
      </c>
      <c r="I70" s="11" t="str">
        <f>VLOOKUP(D70,基础数据表!A:G,5,FALSE)</f>
        <v>320Ω</v>
      </c>
      <c r="J70" s="11" t="str">
        <f>VLOOKUP(D70,基础数据表!A:G,6,FALSE)</f>
        <v>支</v>
      </c>
      <c r="K70" s="10">
        <v>650</v>
      </c>
      <c r="L70" s="11">
        <f>VLOOKUP(D70,基础数据表!A:G,7,FALSE)</f>
        <v>0.89</v>
      </c>
      <c r="M70" s="17">
        <f t="shared" si="2"/>
        <v>578.5</v>
      </c>
    </row>
    <row r="71" spans="2:13" x14ac:dyDescent="0.15">
      <c r="B71" s="16">
        <v>6</v>
      </c>
      <c r="C71" s="12">
        <v>10</v>
      </c>
      <c r="D71" s="10" t="s">
        <v>104</v>
      </c>
      <c r="E71" s="11" t="str">
        <f>VLOOKUP(D71,基础数据表!A:G,2,FALSE)</f>
        <v>元丰今日</v>
      </c>
      <c r="F71" s="11">
        <v>2012060001</v>
      </c>
      <c r="G71" s="11" t="str">
        <f>VLOOKUP(D71,基础数据表!A:G,3,FALSE)</f>
        <v>DZ0004</v>
      </c>
      <c r="H71" s="11" t="str">
        <f>VLOOKUP(D71,基础数据表!A:G,4,FALSE)</f>
        <v>电阻</v>
      </c>
      <c r="I71" s="11" t="str">
        <f>VLOOKUP(D71,基础数据表!A:G,5,FALSE)</f>
        <v>320Ω</v>
      </c>
      <c r="J71" s="11" t="str">
        <f>VLOOKUP(D71,基础数据表!A:G,6,FALSE)</f>
        <v>支</v>
      </c>
      <c r="K71" s="8">
        <v>7800</v>
      </c>
      <c r="L71" s="11">
        <f>VLOOKUP(D71,基础数据表!A:G,7,FALSE)</f>
        <v>0.89</v>
      </c>
      <c r="M71" s="17">
        <f t="shared" si="2"/>
        <v>6942</v>
      </c>
    </row>
    <row r="72" spans="2:13" x14ac:dyDescent="0.15">
      <c r="B72" s="16">
        <v>6</v>
      </c>
      <c r="C72" s="12">
        <v>12</v>
      </c>
      <c r="D72" s="8" t="s">
        <v>95</v>
      </c>
      <c r="E72" s="11" t="str">
        <f>VLOOKUP(D72,基础数据表!A:G,2,FALSE)</f>
        <v>新为电子</v>
      </c>
      <c r="F72" s="11">
        <v>2012060001</v>
      </c>
      <c r="G72" s="11" t="str">
        <f>VLOOKUP(D72,基础数据表!A:G,3,FALSE)</f>
        <v>DZ0001</v>
      </c>
      <c r="H72" s="11" t="str">
        <f>VLOOKUP(D72,基础数据表!A:G,4,FALSE)</f>
        <v>电阻</v>
      </c>
      <c r="I72" s="11" t="str">
        <f>VLOOKUP(D72,基础数据表!A:G,5,FALSE)</f>
        <v>25Ω</v>
      </c>
      <c r="J72" s="11" t="str">
        <f>VLOOKUP(D72,基础数据表!A:G,6,FALSE)</f>
        <v>支</v>
      </c>
      <c r="K72" s="8">
        <v>1000</v>
      </c>
      <c r="L72" s="11">
        <f>VLOOKUP(D72,基础数据表!A:G,7,FALSE)</f>
        <v>0.25</v>
      </c>
      <c r="M72" s="17">
        <f t="shared" si="2"/>
        <v>250</v>
      </c>
    </row>
    <row r="73" spans="2:13" x14ac:dyDescent="0.15">
      <c r="B73" s="16">
        <v>6</v>
      </c>
      <c r="C73" s="12">
        <v>18</v>
      </c>
      <c r="D73" s="8" t="s">
        <v>95</v>
      </c>
      <c r="E73" s="11" t="str">
        <f>VLOOKUP(D73,基础数据表!A:G,2,FALSE)</f>
        <v>新为电子</v>
      </c>
      <c r="F73" s="11">
        <v>2012060001</v>
      </c>
      <c r="G73" s="11" t="str">
        <f>VLOOKUP(D73,基础数据表!A:G,3,FALSE)</f>
        <v>DZ0001</v>
      </c>
      <c r="H73" s="11" t="str">
        <f>VLOOKUP(D73,基础数据表!A:G,4,FALSE)</f>
        <v>电阻</v>
      </c>
      <c r="I73" s="11" t="str">
        <f>VLOOKUP(D73,基础数据表!A:G,5,FALSE)</f>
        <v>25Ω</v>
      </c>
      <c r="J73" s="11" t="str">
        <f>VLOOKUP(D73,基础数据表!A:G,6,FALSE)</f>
        <v>支</v>
      </c>
      <c r="K73" s="10">
        <v>1200</v>
      </c>
      <c r="L73" s="11">
        <f>VLOOKUP(D73,基础数据表!A:G,7,FALSE)</f>
        <v>0.25</v>
      </c>
      <c r="M73" s="17">
        <f t="shared" si="2"/>
        <v>300</v>
      </c>
    </row>
    <row r="74" spans="2:13" x14ac:dyDescent="0.15">
      <c r="B74" s="16">
        <v>6</v>
      </c>
      <c r="C74" s="12">
        <v>18</v>
      </c>
      <c r="D74" s="8" t="s">
        <v>1</v>
      </c>
      <c r="E74" s="11" t="str">
        <f>VLOOKUP(D74,基础数据表!A:G,2,FALSE)</f>
        <v>新为电子</v>
      </c>
      <c r="F74" s="11">
        <v>2012060001</v>
      </c>
      <c r="G74" s="11" t="str">
        <f>VLOOKUP(D74,基础数据表!A:G,3,FALSE)</f>
        <v>DZ0002</v>
      </c>
      <c r="H74" s="11" t="str">
        <f>VLOOKUP(D74,基础数据表!A:G,4,FALSE)</f>
        <v>电阻</v>
      </c>
      <c r="I74" s="11" t="str">
        <f>VLOOKUP(D74,基础数据表!A:G,5,FALSE)</f>
        <v>32Ω</v>
      </c>
      <c r="J74" s="11" t="str">
        <f>VLOOKUP(D74,基础数据表!A:G,6,FALSE)</f>
        <v>支</v>
      </c>
      <c r="K74" s="10">
        <v>450</v>
      </c>
      <c r="L74" s="11">
        <f>VLOOKUP(D74,基础数据表!A:G,7,FALSE)</f>
        <v>0.33</v>
      </c>
      <c r="M74" s="17">
        <f t="shared" si="2"/>
        <v>148.5</v>
      </c>
    </row>
    <row r="75" spans="2:13" x14ac:dyDescent="0.15">
      <c r="B75" s="16">
        <v>6</v>
      </c>
      <c r="C75" s="11">
        <v>8</v>
      </c>
      <c r="D75" s="8" t="s">
        <v>2</v>
      </c>
      <c r="E75" s="11" t="str">
        <f>VLOOKUP(D75,基础数据表!A:G,2,FALSE)</f>
        <v>三河集团</v>
      </c>
      <c r="F75" s="11">
        <v>2012060001</v>
      </c>
      <c r="G75" s="11" t="str">
        <f>VLOOKUP(D75,基础数据表!A:G,3,FALSE)</f>
        <v>DZ0003</v>
      </c>
      <c r="H75" s="11" t="str">
        <f>VLOOKUP(D75,基础数据表!A:G,4,FALSE)</f>
        <v>电阻</v>
      </c>
      <c r="I75" s="11" t="str">
        <f>VLOOKUP(D75,基础数据表!A:G,5,FALSE)</f>
        <v>100Ω</v>
      </c>
      <c r="J75" s="11" t="str">
        <f>VLOOKUP(D75,基础数据表!A:G,6,FALSE)</f>
        <v>支</v>
      </c>
      <c r="K75" s="8">
        <v>3500</v>
      </c>
      <c r="L75" s="11">
        <f>VLOOKUP(D75,基础数据表!A:G,7,FALSE)</f>
        <v>0.57999999999999996</v>
      </c>
      <c r="M75" s="17">
        <f t="shared" si="2"/>
        <v>2029.9999999999998</v>
      </c>
    </row>
    <row r="76" spans="2:13" x14ac:dyDescent="0.15">
      <c r="B76" s="16">
        <v>6</v>
      </c>
      <c r="C76" s="12">
        <v>13</v>
      </c>
      <c r="D76" s="8" t="s">
        <v>2</v>
      </c>
      <c r="E76" s="11" t="str">
        <f>VLOOKUP(D76,基础数据表!A:G,2,FALSE)</f>
        <v>三河集团</v>
      </c>
      <c r="F76" s="11">
        <v>2012060001</v>
      </c>
      <c r="G76" s="11" t="str">
        <f>VLOOKUP(D76,基础数据表!A:G,3,FALSE)</f>
        <v>DZ0003</v>
      </c>
      <c r="H76" s="11" t="str">
        <f>VLOOKUP(D76,基础数据表!A:G,4,FALSE)</f>
        <v>电阻</v>
      </c>
      <c r="I76" s="11" t="str">
        <f>VLOOKUP(D76,基础数据表!A:G,5,FALSE)</f>
        <v>100Ω</v>
      </c>
      <c r="J76" s="11" t="str">
        <f>VLOOKUP(D76,基础数据表!A:G,6,FALSE)</f>
        <v>支</v>
      </c>
      <c r="K76" s="8">
        <v>1200</v>
      </c>
      <c r="L76" s="11">
        <f>VLOOKUP(D76,基础数据表!A:G,7,FALSE)</f>
        <v>0.57999999999999996</v>
      </c>
      <c r="M76" s="17">
        <f t="shared" si="2"/>
        <v>696</v>
      </c>
    </row>
    <row r="77" spans="2:13" x14ac:dyDescent="0.15">
      <c r="B77" s="16">
        <v>6</v>
      </c>
      <c r="C77" s="12">
        <v>18</v>
      </c>
      <c r="D77" s="8" t="s">
        <v>2</v>
      </c>
      <c r="E77" s="11" t="str">
        <f>VLOOKUP(D77,基础数据表!A:G,2,FALSE)</f>
        <v>三河集团</v>
      </c>
      <c r="F77" s="11">
        <v>2012060001</v>
      </c>
      <c r="G77" s="11" t="str">
        <f>VLOOKUP(D77,基础数据表!A:G,3,FALSE)</f>
        <v>DZ0003</v>
      </c>
      <c r="H77" s="11" t="str">
        <f>VLOOKUP(D77,基础数据表!A:G,4,FALSE)</f>
        <v>电阻</v>
      </c>
      <c r="I77" s="11" t="str">
        <f>VLOOKUP(D77,基础数据表!A:G,5,FALSE)</f>
        <v>100Ω</v>
      </c>
      <c r="J77" s="11" t="str">
        <f>VLOOKUP(D77,基础数据表!A:G,6,FALSE)</f>
        <v>支</v>
      </c>
      <c r="K77" s="10">
        <v>620</v>
      </c>
      <c r="L77" s="11">
        <f>VLOOKUP(D77,基础数据表!A:G,7,FALSE)</f>
        <v>0.57999999999999996</v>
      </c>
      <c r="M77" s="17">
        <f t="shared" si="2"/>
        <v>359.59999999999997</v>
      </c>
    </row>
    <row r="78" spans="2:13" x14ac:dyDescent="0.15">
      <c r="B78" s="16">
        <v>6</v>
      </c>
      <c r="C78" s="12">
        <v>25</v>
      </c>
      <c r="D78" s="8" t="s">
        <v>2</v>
      </c>
      <c r="E78" s="11" t="str">
        <f>VLOOKUP(D78,基础数据表!A:G,2,FALSE)</f>
        <v>三河集团</v>
      </c>
      <c r="F78" s="11">
        <v>2012060001</v>
      </c>
      <c r="G78" s="11" t="str">
        <f>VLOOKUP(D78,基础数据表!A:G,3,FALSE)</f>
        <v>DZ0003</v>
      </c>
      <c r="H78" s="11" t="str">
        <f>VLOOKUP(D78,基础数据表!A:G,4,FALSE)</f>
        <v>电阻</v>
      </c>
      <c r="I78" s="11" t="str">
        <f>VLOOKUP(D78,基础数据表!A:G,5,FALSE)</f>
        <v>100Ω</v>
      </c>
      <c r="J78" s="11" t="str">
        <f>VLOOKUP(D78,基础数据表!A:G,6,FALSE)</f>
        <v>支</v>
      </c>
      <c r="K78" s="10">
        <v>6020</v>
      </c>
      <c r="L78" s="11">
        <f>VLOOKUP(D78,基础数据表!A:G,7,FALSE)</f>
        <v>0.57999999999999996</v>
      </c>
      <c r="M78" s="17">
        <f t="shared" si="2"/>
        <v>3491.6</v>
      </c>
    </row>
    <row r="79" spans="2:13" x14ac:dyDescent="0.15">
      <c r="B79" s="16">
        <v>6</v>
      </c>
      <c r="C79" s="11">
        <v>7</v>
      </c>
      <c r="D79" s="8" t="s">
        <v>1</v>
      </c>
      <c r="E79" s="11" t="str">
        <f>VLOOKUP(D79,基础数据表!A:G,2,FALSE)</f>
        <v>新为电子</v>
      </c>
      <c r="F79" s="11">
        <v>2012060001</v>
      </c>
      <c r="G79" s="11" t="str">
        <f>VLOOKUP(D79,基础数据表!A:G,3,FALSE)</f>
        <v>DZ0002</v>
      </c>
      <c r="H79" s="11" t="str">
        <f>VLOOKUP(D79,基础数据表!A:G,4,FALSE)</f>
        <v>电阻</v>
      </c>
      <c r="I79" s="11" t="str">
        <f>VLOOKUP(D79,基础数据表!A:G,5,FALSE)</f>
        <v>32Ω</v>
      </c>
      <c r="J79" s="11" t="str">
        <f>VLOOKUP(D79,基础数据表!A:G,6,FALSE)</f>
        <v>支</v>
      </c>
      <c r="K79" s="10">
        <v>500</v>
      </c>
      <c r="L79" s="11">
        <f>VLOOKUP(D79,基础数据表!A:G,7,FALSE)</f>
        <v>0.33</v>
      </c>
      <c r="M79" s="17">
        <f t="shared" si="2"/>
        <v>165</v>
      </c>
    </row>
    <row r="80" spans="2:13" x14ac:dyDescent="0.15">
      <c r="B80" s="16">
        <v>6</v>
      </c>
      <c r="C80" s="12">
        <v>18</v>
      </c>
      <c r="D80" s="8" t="s">
        <v>102</v>
      </c>
      <c r="E80" s="11" t="str">
        <f>VLOOKUP(D80,基础数据表!A:G,2,FALSE)</f>
        <v>志邦</v>
      </c>
      <c r="F80" s="11">
        <v>2012060001</v>
      </c>
      <c r="G80" s="11" t="str">
        <f>VLOOKUP(D80,基础数据表!A:G,3,FALSE)</f>
        <v>JCK004</v>
      </c>
      <c r="H80" s="11" t="str">
        <f>VLOOKUP(D80,基础数据表!A:G,4,FALSE)</f>
        <v>集成块</v>
      </c>
      <c r="I80" s="11" t="str">
        <f>VLOOKUP(D80,基础数据表!A:G,5,FALSE)</f>
        <v>AEu8152</v>
      </c>
      <c r="J80" s="11" t="str">
        <f>VLOOKUP(D80,基础数据表!A:G,6,FALSE)</f>
        <v>支</v>
      </c>
      <c r="K80" s="8">
        <v>1000</v>
      </c>
      <c r="L80" s="11">
        <f>VLOOKUP(D80,基础数据表!A:G,7,FALSE)</f>
        <v>320</v>
      </c>
      <c r="M80" s="17">
        <f t="shared" si="2"/>
        <v>320000</v>
      </c>
    </row>
    <row r="81" spans="2:13" x14ac:dyDescent="0.15">
      <c r="B81" s="16">
        <v>6</v>
      </c>
      <c r="C81" s="12">
        <v>25</v>
      </c>
      <c r="D81" s="8" t="s">
        <v>102</v>
      </c>
      <c r="E81" s="11" t="str">
        <f>VLOOKUP(D81,基础数据表!A:G,2,FALSE)</f>
        <v>志邦</v>
      </c>
      <c r="F81" s="11">
        <v>2012060001</v>
      </c>
      <c r="G81" s="11" t="str">
        <f>VLOOKUP(D81,基础数据表!A:G,3,FALSE)</f>
        <v>JCK004</v>
      </c>
      <c r="H81" s="11" t="str">
        <f>VLOOKUP(D81,基础数据表!A:G,4,FALSE)</f>
        <v>集成块</v>
      </c>
      <c r="I81" s="11" t="str">
        <f>VLOOKUP(D81,基础数据表!A:G,5,FALSE)</f>
        <v>AEu8152</v>
      </c>
      <c r="J81" s="11" t="str">
        <f>VLOOKUP(D81,基础数据表!A:G,6,FALSE)</f>
        <v>支</v>
      </c>
      <c r="K81" s="10">
        <v>200</v>
      </c>
      <c r="L81" s="11">
        <f>VLOOKUP(D81,基础数据表!A:G,7,FALSE)</f>
        <v>320</v>
      </c>
      <c r="M81" s="17">
        <f t="shared" si="2"/>
        <v>64000</v>
      </c>
    </row>
    <row r="82" spans="2:13" x14ac:dyDescent="0.15">
      <c r="B82" s="16">
        <v>6</v>
      </c>
      <c r="C82" s="12">
        <v>25</v>
      </c>
      <c r="D82" s="8" t="s">
        <v>102</v>
      </c>
      <c r="E82" s="11" t="str">
        <f>VLOOKUP(D82,基础数据表!A:G,2,FALSE)</f>
        <v>志邦</v>
      </c>
      <c r="F82" s="11">
        <v>2012060001</v>
      </c>
      <c r="G82" s="11" t="str">
        <f>VLOOKUP(D82,基础数据表!A:G,3,FALSE)</f>
        <v>JCK004</v>
      </c>
      <c r="H82" s="11" t="str">
        <f>VLOOKUP(D82,基础数据表!A:G,4,FALSE)</f>
        <v>集成块</v>
      </c>
      <c r="I82" s="11" t="str">
        <f>VLOOKUP(D82,基础数据表!A:G,5,FALSE)</f>
        <v>AEu8152</v>
      </c>
      <c r="J82" s="11" t="str">
        <f>VLOOKUP(D82,基础数据表!A:G,6,FALSE)</f>
        <v>支</v>
      </c>
      <c r="K82" s="10">
        <v>5600</v>
      </c>
      <c r="L82" s="11">
        <f>VLOOKUP(D82,基础数据表!A:G,7,FALSE)</f>
        <v>320</v>
      </c>
      <c r="M82" s="17">
        <f t="shared" si="2"/>
        <v>1792000</v>
      </c>
    </row>
    <row r="83" spans="2:13" x14ac:dyDescent="0.15">
      <c r="B83" s="16">
        <v>6</v>
      </c>
      <c r="C83" s="12">
        <v>27</v>
      </c>
      <c r="D83" s="8" t="s">
        <v>102</v>
      </c>
      <c r="E83" s="11" t="str">
        <f>VLOOKUP(D83,基础数据表!A:G,2,FALSE)</f>
        <v>志邦</v>
      </c>
      <c r="F83" s="11">
        <v>2012060001</v>
      </c>
      <c r="G83" s="11" t="str">
        <f>VLOOKUP(D83,基础数据表!A:G,3,FALSE)</f>
        <v>JCK004</v>
      </c>
      <c r="H83" s="11" t="str">
        <f>VLOOKUP(D83,基础数据表!A:G,4,FALSE)</f>
        <v>集成块</v>
      </c>
      <c r="I83" s="11" t="str">
        <f>VLOOKUP(D83,基础数据表!A:G,5,FALSE)</f>
        <v>AEu8152</v>
      </c>
      <c r="J83" s="11" t="str">
        <f>VLOOKUP(D83,基础数据表!A:G,6,FALSE)</f>
        <v>支</v>
      </c>
      <c r="K83" s="10">
        <v>100</v>
      </c>
      <c r="L83" s="11">
        <f>VLOOKUP(D83,基础数据表!A:G,7,FALSE)</f>
        <v>320</v>
      </c>
      <c r="M83" s="17">
        <f t="shared" si="2"/>
        <v>32000</v>
      </c>
    </row>
    <row r="84" spans="2:13" ht="16.5" thickBot="1" x14ac:dyDescent="0.2">
      <c r="B84" s="18"/>
      <c r="C84" s="19"/>
      <c r="D84" s="20"/>
      <c r="E84" s="20"/>
      <c r="F84" s="20"/>
      <c r="G84" s="21"/>
      <c r="H84" s="20"/>
      <c r="I84" s="20"/>
      <c r="J84" s="21"/>
      <c r="K84" s="20"/>
      <c r="L84" s="20"/>
      <c r="M84" s="22"/>
    </row>
    <row r="85" spans="2:13" x14ac:dyDescent="0.15">
      <c r="G85" s="9"/>
      <c r="J85" s="9"/>
    </row>
    <row r="86" spans="2:13" x14ac:dyDescent="0.15">
      <c r="G86" s="9"/>
      <c r="J86" s="9"/>
    </row>
    <row r="87" spans="2:13" x14ac:dyDescent="0.15">
      <c r="G87" s="9"/>
      <c r="J87" s="9"/>
    </row>
    <row r="88" spans="2:13" x14ac:dyDescent="0.15">
      <c r="G88" s="9"/>
    </row>
    <row r="89" spans="2:13" x14ac:dyDescent="0.15">
      <c r="G89" s="9"/>
    </row>
    <row r="90" spans="2:13" x14ac:dyDescent="0.15">
      <c r="G90" s="9"/>
    </row>
    <row r="91" spans="2:13" x14ac:dyDescent="0.15">
      <c r="G91" s="9"/>
    </row>
  </sheetData>
  <sortState ref="B5:M84">
    <sortCondition ref="E5:E84"/>
    <sortCondition ref="H5:H84"/>
  </sortState>
  <mergeCells count="1">
    <mergeCell ref="B1:M1"/>
  </mergeCells>
  <phoneticPr fontId="1" type="noConversion"/>
  <dataValidations count="2">
    <dataValidation type="list" allowBlank="1" showInputMessage="1" showErrorMessage="1" sqref="D4:D83">
      <formula1>供应商编号</formula1>
    </dataValidation>
    <dataValidation type="list" allowBlank="1" showInputMessage="1" showErrorMessage="1" sqref="G85:G91">
      <formula1>材料编码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opLeftCell="A14" workbookViewId="0">
      <selection activeCell="E5" sqref="E5:E49"/>
    </sheetView>
  </sheetViews>
  <sheetFormatPr defaultRowHeight="13.5" x14ac:dyDescent="0.15"/>
  <cols>
    <col min="1" max="2" width="3.75" bestFit="1" customWidth="1"/>
    <col min="3" max="3" width="8.375" customWidth="1"/>
    <col min="4" max="4" width="9.875" customWidth="1"/>
    <col min="5" max="5" width="12.75" bestFit="1" customWidth="1"/>
    <col min="6" max="6" width="11" customWidth="1"/>
    <col min="10" max="10" width="10.75" customWidth="1"/>
    <col min="11" max="11" width="13.375" customWidth="1"/>
    <col min="13" max="13" width="13" customWidth="1"/>
  </cols>
  <sheetData>
    <row r="1" spans="1:13" ht="56.25" customHeight="1" thickBot="1" x14ac:dyDescent="0.2">
      <c r="A1" s="67" t="s">
        <v>158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</row>
    <row r="2" spans="1:13" s="24" customFormat="1" ht="17.25" customHeight="1" thickBot="1" x14ac:dyDescent="0.2">
      <c r="L2" s="24" t="s">
        <v>105</v>
      </c>
      <c r="M2" s="25">
        <f>SUBTOTAL(9,M5:M500)</f>
        <v>189242.77999999997</v>
      </c>
    </row>
    <row r="3" spans="1:13" ht="5.25" customHeight="1" x14ac:dyDescent="0.15"/>
    <row r="4" spans="1:13" ht="22.5" customHeight="1" x14ac:dyDescent="0.15">
      <c r="A4" s="26" t="s">
        <v>106</v>
      </c>
      <c r="B4" s="26" t="s">
        <v>107</v>
      </c>
      <c r="C4" s="26" t="s">
        <v>108</v>
      </c>
      <c r="D4" s="27" t="s">
        <v>109</v>
      </c>
      <c r="E4" s="28" t="s">
        <v>110</v>
      </c>
      <c r="F4" s="28" t="s">
        <v>111</v>
      </c>
      <c r="G4" s="29" t="s">
        <v>112</v>
      </c>
      <c r="H4" s="29" t="s">
        <v>113</v>
      </c>
      <c r="I4" s="29" t="s">
        <v>114</v>
      </c>
      <c r="J4" s="29" t="s">
        <v>115</v>
      </c>
      <c r="K4" s="29" t="s">
        <v>116</v>
      </c>
      <c r="L4" s="29" t="s">
        <v>117</v>
      </c>
      <c r="M4" s="29" t="s">
        <v>118</v>
      </c>
    </row>
    <row r="5" spans="1:13" s="24" customFormat="1" ht="12" x14ac:dyDescent="0.15">
      <c r="A5" s="31">
        <v>6</v>
      </c>
      <c r="B5" s="31">
        <v>1</v>
      </c>
      <c r="C5" s="31" t="s">
        <v>151</v>
      </c>
      <c r="D5" s="32" t="s">
        <v>119</v>
      </c>
      <c r="E5" s="31">
        <v>2012060001</v>
      </c>
      <c r="F5" s="31" t="s">
        <v>120</v>
      </c>
      <c r="G5" s="32" t="s">
        <v>121</v>
      </c>
      <c r="H5" s="32" t="s">
        <v>122</v>
      </c>
      <c r="I5" s="32" t="s">
        <v>123</v>
      </c>
      <c r="J5" s="31">
        <v>2000</v>
      </c>
      <c r="K5" s="32">
        <f>J5</f>
        <v>2000</v>
      </c>
      <c r="L5" s="32">
        <v>0.25</v>
      </c>
      <c r="M5" s="33">
        <f>IF(F5="","",ROUND(K5*L5,2))</f>
        <v>500</v>
      </c>
    </row>
    <row r="6" spans="1:13" s="24" customFormat="1" ht="12" x14ac:dyDescent="0.15">
      <c r="A6" s="31">
        <v>6</v>
      </c>
      <c r="B6" s="31">
        <v>1</v>
      </c>
      <c r="C6" s="31" t="s">
        <v>150</v>
      </c>
      <c r="D6" s="32" t="s">
        <v>119</v>
      </c>
      <c r="E6" s="31">
        <v>2012060001</v>
      </c>
      <c r="F6" s="31" t="s">
        <v>40</v>
      </c>
      <c r="G6" s="32" t="s">
        <v>121</v>
      </c>
      <c r="H6" s="32" t="s">
        <v>124</v>
      </c>
      <c r="I6" s="32" t="s">
        <v>123</v>
      </c>
      <c r="J6" s="31">
        <v>7500</v>
      </c>
      <c r="K6" s="32">
        <f t="shared" ref="K6:K49" si="0">J6</f>
        <v>7500</v>
      </c>
      <c r="L6" s="32">
        <v>0.33</v>
      </c>
      <c r="M6" s="33">
        <f t="shared" ref="M6:M49" si="1">IF(F6="","",ROUND(K6*L6,2))</f>
        <v>2475</v>
      </c>
    </row>
    <row r="7" spans="1:13" s="24" customFormat="1" ht="12" x14ac:dyDescent="0.15">
      <c r="A7" s="31">
        <v>6</v>
      </c>
      <c r="B7" s="31">
        <v>1</v>
      </c>
      <c r="C7" s="31" t="s">
        <v>150</v>
      </c>
      <c r="D7" s="32" t="s">
        <v>119</v>
      </c>
      <c r="E7" s="31">
        <v>2012060001</v>
      </c>
      <c r="F7" s="31" t="s">
        <v>42</v>
      </c>
      <c r="G7" s="32" t="s">
        <v>121</v>
      </c>
      <c r="H7" s="32" t="s">
        <v>125</v>
      </c>
      <c r="I7" s="32" t="s">
        <v>123</v>
      </c>
      <c r="J7" s="31">
        <v>800</v>
      </c>
      <c r="K7" s="32">
        <f t="shared" si="0"/>
        <v>800</v>
      </c>
      <c r="L7" s="32">
        <v>0.57999999999999996</v>
      </c>
      <c r="M7" s="33">
        <f t="shared" si="1"/>
        <v>464</v>
      </c>
    </row>
    <row r="8" spans="1:13" s="24" customFormat="1" ht="12" x14ac:dyDescent="0.15">
      <c r="A8" s="31">
        <v>6</v>
      </c>
      <c r="B8" s="31">
        <v>1</v>
      </c>
      <c r="C8" s="31" t="s">
        <v>150</v>
      </c>
      <c r="D8" s="32" t="s">
        <v>119</v>
      </c>
      <c r="E8" s="31">
        <v>2012060001</v>
      </c>
      <c r="F8" s="31" t="s">
        <v>44</v>
      </c>
      <c r="G8" s="32" t="s">
        <v>121</v>
      </c>
      <c r="H8" s="32" t="s">
        <v>126</v>
      </c>
      <c r="I8" s="32" t="s">
        <v>123</v>
      </c>
      <c r="J8" s="31">
        <v>1200</v>
      </c>
      <c r="K8" s="32">
        <f t="shared" si="0"/>
        <v>1200</v>
      </c>
      <c r="L8" s="32">
        <v>0.89</v>
      </c>
      <c r="M8" s="33">
        <f t="shared" si="1"/>
        <v>1068</v>
      </c>
    </row>
    <row r="9" spans="1:13" s="24" customFormat="1" ht="12" x14ac:dyDescent="0.15">
      <c r="A9" s="31">
        <v>6</v>
      </c>
      <c r="B9" s="31">
        <v>1</v>
      </c>
      <c r="C9" s="31" t="s">
        <v>150</v>
      </c>
      <c r="D9" s="32" t="s">
        <v>119</v>
      </c>
      <c r="E9" s="31">
        <v>2012060001</v>
      </c>
      <c r="F9" s="31" t="s">
        <v>46</v>
      </c>
      <c r="G9" s="32" t="s">
        <v>121</v>
      </c>
      <c r="H9" s="32" t="s">
        <v>127</v>
      </c>
      <c r="I9" s="32" t="s">
        <v>123</v>
      </c>
      <c r="J9" s="31">
        <v>500</v>
      </c>
      <c r="K9" s="32">
        <f t="shared" si="0"/>
        <v>500</v>
      </c>
      <c r="L9" s="32">
        <v>0.21</v>
      </c>
      <c r="M9" s="33">
        <f t="shared" si="1"/>
        <v>105</v>
      </c>
    </row>
    <row r="10" spans="1:13" s="24" customFormat="1" ht="12" x14ac:dyDescent="0.15">
      <c r="A10" s="31">
        <v>6</v>
      </c>
      <c r="B10" s="31">
        <v>1</v>
      </c>
      <c r="C10" s="31" t="s">
        <v>150</v>
      </c>
      <c r="D10" s="32" t="s">
        <v>119</v>
      </c>
      <c r="E10" s="31">
        <v>2012060001</v>
      </c>
      <c r="F10" s="31" t="s">
        <v>48</v>
      </c>
      <c r="G10" s="32" t="s">
        <v>121</v>
      </c>
      <c r="H10" s="32" t="s">
        <v>128</v>
      </c>
      <c r="I10" s="32" t="s">
        <v>123</v>
      </c>
      <c r="J10" s="31">
        <v>300</v>
      </c>
      <c r="K10" s="32">
        <f t="shared" si="0"/>
        <v>300</v>
      </c>
      <c r="L10" s="32">
        <v>0.36</v>
      </c>
      <c r="M10" s="33">
        <f t="shared" si="1"/>
        <v>108</v>
      </c>
    </row>
    <row r="11" spans="1:13" s="24" customFormat="1" ht="12" x14ac:dyDescent="0.15">
      <c r="A11" s="31">
        <v>6</v>
      </c>
      <c r="B11" s="31">
        <v>5</v>
      </c>
      <c r="C11" s="31" t="s">
        <v>152</v>
      </c>
      <c r="D11" s="32" t="s">
        <v>129</v>
      </c>
      <c r="E11" s="31">
        <v>2012060001</v>
      </c>
      <c r="F11" s="31" t="s">
        <v>130</v>
      </c>
      <c r="G11" s="32" t="s">
        <v>131</v>
      </c>
      <c r="H11" s="32" t="s">
        <v>132</v>
      </c>
      <c r="I11" s="32" t="s">
        <v>123</v>
      </c>
      <c r="J11" s="31">
        <v>200</v>
      </c>
      <c r="K11" s="32">
        <f t="shared" si="0"/>
        <v>200</v>
      </c>
      <c r="L11" s="32">
        <v>0.78</v>
      </c>
      <c r="M11" s="33">
        <f t="shared" si="1"/>
        <v>156</v>
      </c>
    </row>
    <row r="12" spans="1:13" s="24" customFormat="1" ht="12" x14ac:dyDescent="0.15">
      <c r="A12" s="31">
        <v>6</v>
      </c>
      <c r="B12" s="31">
        <v>5</v>
      </c>
      <c r="C12" s="31" t="s">
        <v>153</v>
      </c>
      <c r="D12" s="32" t="s">
        <v>133</v>
      </c>
      <c r="E12" s="31">
        <v>2012060001</v>
      </c>
      <c r="F12" s="31" t="s">
        <v>53</v>
      </c>
      <c r="G12" s="32" t="s">
        <v>131</v>
      </c>
      <c r="H12" s="32" t="s">
        <v>134</v>
      </c>
      <c r="I12" s="32" t="s">
        <v>123</v>
      </c>
      <c r="J12" s="31">
        <v>100</v>
      </c>
      <c r="K12" s="32">
        <f t="shared" si="0"/>
        <v>100</v>
      </c>
      <c r="L12" s="32">
        <v>0.65</v>
      </c>
      <c r="M12" s="33">
        <f t="shared" si="1"/>
        <v>65</v>
      </c>
    </row>
    <row r="13" spans="1:13" s="24" customFormat="1" ht="12" x14ac:dyDescent="0.15">
      <c r="A13" s="31">
        <v>6</v>
      </c>
      <c r="B13" s="31">
        <v>10</v>
      </c>
      <c r="C13" s="31" t="s">
        <v>152</v>
      </c>
      <c r="D13" s="32" t="s">
        <v>129</v>
      </c>
      <c r="E13" s="31">
        <v>2012060001</v>
      </c>
      <c r="F13" s="31" t="s">
        <v>55</v>
      </c>
      <c r="G13" s="32" t="s">
        <v>131</v>
      </c>
      <c r="H13" s="32" t="s">
        <v>135</v>
      </c>
      <c r="I13" s="32" t="s">
        <v>123</v>
      </c>
      <c r="J13" s="31">
        <v>520</v>
      </c>
      <c r="K13" s="32">
        <f t="shared" si="0"/>
        <v>520</v>
      </c>
      <c r="L13" s="32">
        <v>0.75</v>
      </c>
      <c r="M13" s="33">
        <f t="shared" si="1"/>
        <v>390</v>
      </c>
    </row>
    <row r="14" spans="1:13" s="24" customFormat="1" ht="12" x14ac:dyDescent="0.15">
      <c r="A14" s="31">
        <v>6</v>
      </c>
      <c r="B14" s="31">
        <v>10</v>
      </c>
      <c r="C14" s="31" t="s">
        <v>153</v>
      </c>
      <c r="D14" s="32" t="s">
        <v>133</v>
      </c>
      <c r="E14" s="31">
        <v>2012060001</v>
      </c>
      <c r="F14" s="31" t="s">
        <v>57</v>
      </c>
      <c r="G14" s="32" t="s">
        <v>131</v>
      </c>
      <c r="H14" s="32" t="s">
        <v>136</v>
      </c>
      <c r="I14" s="32" t="s">
        <v>123</v>
      </c>
      <c r="J14" s="31">
        <v>620</v>
      </c>
      <c r="K14" s="32">
        <f t="shared" si="0"/>
        <v>620</v>
      </c>
      <c r="L14" s="32">
        <v>0.85</v>
      </c>
      <c r="M14" s="33">
        <f t="shared" si="1"/>
        <v>527</v>
      </c>
    </row>
    <row r="15" spans="1:13" s="24" customFormat="1" ht="12" x14ac:dyDescent="0.15">
      <c r="A15" s="31">
        <v>6</v>
      </c>
      <c r="B15" s="31">
        <v>10</v>
      </c>
      <c r="C15" s="31" t="s">
        <v>152</v>
      </c>
      <c r="D15" s="32" t="s">
        <v>129</v>
      </c>
      <c r="E15" s="31">
        <v>2012060001</v>
      </c>
      <c r="F15" s="31" t="s">
        <v>59</v>
      </c>
      <c r="G15" s="32" t="s">
        <v>131</v>
      </c>
      <c r="H15" s="32" t="s">
        <v>137</v>
      </c>
      <c r="I15" s="32" t="s">
        <v>123</v>
      </c>
      <c r="J15" s="31">
        <v>400</v>
      </c>
      <c r="K15" s="32">
        <f t="shared" si="0"/>
        <v>400</v>
      </c>
      <c r="L15" s="32">
        <v>0.9</v>
      </c>
      <c r="M15" s="33">
        <f t="shared" si="1"/>
        <v>360</v>
      </c>
    </row>
    <row r="16" spans="1:13" s="24" customFormat="1" ht="12" x14ac:dyDescent="0.15">
      <c r="A16" s="31">
        <v>6</v>
      </c>
      <c r="B16" s="31">
        <v>10</v>
      </c>
      <c r="C16" s="31" t="s">
        <v>153</v>
      </c>
      <c r="D16" s="32" t="s">
        <v>133</v>
      </c>
      <c r="E16" s="31">
        <v>2012060001</v>
      </c>
      <c r="F16" s="31" t="s">
        <v>61</v>
      </c>
      <c r="G16" s="32" t="s">
        <v>131</v>
      </c>
      <c r="H16" s="32" t="s">
        <v>138</v>
      </c>
      <c r="I16" s="32" t="s">
        <v>123</v>
      </c>
      <c r="J16" s="31">
        <v>500</v>
      </c>
      <c r="K16" s="32">
        <f t="shared" si="0"/>
        <v>500</v>
      </c>
      <c r="L16" s="32">
        <v>0.55000000000000004</v>
      </c>
      <c r="M16" s="33">
        <f t="shared" si="1"/>
        <v>275</v>
      </c>
    </row>
    <row r="17" spans="1:13" s="24" customFormat="1" ht="12" x14ac:dyDescent="0.15">
      <c r="A17" s="31">
        <v>6</v>
      </c>
      <c r="B17" s="31">
        <v>10</v>
      </c>
      <c r="C17" s="31" t="s">
        <v>154</v>
      </c>
      <c r="D17" s="32" t="s">
        <v>139</v>
      </c>
      <c r="E17" s="31">
        <v>2012060001</v>
      </c>
      <c r="F17" s="31" t="s">
        <v>140</v>
      </c>
      <c r="G17" s="32" t="s">
        <v>141</v>
      </c>
      <c r="H17" s="32" t="s">
        <v>142</v>
      </c>
      <c r="I17" s="32" t="s">
        <v>123</v>
      </c>
      <c r="J17" s="31">
        <v>300</v>
      </c>
      <c r="K17" s="32">
        <f t="shared" si="0"/>
        <v>300</v>
      </c>
      <c r="L17" s="32">
        <v>58.5</v>
      </c>
      <c r="M17" s="33">
        <f t="shared" si="1"/>
        <v>17550</v>
      </c>
    </row>
    <row r="18" spans="1:13" s="24" customFormat="1" ht="12" x14ac:dyDescent="0.15">
      <c r="A18" s="31">
        <v>6</v>
      </c>
      <c r="B18" s="31">
        <v>10</v>
      </c>
      <c r="C18" s="31" t="s">
        <v>154</v>
      </c>
      <c r="D18" s="32" t="s">
        <v>139</v>
      </c>
      <c r="E18" s="31">
        <v>2012060001</v>
      </c>
      <c r="F18" s="31" t="s">
        <v>66</v>
      </c>
      <c r="G18" s="32" t="s">
        <v>141</v>
      </c>
      <c r="H18" s="32" t="s">
        <v>143</v>
      </c>
      <c r="I18" s="32" t="s">
        <v>123</v>
      </c>
      <c r="J18" s="31">
        <v>200</v>
      </c>
      <c r="K18" s="32">
        <f t="shared" si="0"/>
        <v>200</v>
      </c>
      <c r="L18" s="32">
        <v>75.599999999999994</v>
      </c>
      <c r="M18" s="33">
        <f t="shared" si="1"/>
        <v>15120</v>
      </c>
    </row>
    <row r="19" spans="1:13" s="24" customFormat="1" ht="12" x14ac:dyDescent="0.15">
      <c r="A19" s="31">
        <v>6</v>
      </c>
      <c r="B19" s="31">
        <v>10</v>
      </c>
      <c r="C19" s="31" t="s">
        <v>154</v>
      </c>
      <c r="D19" s="32" t="s">
        <v>139</v>
      </c>
      <c r="E19" s="31">
        <v>2012060001</v>
      </c>
      <c r="F19" s="31" t="s">
        <v>68</v>
      </c>
      <c r="G19" s="32" t="s">
        <v>141</v>
      </c>
      <c r="H19" s="32" t="s">
        <v>69</v>
      </c>
      <c r="I19" s="32" t="s">
        <v>123</v>
      </c>
      <c r="J19" s="31">
        <v>200</v>
      </c>
      <c r="K19" s="32">
        <f t="shared" si="0"/>
        <v>200</v>
      </c>
      <c r="L19" s="32">
        <v>124.85</v>
      </c>
      <c r="M19" s="33">
        <f t="shared" si="1"/>
        <v>24970</v>
      </c>
    </row>
    <row r="20" spans="1:13" s="24" customFormat="1" ht="12" x14ac:dyDescent="0.15">
      <c r="A20" s="31">
        <v>6</v>
      </c>
      <c r="B20" s="31">
        <v>10</v>
      </c>
      <c r="C20" s="31" t="s">
        <v>154</v>
      </c>
      <c r="D20" s="32" t="s">
        <v>139</v>
      </c>
      <c r="E20" s="31">
        <v>2012060001</v>
      </c>
      <c r="F20" s="31" t="s">
        <v>70</v>
      </c>
      <c r="G20" s="32" t="s">
        <v>141</v>
      </c>
      <c r="H20" s="32" t="s">
        <v>144</v>
      </c>
      <c r="I20" s="32" t="s">
        <v>123</v>
      </c>
      <c r="J20" s="31">
        <v>50</v>
      </c>
      <c r="K20" s="32">
        <f t="shared" si="0"/>
        <v>50</v>
      </c>
      <c r="L20" s="32">
        <v>320</v>
      </c>
      <c r="M20" s="33">
        <f t="shared" si="1"/>
        <v>16000</v>
      </c>
    </row>
    <row r="21" spans="1:13" s="24" customFormat="1" ht="12" x14ac:dyDescent="0.15">
      <c r="A21" s="31">
        <v>6</v>
      </c>
      <c r="B21" s="31">
        <v>12</v>
      </c>
      <c r="C21" s="31" t="s">
        <v>154</v>
      </c>
      <c r="D21" s="32" t="s">
        <v>139</v>
      </c>
      <c r="E21" s="31">
        <v>2012060001</v>
      </c>
      <c r="F21" s="31" t="s">
        <v>72</v>
      </c>
      <c r="G21" s="32" t="s">
        <v>141</v>
      </c>
      <c r="H21" s="32" t="s">
        <v>73</v>
      </c>
      <c r="I21" s="32" t="s">
        <v>123</v>
      </c>
      <c r="J21" s="31">
        <v>15</v>
      </c>
      <c r="K21" s="32">
        <f t="shared" si="0"/>
        <v>15</v>
      </c>
      <c r="L21" s="32">
        <v>70</v>
      </c>
      <c r="M21" s="33">
        <f t="shared" si="1"/>
        <v>1050</v>
      </c>
    </row>
    <row r="22" spans="1:13" s="24" customFormat="1" ht="12" x14ac:dyDescent="0.15">
      <c r="A22" s="31">
        <v>6</v>
      </c>
      <c r="B22" s="31">
        <v>12</v>
      </c>
      <c r="C22" s="31" t="s">
        <v>154</v>
      </c>
      <c r="D22" s="32" t="s">
        <v>139</v>
      </c>
      <c r="E22" s="31">
        <v>2012060001</v>
      </c>
      <c r="F22" s="31" t="s">
        <v>74</v>
      </c>
      <c r="G22" s="32" t="s">
        <v>141</v>
      </c>
      <c r="H22" s="32" t="s">
        <v>145</v>
      </c>
      <c r="I22" s="32" t="s">
        <v>123</v>
      </c>
      <c r="J22" s="31">
        <v>20</v>
      </c>
      <c r="K22" s="32">
        <f t="shared" si="0"/>
        <v>20</v>
      </c>
      <c r="L22" s="32">
        <v>185</v>
      </c>
      <c r="M22" s="33">
        <f t="shared" si="1"/>
        <v>3700</v>
      </c>
    </row>
    <row r="23" spans="1:13" s="24" customFormat="1" ht="12" x14ac:dyDescent="0.15">
      <c r="A23" s="31">
        <v>6</v>
      </c>
      <c r="B23" s="31">
        <v>15</v>
      </c>
      <c r="C23" s="31" t="s">
        <v>154</v>
      </c>
      <c r="D23" s="32" t="s">
        <v>139</v>
      </c>
      <c r="E23" s="31">
        <v>2012060001</v>
      </c>
      <c r="F23" s="31" t="s">
        <v>76</v>
      </c>
      <c r="G23" s="32" t="s">
        <v>141</v>
      </c>
      <c r="H23" s="32" t="s">
        <v>77</v>
      </c>
      <c r="I23" s="32" t="s">
        <v>123</v>
      </c>
      <c r="J23" s="31">
        <v>66</v>
      </c>
      <c r="K23" s="32">
        <f t="shared" si="0"/>
        <v>66</v>
      </c>
      <c r="L23" s="32">
        <v>412.5</v>
      </c>
      <c r="M23" s="33">
        <f t="shared" si="1"/>
        <v>27225</v>
      </c>
    </row>
    <row r="24" spans="1:13" s="24" customFormat="1" ht="12" x14ac:dyDescent="0.15">
      <c r="A24" s="31">
        <v>6</v>
      </c>
      <c r="B24" s="31">
        <v>15</v>
      </c>
      <c r="C24" s="31" t="s">
        <v>154</v>
      </c>
      <c r="D24" s="32" t="s">
        <v>139</v>
      </c>
      <c r="E24" s="31">
        <v>2012060001</v>
      </c>
      <c r="F24" s="31" t="s">
        <v>146</v>
      </c>
      <c r="G24" s="32" t="s">
        <v>121</v>
      </c>
      <c r="H24" s="32" t="s">
        <v>122</v>
      </c>
      <c r="I24" s="32" t="s">
        <v>123</v>
      </c>
      <c r="J24" s="31">
        <v>200</v>
      </c>
      <c r="K24" s="32">
        <f t="shared" si="0"/>
        <v>200</v>
      </c>
      <c r="L24" s="32">
        <v>0.25</v>
      </c>
      <c r="M24" s="33">
        <f t="shared" si="1"/>
        <v>50</v>
      </c>
    </row>
    <row r="25" spans="1:13" s="24" customFormat="1" ht="12" x14ac:dyDescent="0.15">
      <c r="A25" s="31">
        <v>6</v>
      </c>
      <c r="B25" s="31">
        <v>15</v>
      </c>
      <c r="C25" s="31" t="s">
        <v>154</v>
      </c>
      <c r="D25" s="32" t="s">
        <v>139</v>
      </c>
      <c r="E25" s="31">
        <v>2012060001</v>
      </c>
      <c r="F25" s="31" t="s">
        <v>40</v>
      </c>
      <c r="G25" s="32" t="s">
        <v>121</v>
      </c>
      <c r="H25" s="32" t="s">
        <v>124</v>
      </c>
      <c r="I25" s="32" t="s">
        <v>123</v>
      </c>
      <c r="J25" s="31">
        <v>300</v>
      </c>
      <c r="K25" s="32">
        <f t="shared" si="0"/>
        <v>300</v>
      </c>
      <c r="L25" s="32">
        <v>0.33</v>
      </c>
      <c r="M25" s="33">
        <f t="shared" si="1"/>
        <v>99</v>
      </c>
    </row>
    <row r="26" spans="1:13" s="24" customFormat="1" ht="12" x14ac:dyDescent="0.15">
      <c r="A26" s="31">
        <v>6</v>
      </c>
      <c r="B26" s="31">
        <v>15</v>
      </c>
      <c r="C26" s="31" t="s">
        <v>154</v>
      </c>
      <c r="D26" s="32" t="s">
        <v>139</v>
      </c>
      <c r="E26" s="31">
        <v>2012060001</v>
      </c>
      <c r="F26" s="31" t="s">
        <v>42</v>
      </c>
      <c r="G26" s="32" t="s">
        <v>121</v>
      </c>
      <c r="H26" s="32" t="s">
        <v>125</v>
      </c>
      <c r="I26" s="32" t="s">
        <v>123</v>
      </c>
      <c r="J26" s="31">
        <v>40</v>
      </c>
      <c r="K26" s="32">
        <f t="shared" si="0"/>
        <v>40</v>
      </c>
      <c r="L26" s="32">
        <v>0.57999999999999996</v>
      </c>
      <c r="M26" s="33">
        <f t="shared" si="1"/>
        <v>23.2</v>
      </c>
    </row>
    <row r="27" spans="1:13" s="24" customFormat="1" ht="12" x14ac:dyDescent="0.15">
      <c r="A27" s="31">
        <v>6</v>
      </c>
      <c r="B27" s="31">
        <v>15</v>
      </c>
      <c r="C27" s="31" t="s">
        <v>154</v>
      </c>
      <c r="D27" s="32" t="s">
        <v>139</v>
      </c>
      <c r="E27" s="31">
        <v>2012060001</v>
      </c>
      <c r="F27" s="31" t="s">
        <v>44</v>
      </c>
      <c r="G27" s="32" t="s">
        <v>121</v>
      </c>
      <c r="H27" s="32" t="s">
        <v>126</v>
      </c>
      <c r="I27" s="32" t="s">
        <v>123</v>
      </c>
      <c r="J27" s="31">
        <v>80</v>
      </c>
      <c r="K27" s="32">
        <f t="shared" si="0"/>
        <v>80</v>
      </c>
      <c r="L27" s="32">
        <v>0.89</v>
      </c>
      <c r="M27" s="33">
        <f t="shared" si="1"/>
        <v>71.2</v>
      </c>
    </row>
    <row r="28" spans="1:13" s="24" customFormat="1" ht="12" x14ac:dyDescent="0.15">
      <c r="A28" s="31">
        <v>6</v>
      </c>
      <c r="B28" s="34">
        <v>19</v>
      </c>
      <c r="C28" s="31" t="s">
        <v>155</v>
      </c>
      <c r="D28" s="32" t="s">
        <v>147</v>
      </c>
      <c r="E28" s="31">
        <v>2012060001</v>
      </c>
      <c r="F28" s="31" t="s">
        <v>46</v>
      </c>
      <c r="G28" s="32" t="s">
        <v>121</v>
      </c>
      <c r="H28" s="32" t="s">
        <v>127</v>
      </c>
      <c r="I28" s="32" t="s">
        <v>123</v>
      </c>
      <c r="J28" s="34">
        <v>95</v>
      </c>
      <c r="K28" s="32">
        <f t="shared" si="0"/>
        <v>95</v>
      </c>
      <c r="L28" s="32">
        <v>0.21</v>
      </c>
      <c r="M28" s="33">
        <f t="shared" si="1"/>
        <v>19.95</v>
      </c>
    </row>
    <row r="29" spans="1:13" s="24" customFormat="1" ht="12" x14ac:dyDescent="0.15">
      <c r="A29" s="31">
        <v>6</v>
      </c>
      <c r="B29" s="34">
        <v>19</v>
      </c>
      <c r="C29" s="31" t="s">
        <v>156</v>
      </c>
      <c r="D29" s="32" t="s">
        <v>148</v>
      </c>
      <c r="E29" s="31">
        <v>2012060001</v>
      </c>
      <c r="F29" s="31" t="s">
        <v>48</v>
      </c>
      <c r="G29" s="32" t="s">
        <v>121</v>
      </c>
      <c r="H29" s="32" t="s">
        <v>128</v>
      </c>
      <c r="I29" s="32" t="s">
        <v>123</v>
      </c>
      <c r="J29" s="34">
        <v>20</v>
      </c>
      <c r="K29" s="32">
        <f t="shared" si="0"/>
        <v>20</v>
      </c>
      <c r="L29" s="32">
        <v>0.36</v>
      </c>
      <c r="M29" s="33">
        <f t="shared" si="1"/>
        <v>7.2</v>
      </c>
    </row>
    <row r="30" spans="1:13" s="24" customFormat="1" ht="12" x14ac:dyDescent="0.15">
      <c r="A30" s="31">
        <v>6</v>
      </c>
      <c r="B30" s="34">
        <v>19</v>
      </c>
      <c r="C30" s="31" t="s">
        <v>157</v>
      </c>
      <c r="D30" s="32" t="s">
        <v>149</v>
      </c>
      <c r="E30" s="31">
        <v>2012060001</v>
      </c>
      <c r="F30" s="31" t="s">
        <v>130</v>
      </c>
      <c r="G30" s="32" t="s">
        <v>131</v>
      </c>
      <c r="H30" s="32" t="s">
        <v>132</v>
      </c>
      <c r="I30" s="32" t="s">
        <v>123</v>
      </c>
      <c r="J30" s="34">
        <v>10</v>
      </c>
      <c r="K30" s="32">
        <f t="shared" si="0"/>
        <v>10</v>
      </c>
      <c r="L30" s="32">
        <v>0.78</v>
      </c>
      <c r="M30" s="33">
        <f t="shared" si="1"/>
        <v>7.8</v>
      </c>
    </row>
    <row r="31" spans="1:13" s="24" customFormat="1" ht="12" x14ac:dyDescent="0.15">
      <c r="A31" s="31">
        <v>6</v>
      </c>
      <c r="B31" s="34">
        <v>19</v>
      </c>
      <c r="C31" s="31" t="s">
        <v>155</v>
      </c>
      <c r="D31" s="32" t="s">
        <v>147</v>
      </c>
      <c r="E31" s="31">
        <v>2012060001</v>
      </c>
      <c r="F31" s="31" t="s">
        <v>53</v>
      </c>
      <c r="G31" s="32" t="s">
        <v>131</v>
      </c>
      <c r="H31" s="32" t="s">
        <v>134</v>
      </c>
      <c r="I31" s="32" t="s">
        <v>123</v>
      </c>
      <c r="J31" s="34">
        <v>20</v>
      </c>
      <c r="K31" s="32">
        <f t="shared" si="0"/>
        <v>20</v>
      </c>
      <c r="L31" s="32">
        <v>0.65</v>
      </c>
      <c r="M31" s="33">
        <f t="shared" si="1"/>
        <v>13</v>
      </c>
    </row>
    <row r="32" spans="1:13" s="24" customFormat="1" ht="12" x14ac:dyDescent="0.15">
      <c r="A32" s="31">
        <v>6</v>
      </c>
      <c r="B32" s="34">
        <v>19</v>
      </c>
      <c r="C32" s="31" t="s">
        <v>156</v>
      </c>
      <c r="D32" s="32" t="s">
        <v>148</v>
      </c>
      <c r="E32" s="31">
        <v>2012060001</v>
      </c>
      <c r="F32" s="31" t="s">
        <v>55</v>
      </c>
      <c r="G32" s="32" t="s">
        <v>131</v>
      </c>
      <c r="H32" s="32" t="s">
        <v>135</v>
      </c>
      <c r="I32" s="32" t="s">
        <v>123</v>
      </c>
      <c r="J32" s="34">
        <v>14</v>
      </c>
      <c r="K32" s="32">
        <f t="shared" si="0"/>
        <v>14</v>
      </c>
      <c r="L32" s="32">
        <v>0.75</v>
      </c>
      <c r="M32" s="33">
        <f t="shared" si="1"/>
        <v>10.5</v>
      </c>
    </row>
    <row r="33" spans="1:13" s="24" customFormat="1" ht="12" x14ac:dyDescent="0.15">
      <c r="A33" s="31">
        <v>6</v>
      </c>
      <c r="B33" s="34">
        <v>19</v>
      </c>
      <c r="C33" s="31" t="s">
        <v>157</v>
      </c>
      <c r="D33" s="32" t="s">
        <v>149</v>
      </c>
      <c r="E33" s="31">
        <v>2012060001</v>
      </c>
      <c r="F33" s="31" t="s">
        <v>57</v>
      </c>
      <c r="G33" s="32" t="s">
        <v>131</v>
      </c>
      <c r="H33" s="32" t="s">
        <v>136</v>
      </c>
      <c r="I33" s="32" t="s">
        <v>123</v>
      </c>
      <c r="J33" s="34">
        <v>253</v>
      </c>
      <c r="K33" s="32">
        <f t="shared" si="0"/>
        <v>253</v>
      </c>
      <c r="L33" s="32">
        <v>0.85</v>
      </c>
      <c r="M33" s="33">
        <f t="shared" si="1"/>
        <v>215.05</v>
      </c>
    </row>
    <row r="34" spans="1:13" s="24" customFormat="1" ht="12" x14ac:dyDescent="0.15">
      <c r="A34" s="31">
        <v>6</v>
      </c>
      <c r="B34" s="34">
        <v>19</v>
      </c>
      <c r="C34" s="31" t="s">
        <v>150</v>
      </c>
      <c r="D34" s="32" t="s">
        <v>119</v>
      </c>
      <c r="E34" s="31">
        <v>2012060001</v>
      </c>
      <c r="F34" s="31" t="s">
        <v>59</v>
      </c>
      <c r="G34" s="32" t="s">
        <v>131</v>
      </c>
      <c r="H34" s="32" t="s">
        <v>137</v>
      </c>
      <c r="I34" s="32" t="s">
        <v>123</v>
      </c>
      <c r="J34" s="34">
        <v>241</v>
      </c>
      <c r="K34" s="32">
        <f t="shared" si="0"/>
        <v>241</v>
      </c>
      <c r="L34" s="32">
        <v>0.9</v>
      </c>
      <c r="M34" s="33">
        <f t="shared" si="1"/>
        <v>216.9</v>
      </c>
    </row>
    <row r="35" spans="1:13" s="24" customFormat="1" ht="12" x14ac:dyDescent="0.15">
      <c r="A35" s="31">
        <v>6</v>
      </c>
      <c r="B35" s="34">
        <v>19</v>
      </c>
      <c r="C35" s="31" t="s">
        <v>152</v>
      </c>
      <c r="D35" s="32" t="s">
        <v>129</v>
      </c>
      <c r="E35" s="31">
        <v>2012060001</v>
      </c>
      <c r="F35" s="31" t="s">
        <v>61</v>
      </c>
      <c r="G35" s="32" t="s">
        <v>131</v>
      </c>
      <c r="H35" s="32" t="s">
        <v>138</v>
      </c>
      <c r="I35" s="32" t="s">
        <v>123</v>
      </c>
      <c r="J35" s="34">
        <v>263</v>
      </c>
      <c r="K35" s="32">
        <f t="shared" si="0"/>
        <v>263</v>
      </c>
      <c r="L35" s="32">
        <v>0.55000000000000004</v>
      </c>
      <c r="M35" s="33">
        <f t="shared" si="1"/>
        <v>144.65</v>
      </c>
    </row>
    <row r="36" spans="1:13" s="24" customFormat="1" ht="12" x14ac:dyDescent="0.15">
      <c r="A36" s="31">
        <v>6</v>
      </c>
      <c r="B36" s="34">
        <v>23</v>
      </c>
      <c r="C36" s="31" t="s">
        <v>153</v>
      </c>
      <c r="D36" s="32" t="s">
        <v>133</v>
      </c>
      <c r="E36" s="31">
        <v>2012060001</v>
      </c>
      <c r="F36" s="31" t="s">
        <v>140</v>
      </c>
      <c r="G36" s="32" t="s">
        <v>141</v>
      </c>
      <c r="H36" s="32" t="s">
        <v>142</v>
      </c>
      <c r="I36" s="32" t="s">
        <v>123</v>
      </c>
      <c r="J36" s="34">
        <v>55</v>
      </c>
      <c r="K36" s="32">
        <f t="shared" si="0"/>
        <v>55</v>
      </c>
      <c r="L36" s="32">
        <v>58.5</v>
      </c>
      <c r="M36" s="33">
        <f t="shared" si="1"/>
        <v>3217.5</v>
      </c>
    </row>
    <row r="37" spans="1:13" s="24" customFormat="1" ht="12" x14ac:dyDescent="0.15">
      <c r="A37" s="31">
        <v>6</v>
      </c>
      <c r="B37" s="34">
        <v>23</v>
      </c>
      <c r="C37" s="31" t="s">
        <v>154</v>
      </c>
      <c r="D37" s="32" t="s">
        <v>139</v>
      </c>
      <c r="E37" s="31">
        <v>2012060001</v>
      </c>
      <c r="F37" s="31" t="s">
        <v>66</v>
      </c>
      <c r="G37" s="32" t="s">
        <v>141</v>
      </c>
      <c r="H37" s="32" t="s">
        <v>143</v>
      </c>
      <c r="I37" s="32" t="s">
        <v>123</v>
      </c>
      <c r="J37" s="34">
        <v>78</v>
      </c>
      <c r="K37" s="32">
        <f t="shared" si="0"/>
        <v>78</v>
      </c>
      <c r="L37" s="32">
        <v>75.599999999999994</v>
      </c>
      <c r="M37" s="33">
        <f t="shared" si="1"/>
        <v>5896.8</v>
      </c>
    </row>
    <row r="38" spans="1:13" s="24" customFormat="1" ht="12" x14ac:dyDescent="0.15">
      <c r="A38" s="31">
        <v>6</v>
      </c>
      <c r="B38" s="34">
        <v>25</v>
      </c>
      <c r="C38" s="31" t="s">
        <v>155</v>
      </c>
      <c r="D38" s="32" t="s">
        <v>147</v>
      </c>
      <c r="E38" s="31">
        <v>2012060001</v>
      </c>
      <c r="F38" s="31" t="s">
        <v>68</v>
      </c>
      <c r="G38" s="32" t="s">
        <v>141</v>
      </c>
      <c r="H38" s="32" t="s">
        <v>69</v>
      </c>
      <c r="I38" s="32" t="s">
        <v>123</v>
      </c>
      <c r="J38" s="34">
        <v>98</v>
      </c>
      <c r="K38" s="32">
        <f t="shared" si="0"/>
        <v>98</v>
      </c>
      <c r="L38" s="32">
        <v>124.85</v>
      </c>
      <c r="M38" s="33">
        <f t="shared" si="1"/>
        <v>12235.3</v>
      </c>
    </row>
    <row r="39" spans="1:13" s="24" customFormat="1" ht="12" x14ac:dyDescent="0.15">
      <c r="A39" s="31">
        <v>6</v>
      </c>
      <c r="B39" s="34">
        <v>25</v>
      </c>
      <c r="C39" s="31" t="s">
        <v>156</v>
      </c>
      <c r="D39" s="32" t="s">
        <v>148</v>
      </c>
      <c r="E39" s="31">
        <v>2012060001</v>
      </c>
      <c r="F39" s="31" t="s">
        <v>70</v>
      </c>
      <c r="G39" s="32" t="s">
        <v>141</v>
      </c>
      <c r="H39" s="32" t="s">
        <v>144</v>
      </c>
      <c r="I39" s="32" t="s">
        <v>123</v>
      </c>
      <c r="J39" s="34">
        <v>56</v>
      </c>
      <c r="K39" s="32">
        <f t="shared" si="0"/>
        <v>56</v>
      </c>
      <c r="L39" s="32">
        <v>320</v>
      </c>
      <c r="M39" s="33">
        <f t="shared" si="1"/>
        <v>17920</v>
      </c>
    </row>
    <row r="40" spans="1:13" s="24" customFormat="1" ht="12" x14ac:dyDescent="0.15">
      <c r="A40" s="31">
        <v>6</v>
      </c>
      <c r="B40" s="34">
        <v>25</v>
      </c>
      <c r="C40" s="31" t="s">
        <v>157</v>
      </c>
      <c r="D40" s="32" t="s">
        <v>149</v>
      </c>
      <c r="E40" s="31">
        <v>2012060001</v>
      </c>
      <c r="F40" s="31" t="s">
        <v>72</v>
      </c>
      <c r="G40" s="32" t="s">
        <v>141</v>
      </c>
      <c r="H40" s="32" t="s">
        <v>73</v>
      </c>
      <c r="I40" s="32" t="s">
        <v>123</v>
      </c>
      <c r="J40" s="34">
        <v>25</v>
      </c>
      <c r="K40" s="32">
        <f t="shared" si="0"/>
        <v>25</v>
      </c>
      <c r="L40" s="32">
        <v>70</v>
      </c>
      <c r="M40" s="33">
        <f t="shared" si="1"/>
        <v>1750</v>
      </c>
    </row>
    <row r="41" spans="1:13" s="24" customFormat="1" ht="12" x14ac:dyDescent="0.15">
      <c r="A41" s="31">
        <v>6</v>
      </c>
      <c r="B41" s="34">
        <v>25</v>
      </c>
      <c r="C41" s="31" t="s">
        <v>150</v>
      </c>
      <c r="D41" s="32" t="s">
        <v>119</v>
      </c>
      <c r="E41" s="31">
        <v>2012060001</v>
      </c>
      <c r="F41" s="31" t="s">
        <v>74</v>
      </c>
      <c r="G41" s="32" t="s">
        <v>141</v>
      </c>
      <c r="H41" s="32" t="s">
        <v>145</v>
      </c>
      <c r="I41" s="32" t="s">
        <v>123</v>
      </c>
      <c r="J41" s="34">
        <v>45</v>
      </c>
      <c r="K41" s="32">
        <f t="shared" si="0"/>
        <v>45</v>
      </c>
      <c r="L41" s="32">
        <v>185</v>
      </c>
      <c r="M41" s="33">
        <f t="shared" si="1"/>
        <v>8325</v>
      </c>
    </row>
    <row r="42" spans="1:13" s="24" customFormat="1" ht="12" x14ac:dyDescent="0.15">
      <c r="A42" s="31">
        <v>6</v>
      </c>
      <c r="B42" s="34">
        <v>25</v>
      </c>
      <c r="C42" s="31" t="s">
        <v>152</v>
      </c>
      <c r="D42" s="32" t="s">
        <v>129</v>
      </c>
      <c r="E42" s="31">
        <v>2012060001</v>
      </c>
      <c r="F42" s="31" t="s">
        <v>76</v>
      </c>
      <c r="G42" s="32" t="s">
        <v>141</v>
      </c>
      <c r="H42" s="32" t="s">
        <v>77</v>
      </c>
      <c r="I42" s="32" t="s">
        <v>123</v>
      </c>
      <c r="J42" s="34">
        <v>65</v>
      </c>
      <c r="K42" s="32">
        <f t="shared" si="0"/>
        <v>65</v>
      </c>
      <c r="L42" s="32">
        <v>412.5</v>
      </c>
      <c r="M42" s="33">
        <f t="shared" si="1"/>
        <v>26812.5</v>
      </c>
    </row>
    <row r="43" spans="1:13" s="24" customFormat="1" ht="12" x14ac:dyDescent="0.15">
      <c r="A43" s="31">
        <v>6</v>
      </c>
      <c r="B43" s="34">
        <v>25</v>
      </c>
      <c r="C43" s="31" t="s">
        <v>153</v>
      </c>
      <c r="D43" s="32" t="s">
        <v>133</v>
      </c>
      <c r="E43" s="31">
        <v>2012060001</v>
      </c>
      <c r="F43" s="31" t="s">
        <v>146</v>
      </c>
      <c r="G43" s="32" t="s">
        <v>121</v>
      </c>
      <c r="H43" s="32" t="s">
        <v>122</v>
      </c>
      <c r="I43" s="32" t="s">
        <v>123</v>
      </c>
      <c r="J43" s="34">
        <v>78</v>
      </c>
      <c r="K43" s="32">
        <f t="shared" si="0"/>
        <v>78</v>
      </c>
      <c r="L43" s="32">
        <v>0.25</v>
      </c>
      <c r="M43" s="33">
        <f t="shared" si="1"/>
        <v>19.5</v>
      </c>
    </row>
    <row r="44" spans="1:13" s="24" customFormat="1" ht="12" x14ac:dyDescent="0.15">
      <c r="A44" s="31">
        <v>6</v>
      </c>
      <c r="B44" s="34">
        <v>26</v>
      </c>
      <c r="C44" s="31" t="s">
        <v>154</v>
      </c>
      <c r="D44" s="32" t="s">
        <v>139</v>
      </c>
      <c r="E44" s="31">
        <v>2012060001</v>
      </c>
      <c r="F44" s="31" t="s">
        <v>40</v>
      </c>
      <c r="G44" s="32" t="s">
        <v>121</v>
      </c>
      <c r="H44" s="32" t="s">
        <v>124</v>
      </c>
      <c r="I44" s="32" t="s">
        <v>123</v>
      </c>
      <c r="J44" s="34">
        <v>52</v>
      </c>
      <c r="K44" s="32">
        <f t="shared" si="0"/>
        <v>52</v>
      </c>
      <c r="L44" s="32">
        <v>0.33</v>
      </c>
      <c r="M44" s="33">
        <f t="shared" si="1"/>
        <v>17.16</v>
      </c>
    </row>
    <row r="45" spans="1:13" s="24" customFormat="1" ht="12" x14ac:dyDescent="0.15">
      <c r="A45" s="31">
        <v>6</v>
      </c>
      <c r="B45" s="34">
        <v>28</v>
      </c>
      <c r="C45" s="31" t="s">
        <v>155</v>
      </c>
      <c r="D45" s="32" t="s">
        <v>147</v>
      </c>
      <c r="E45" s="31">
        <v>2012060001</v>
      </c>
      <c r="F45" s="31" t="s">
        <v>42</v>
      </c>
      <c r="G45" s="32" t="s">
        <v>121</v>
      </c>
      <c r="H45" s="32" t="s">
        <v>125</v>
      </c>
      <c r="I45" s="32" t="s">
        <v>123</v>
      </c>
      <c r="J45" s="34">
        <v>52</v>
      </c>
      <c r="K45" s="32">
        <f t="shared" si="0"/>
        <v>52</v>
      </c>
      <c r="L45" s="32">
        <v>0.57999999999999996</v>
      </c>
      <c r="M45" s="33">
        <f t="shared" si="1"/>
        <v>30.16</v>
      </c>
    </row>
    <row r="46" spans="1:13" s="24" customFormat="1" ht="12" x14ac:dyDescent="0.15">
      <c r="A46" s="31">
        <v>6</v>
      </c>
      <c r="B46" s="34">
        <v>28</v>
      </c>
      <c r="C46" s="31" t="s">
        <v>156</v>
      </c>
      <c r="D46" s="32" t="s">
        <v>148</v>
      </c>
      <c r="E46" s="31">
        <v>2012060001</v>
      </c>
      <c r="F46" s="31" t="s">
        <v>44</v>
      </c>
      <c r="G46" s="32" t="s">
        <v>121</v>
      </c>
      <c r="H46" s="32" t="s">
        <v>126</v>
      </c>
      <c r="I46" s="32" t="s">
        <v>123</v>
      </c>
      <c r="J46" s="34">
        <v>10</v>
      </c>
      <c r="K46" s="32">
        <f t="shared" si="0"/>
        <v>10</v>
      </c>
      <c r="L46" s="32">
        <v>0.89</v>
      </c>
      <c r="M46" s="33">
        <f t="shared" si="1"/>
        <v>8.9</v>
      </c>
    </row>
    <row r="47" spans="1:13" s="24" customFormat="1" ht="12" x14ac:dyDescent="0.15">
      <c r="A47" s="31">
        <v>6</v>
      </c>
      <c r="B47" s="34">
        <v>28</v>
      </c>
      <c r="C47" s="31" t="s">
        <v>157</v>
      </c>
      <c r="D47" s="32" t="s">
        <v>149</v>
      </c>
      <c r="E47" s="31">
        <v>2012060001</v>
      </c>
      <c r="F47" s="31" t="s">
        <v>146</v>
      </c>
      <c r="G47" s="32" t="s">
        <v>121</v>
      </c>
      <c r="H47" s="32" t="s">
        <v>122</v>
      </c>
      <c r="I47" s="32" t="s">
        <v>123</v>
      </c>
      <c r="J47" s="34">
        <v>55</v>
      </c>
      <c r="K47" s="32">
        <f t="shared" si="0"/>
        <v>55</v>
      </c>
      <c r="L47" s="32">
        <v>0.25</v>
      </c>
      <c r="M47" s="33">
        <f t="shared" si="1"/>
        <v>13.75</v>
      </c>
    </row>
    <row r="48" spans="1:13" s="24" customFormat="1" ht="12" x14ac:dyDescent="0.15">
      <c r="A48" s="31">
        <v>6</v>
      </c>
      <c r="B48" s="34">
        <v>28</v>
      </c>
      <c r="C48" s="31" t="s">
        <v>153</v>
      </c>
      <c r="D48" s="32" t="s">
        <v>133</v>
      </c>
      <c r="E48" s="31">
        <v>2012060001</v>
      </c>
      <c r="F48" s="31" t="s">
        <v>40</v>
      </c>
      <c r="G48" s="32" t="s">
        <v>121</v>
      </c>
      <c r="H48" s="32" t="s">
        <v>124</v>
      </c>
      <c r="I48" s="32" t="s">
        <v>123</v>
      </c>
      <c r="J48" s="34">
        <v>12</v>
      </c>
      <c r="K48" s="32">
        <f t="shared" si="0"/>
        <v>12</v>
      </c>
      <c r="L48" s="32">
        <v>0.33</v>
      </c>
      <c r="M48" s="33">
        <f t="shared" si="1"/>
        <v>3.96</v>
      </c>
    </row>
    <row r="49" spans="1:13" s="24" customFormat="1" ht="12" x14ac:dyDescent="0.15">
      <c r="A49" s="31">
        <v>6</v>
      </c>
      <c r="B49" s="34">
        <v>28</v>
      </c>
      <c r="C49" s="31" t="s">
        <v>154</v>
      </c>
      <c r="D49" s="32" t="s">
        <v>139</v>
      </c>
      <c r="E49" s="31">
        <v>2012060001</v>
      </c>
      <c r="F49" s="31" t="s">
        <v>42</v>
      </c>
      <c r="G49" s="32" t="s">
        <v>121</v>
      </c>
      <c r="H49" s="32" t="s">
        <v>125</v>
      </c>
      <c r="I49" s="32" t="s">
        <v>123</v>
      </c>
      <c r="J49" s="34">
        <v>10</v>
      </c>
      <c r="K49" s="32">
        <f t="shared" si="0"/>
        <v>10</v>
      </c>
      <c r="L49" s="32">
        <v>0.57999999999999996</v>
      </c>
      <c r="M49" s="33">
        <f t="shared" si="1"/>
        <v>5.8</v>
      </c>
    </row>
    <row r="50" spans="1:13" x14ac:dyDescent="0.15">
      <c r="D50" s="30" t="str">
        <f>IF(C50="","",VLOOKUP(C50,[1]部门!A:B,2,FALSE))</f>
        <v/>
      </c>
    </row>
  </sheetData>
  <mergeCells count="1">
    <mergeCell ref="A1:M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tabSelected="1" zoomScale="90" zoomScaleNormal="90" workbookViewId="0">
      <selection activeCell="T3" sqref="T3"/>
    </sheetView>
  </sheetViews>
  <sheetFormatPr defaultRowHeight="13.5" x14ac:dyDescent="0.15"/>
  <cols>
    <col min="1" max="2" width="5.75" customWidth="1"/>
    <col min="3" max="3" width="8.375" customWidth="1"/>
    <col min="4" max="4" width="11.125" customWidth="1"/>
    <col min="5" max="5" width="5.25" customWidth="1"/>
    <col min="6" max="6" width="8.75" customWidth="1"/>
    <col min="7" max="7" width="9.25" customWidth="1"/>
    <col min="8" max="8" width="9.125" customWidth="1"/>
    <col min="9" max="9" width="7.875" customWidth="1"/>
    <col min="10" max="10" width="8.125" customWidth="1"/>
    <col min="15" max="15" width="9.125" customWidth="1"/>
    <col min="16" max="16" width="9.375" bestFit="1" customWidth="1"/>
    <col min="17" max="17" width="10.25" bestFit="1" customWidth="1"/>
    <col min="18" max="18" width="3.625" customWidth="1"/>
  </cols>
  <sheetData>
    <row r="1" spans="1:18" ht="50.25" customHeight="1" x14ac:dyDescent="0.15">
      <c r="B1" s="77" t="s">
        <v>188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18" ht="15.75" customHeight="1" x14ac:dyDescent="0.15">
      <c r="A2" s="35"/>
      <c r="B2" s="83" t="s">
        <v>189</v>
      </c>
      <c r="C2" s="83"/>
      <c r="D2" s="83"/>
      <c r="E2" s="83" t="s">
        <v>190</v>
      </c>
      <c r="F2" s="83"/>
      <c r="G2" s="83"/>
      <c r="H2" s="83"/>
      <c r="I2" s="83"/>
      <c r="J2" s="83"/>
      <c r="K2" s="83"/>
      <c r="L2" s="83" t="s">
        <v>191</v>
      </c>
      <c r="M2" s="83"/>
      <c r="N2" s="83"/>
      <c r="O2" s="84">
        <v>41090</v>
      </c>
      <c r="P2" s="84"/>
      <c r="Q2" s="84"/>
      <c r="R2" s="84"/>
    </row>
    <row r="3" spans="1:18" s="24" customFormat="1" ht="14.25" thickBot="1" x14ac:dyDescent="0.2">
      <c r="B3" s="83" t="s">
        <v>192</v>
      </c>
      <c r="C3" s="83"/>
      <c r="D3" s="83"/>
      <c r="E3" s="83" t="s">
        <v>193</v>
      </c>
      <c r="F3" s="83"/>
      <c r="G3" s="83"/>
      <c r="H3" s="83"/>
      <c r="I3" s="83"/>
      <c r="J3" s="83"/>
      <c r="K3" s="83"/>
      <c r="L3" s="83" t="s">
        <v>194</v>
      </c>
      <c r="M3" s="83"/>
      <c r="N3" s="83"/>
      <c r="O3" s="85" t="s">
        <v>195</v>
      </c>
      <c r="P3" s="86"/>
      <c r="Q3" s="86"/>
      <c r="R3" s="87"/>
    </row>
    <row r="4" spans="1:18" ht="18.75" x14ac:dyDescent="0.15">
      <c r="B4" s="78" t="s">
        <v>159</v>
      </c>
      <c r="C4" s="79"/>
      <c r="D4" s="79"/>
      <c r="E4" s="79"/>
      <c r="F4" s="80">
        <f>SUBTOTAL(9,H7:H25)</f>
        <v>156737.35</v>
      </c>
      <c r="G4" s="81"/>
      <c r="H4" s="82"/>
      <c r="I4" s="80">
        <f t="shared" ref="I4" si="0">SUBTOTAL(9,K7:K25)</f>
        <v>6389778.6200000001</v>
      </c>
      <c r="J4" s="81"/>
      <c r="K4" s="82"/>
      <c r="L4" s="80">
        <f t="shared" ref="L4" si="1">SUBTOTAL(9,N7:N25)</f>
        <v>189242.78</v>
      </c>
      <c r="M4" s="81"/>
      <c r="N4" s="82"/>
      <c r="O4" s="80">
        <f t="shared" ref="O4" si="2">SUBTOTAL(9,Q7:Q25)</f>
        <v>6357273.1899999995</v>
      </c>
      <c r="P4" s="81"/>
      <c r="Q4" s="82"/>
      <c r="R4" s="74" t="s">
        <v>173</v>
      </c>
    </row>
    <row r="5" spans="1:18" ht="15.75" x14ac:dyDescent="0.15">
      <c r="B5" s="50" t="s">
        <v>160</v>
      </c>
      <c r="C5" s="39" t="s">
        <v>161</v>
      </c>
      <c r="D5" s="39" t="s">
        <v>162</v>
      </c>
      <c r="E5" s="38" t="s">
        <v>163</v>
      </c>
      <c r="F5" s="68" t="s">
        <v>164</v>
      </c>
      <c r="G5" s="69"/>
      <c r="H5" s="69"/>
      <c r="I5" s="70" t="s">
        <v>165</v>
      </c>
      <c r="J5" s="71"/>
      <c r="K5" s="71"/>
      <c r="L5" s="72" t="s">
        <v>166</v>
      </c>
      <c r="M5" s="73"/>
      <c r="N5" s="73"/>
      <c r="O5" s="70" t="s">
        <v>167</v>
      </c>
      <c r="P5" s="71"/>
      <c r="Q5" s="71"/>
      <c r="R5" s="75"/>
    </row>
    <row r="6" spans="1:18" ht="14.25" thickBot="1" x14ac:dyDescent="0.2">
      <c r="B6" s="51" t="s">
        <v>168</v>
      </c>
      <c r="C6" s="39" t="s">
        <v>169</v>
      </c>
      <c r="D6" s="39" t="s">
        <v>170</v>
      </c>
      <c r="E6" s="39" t="s">
        <v>171</v>
      </c>
      <c r="F6" s="45" t="s">
        <v>175</v>
      </c>
      <c r="G6" s="45" t="s">
        <v>174</v>
      </c>
      <c r="H6" s="45" t="s">
        <v>172</v>
      </c>
      <c r="I6" s="39" t="s">
        <v>175</v>
      </c>
      <c r="J6" s="39" t="s">
        <v>174</v>
      </c>
      <c r="K6" s="39" t="s">
        <v>172</v>
      </c>
      <c r="L6" s="42" t="s">
        <v>175</v>
      </c>
      <c r="M6" s="42" t="s">
        <v>174</v>
      </c>
      <c r="N6" s="42" t="s">
        <v>172</v>
      </c>
      <c r="O6" s="39" t="s">
        <v>175</v>
      </c>
      <c r="P6" s="39" t="s">
        <v>174</v>
      </c>
      <c r="Q6" s="39" t="s">
        <v>187</v>
      </c>
      <c r="R6" s="76"/>
    </row>
    <row r="7" spans="1:18" s="36" customFormat="1" ht="12" x14ac:dyDescent="0.15">
      <c r="B7" s="52" t="s">
        <v>96</v>
      </c>
      <c r="C7" s="40" t="str">
        <f>VLOOKUP($B7,[2]上月余额!$A:$F,2,FALSE)</f>
        <v>电阻</v>
      </c>
      <c r="D7" s="40" t="str">
        <f>VLOOKUP($B7,[2]上月余额!$A:$F,3,FALSE)</f>
        <v>25Ω</v>
      </c>
      <c r="E7" s="40" t="str">
        <f>VLOOKUP($B7,[2]上月余额!$A:$F,4,FALSE)</f>
        <v>支</v>
      </c>
      <c r="F7" s="46">
        <v>0.25</v>
      </c>
      <c r="G7" s="46">
        <v>500</v>
      </c>
      <c r="H7" s="46">
        <v>125</v>
      </c>
      <c r="I7" s="40">
        <f>基础数据表!G3</f>
        <v>0.25</v>
      </c>
      <c r="J7" s="40">
        <f>IF($B7="","",SUMIF(材料入库明细表!$G$4:$G$83,$B7,材料入库明细表!$K$4:$K$83))</f>
        <v>2200</v>
      </c>
      <c r="K7" s="40">
        <f>I7*J7</f>
        <v>550</v>
      </c>
      <c r="L7" s="44">
        <f>基础数据表!G3</f>
        <v>0.25</v>
      </c>
      <c r="M7" s="43">
        <f>IF($B7="","",SUMIF(本月领取情况记录表!$F$5:$F$49,$B7,本月领取情况记录表!$K$5:$K$49))</f>
        <v>2333</v>
      </c>
      <c r="N7" s="43">
        <f>L7*M7</f>
        <v>583.25</v>
      </c>
      <c r="O7" s="40">
        <f>基础数据表!G3</f>
        <v>0.25</v>
      </c>
      <c r="P7" s="61">
        <f>IF(B7="","",G7+J7-M7)</f>
        <v>367</v>
      </c>
      <c r="Q7" s="41">
        <f>O7*P7</f>
        <v>91.75</v>
      </c>
      <c r="R7" s="62">
        <f>COUNTIF($B$7:$B$25,B7)</f>
        <v>1</v>
      </c>
    </row>
    <row r="8" spans="1:18" s="36" customFormat="1" ht="12" x14ac:dyDescent="0.15">
      <c r="B8" s="53" t="s">
        <v>40</v>
      </c>
      <c r="C8" s="40" t="str">
        <f>VLOOKUP(B8,[2]上月余额!A:F,2,FALSE)</f>
        <v>电阻</v>
      </c>
      <c r="D8" s="40" t="str">
        <f>VLOOKUP($B8,[2]上月余额!$A:$F,3,FALSE)</f>
        <v>32Ω</v>
      </c>
      <c r="E8" s="40" t="str">
        <f>VLOOKUP($B8,[2]上月余额!$A:$F,4,FALSE)</f>
        <v>支</v>
      </c>
      <c r="F8" s="46">
        <v>0.33</v>
      </c>
      <c r="G8" s="46">
        <v>10000</v>
      </c>
      <c r="H8" s="46">
        <v>3300</v>
      </c>
      <c r="I8" s="40">
        <f>基础数据表!G4</f>
        <v>0.33</v>
      </c>
      <c r="J8" s="40">
        <f>IF($B8="","",SUMIF(材料入库明细表!$G$4:$G$83,$B8,材料入库明细表!$K$4:$K$83))</f>
        <v>950</v>
      </c>
      <c r="K8" s="40">
        <f t="shared" ref="K8:K25" si="3">I8*J8</f>
        <v>313.5</v>
      </c>
      <c r="L8" s="44">
        <f>基础数据表!G4</f>
        <v>0.33</v>
      </c>
      <c r="M8" s="43">
        <f>IF($B8="","",SUMIF(本月领取情况记录表!$F$5:$F$49,$B8,本月领取情况记录表!$K$5:$K$49))</f>
        <v>7864</v>
      </c>
      <c r="N8" s="43">
        <f t="shared" ref="N8:N19" si="4">L8*M8</f>
        <v>2595.1200000000003</v>
      </c>
      <c r="O8" s="40">
        <f>基础数据表!G4</f>
        <v>0.33</v>
      </c>
      <c r="P8" s="61">
        <f t="shared" ref="P8:P25" si="5">IF(B8="","",G8+J8-M8)</f>
        <v>3086</v>
      </c>
      <c r="Q8" s="41">
        <f t="shared" ref="Q8:Q17" si="6">O8*P8</f>
        <v>1018.38</v>
      </c>
      <c r="R8" s="62">
        <f t="shared" ref="R8:R16" si="7">COUNTIF($B$7:$B$25,B8)</f>
        <v>1</v>
      </c>
    </row>
    <row r="9" spans="1:18" s="36" customFormat="1" ht="12" x14ac:dyDescent="0.15">
      <c r="B9" s="53" t="s">
        <v>42</v>
      </c>
      <c r="C9" s="40" t="str">
        <f>VLOOKUP(B9,[2]上月余额!A:F,2,FALSE)</f>
        <v>电阻</v>
      </c>
      <c r="D9" s="40" t="str">
        <f>VLOOKUP($B9,[2]上月余额!$A:$F,3,FALSE)</f>
        <v>100Ω</v>
      </c>
      <c r="E9" s="40" t="str">
        <f>VLOOKUP($B9,[2]上月余额!$A:$F,4,FALSE)</f>
        <v>支</v>
      </c>
      <c r="F9" s="46">
        <v>0.57999999999999996</v>
      </c>
      <c r="G9" s="46">
        <v>820</v>
      </c>
      <c r="H9" s="46">
        <v>475.6</v>
      </c>
      <c r="I9" s="40">
        <f>基础数据表!G5</f>
        <v>0.57999999999999996</v>
      </c>
      <c r="J9" s="40">
        <f>IF($B9="","",SUMIF(材料入库明细表!$G$4:$G$83,$B9,材料入库明细表!$K$4:$K$83))</f>
        <v>11340</v>
      </c>
      <c r="K9" s="40">
        <f t="shared" si="3"/>
        <v>6577.2</v>
      </c>
      <c r="L9" s="44">
        <f>基础数据表!G5</f>
        <v>0.57999999999999996</v>
      </c>
      <c r="M9" s="43">
        <f>IF($B9="","",SUMIF(本月领取情况记录表!$F$5:$F$49,$B9,本月领取情况记录表!$K$5:$K$49))</f>
        <v>902</v>
      </c>
      <c r="N9" s="43">
        <f t="shared" si="4"/>
        <v>523.16</v>
      </c>
      <c r="O9" s="40">
        <f>基础数据表!G5</f>
        <v>0.57999999999999996</v>
      </c>
      <c r="P9" s="61">
        <f t="shared" si="5"/>
        <v>11258</v>
      </c>
      <c r="Q9" s="41">
        <f t="shared" si="6"/>
        <v>6529.6399999999994</v>
      </c>
      <c r="R9" s="62">
        <f t="shared" si="7"/>
        <v>1</v>
      </c>
    </row>
    <row r="10" spans="1:18" s="36" customFormat="1" ht="12" x14ac:dyDescent="0.15">
      <c r="B10" s="53" t="s">
        <v>44</v>
      </c>
      <c r="C10" s="40" t="str">
        <f>VLOOKUP(B10,[2]上月余额!A:F,2,FALSE)</f>
        <v>电阻</v>
      </c>
      <c r="D10" s="40" t="str">
        <f>VLOOKUP($B10,[2]上月余额!$A:$F,3,FALSE)</f>
        <v>320Ω</v>
      </c>
      <c r="E10" s="40" t="str">
        <f>VLOOKUP($B10,[2]上月余额!$A:$F,4,FALSE)</f>
        <v>支</v>
      </c>
      <c r="F10" s="46">
        <v>0.89</v>
      </c>
      <c r="G10" s="46">
        <v>1580</v>
      </c>
      <c r="H10" s="46">
        <v>1406.2</v>
      </c>
      <c r="I10" s="40">
        <f>基础数据表!G6</f>
        <v>0.89</v>
      </c>
      <c r="J10" s="40">
        <f>IF($B10="","",SUMIF(材料入库明细表!$G$4:$G$83,$B10,材料入库明细表!$K$4:$K$83))</f>
        <v>9080</v>
      </c>
      <c r="K10" s="40">
        <f t="shared" si="3"/>
        <v>8081.2</v>
      </c>
      <c r="L10" s="44">
        <f>基础数据表!G6</f>
        <v>0.89</v>
      </c>
      <c r="M10" s="43">
        <f>IF($B10="","",SUMIF(本月领取情况记录表!$F$5:$F$49,$B10,本月领取情况记录表!$K$5:$K$49))</f>
        <v>1290</v>
      </c>
      <c r="N10" s="43">
        <f t="shared" si="4"/>
        <v>1148.0999999999999</v>
      </c>
      <c r="O10" s="40">
        <f>基础数据表!G6</f>
        <v>0.89</v>
      </c>
      <c r="P10" s="61">
        <f t="shared" si="5"/>
        <v>9370</v>
      </c>
      <c r="Q10" s="41">
        <f t="shared" si="6"/>
        <v>8339.2999999999993</v>
      </c>
      <c r="R10" s="62">
        <f t="shared" si="7"/>
        <v>1</v>
      </c>
    </row>
    <row r="11" spans="1:18" s="36" customFormat="1" ht="12" x14ac:dyDescent="0.15">
      <c r="B11" s="53" t="s">
        <v>46</v>
      </c>
      <c r="C11" s="40" t="str">
        <f>VLOOKUP(B11,[2]上月余额!A:F,2,FALSE)</f>
        <v>电阻</v>
      </c>
      <c r="D11" s="40" t="str">
        <f>VLOOKUP($B11,[2]上月余额!$A:$F,3,FALSE)</f>
        <v>29Ω</v>
      </c>
      <c r="E11" s="40" t="str">
        <f>VLOOKUP($B11,[2]上月余额!$A:$F,4,FALSE)</f>
        <v>支</v>
      </c>
      <c r="F11" s="46">
        <v>0.21</v>
      </c>
      <c r="G11" s="46">
        <v>700</v>
      </c>
      <c r="H11" s="46">
        <v>147</v>
      </c>
      <c r="I11" s="40">
        <f>基础数据表!G7</f>
        <v>0.21</v>
      </c>
      <c r="J11" s="40">
        <f>IF($B11="","",SUMIF(材料入库明细表!$G$4:$G$83,$B11,材料入库明细表!$K$4:$K$83))</f>
        <v>5510</v>
      </c>
      <c r="K11" s="40">
        <f t="shared" si="3"/>
        <v>1157.0999999999999</v>
      </c>
      <c r="L11" s="44">
        <f>基础数据表!G7</f>
        <v>0.21</v>
      </c>
      <c r="M11" s="43">
        <f>IF($B11="","",SUMIF(本月领取情况记录表!$F$5:$F$49,$B11,本月领取情况记录表!$K$5:$K$49))</f>
        <v>595</v>
      </c>
      <c r="N11" s="43">
        <f t="shared" si="4"/>
        <v>124.94999999999999</v>
      </c>
      <c r="O11" s="40">
        <f>基础数据表!G7</f>
        <v>0.21</v>
      </c>
      <c r="P11" s="61">
        <f t="shared" si="5"/>
        <v>5615</v>
      </c>
      <c r="Q11" s="41">
        <f t="shared" si="6"/>
        <v>1179.1499999999999</v>
      </c>
      <c r="R11" s="62">
        <f t="shared" si="7"/>
        <v>1</v>
      </c>
    </row>
    <row r="12" spans="1:18" s="36" customFormat="1" ht="12" x14ac:dyDescent="0.15">
      <c r="B12" s="53" t="s">
        <v>48</v>
      </c>
      <c r="C12" s="40" t="str">
        <f>VLOOKUP(B12,[2]上月余额!A:F,2,FALSE)</f>
        <v>电阻</v>
      </c>
      <c r="D12" s="40" t="str">
        <f>VLOOKUP($B12,[2]上月余额!$A:$F,3,FALSE)</f>
        <v>30Ω</v>
      </c>
      <c r="E12" s="40" t="str">
        <f>VLOOKUP($B12,[2]上月余额!$A:$F,4,FALSE)</f>
        <v>支</v>
      </c>
      <c r="F12" s="46">
        <v>0.36</v>
      </c>
      <c r="G12" s="46">
        <v>980</v>
      </c>
      <c r="H12" s="46">
        <v>352.8</v>
      </c>
      <c r="I12" s="40">
        <f>基础数据表!G8</f>
        <v>0.36</v>
      </c>
      <c r="J12" s="40">
        <f>IF($B12="","",SUMIF(材料入库明细表!$G$4:$G$83,$B12,材料入库明细表!$K$4:$K$83))</f>
        <v>4427</v>
      </c>
      <c r="K12" s="40">
        <f t="shared" si="3"/>
        <v>1593.72</v>
      </c>
      <c r="L12" s="44">
        <f>基础数据表!G8</f>
        <v>0.36</v>
      </c>
      <c r="M12" s="43">
        <f>IF($B12="","",SUMIF(本月领取情况记录表!$F$5:$F$49,$B12,本月领取情况记录表!$K$5:$K$49))</f>
        <v>320</v>
      </c>
      <c r="N12" s="43">
        <f t="shared" si="4"/>
        <v>115.19999999999999</v>
      </c>
      <c r="O12" s="40">
        <f>基础数据表!G8</f>
        <v>0.36</v>
      </c>
      <c r="P12" s="61">
        <f t="shared" si="5"/>
        <v>5087</v>
      </c>
      <c r="Q12" s="41">
        <f t="shared" si="6"/>
        <v>1831.32</v>
      </c>
      <c r="R12" s="62">
        <f t="shared" si="7"/>
        <v>1</v>
      </c>
    </row>
    <row r="13" spans="1:18" s="36" customFormat="1" ht="12" x14ac:dyDescent="0.15">
      <c r="B13" s="53" t="s">
        <v>98</v>
      </c>
      <c r="C13" s="40" t="str">
        <f>VLOOKUP(B13,[2]上月余额!A:F,2,FALSE)</f>
        <v>电容</v>
      </c>
      <c r="D13" s="40" t="str">
        <f>VLOOKUP($B13,[2]上月余额!$A:$F,3,FALSE)</f>
        <v>10F</v>
      </c>
      <c r="E13" s="40" t="str">
        <f>VLOOKUP($B13,[2]上月余额!$A:$F,4,FALSE)</f>
        <v>支</v>
      </c>
      <c r="F13" s="46">
        <v>0.78</v>
      </c>
      <c r="G13" s="46">
        <v>700</v>
      </c>
      <c r="H13" s="46">
        <v>546</v>
      </c>
      <c r="I13" s="40">
        <f>基础数据表!G9</f>
        <v>0.78</v>
      </c>
      <c r="J13" s="40">
        <f>IF($B13="","",SUMIF(材料入库明细表!$G$4:$G$83,$B13,材料入库明细表!$K$4:$K$83))</f>
        <v>16120</v>
      </c>
      <c r="K13" s="40">
        <f t="shared" si="3"/>
        <v>12573.6</v>
      </c>
      <c r="L13" s="44">
        <f>基础数据表!G9</f>
        <v>0.78</v>
      </c>
      <c r="M13" s="43">
        <f>IF($B13="","",SUMIF(本月领取情况记录表!$F$5:$F$49,$B13,本月领取情况记录表!$K$5:$K$49))</f>
        <v>210</v>
      </c>
      <c r="N13" s="43">
        <f t="shared" si="4"/>
        <v>163.80000000000001</v>
      </c>
      <c r="O13" s="40">
        <f>基础数据表!G9</f>
        <v>0.78</v>
      </c>
      <c r="P13" s="61">
        <f t="shared" si="5"/>
        <v>16610</v>
      </c>
      <c r="Q13" s="41">
        <f t="shared" si="6"/>
        <v>12955.800000000001</v>
      </c>
      <c r="R13" s="62">
        <f t="shared" si="7"/>
        <v>1</v>
      </c>
    </row>
    <row r="14" spans="1:18" s="36" customFormat="1" ht="12" x14ac:dyDescent="0.15">
      <c r="B14" s="53" t="s">
        <v>53</v>
      </c>
      <c r="C14" s="40" t="str">
        <f>VLOOKUP(B14,[2]上月余额!A:F,2,FALSE)</f>
        <v>电容</v>
      </c>
      <c r="D14" s="40" t="str">
        <f>VLOOKUP($B14,[2]上月余额!$A:$F,3,FALSE)</f>
        <v>18F</v>
      </c>
      <c r="E14" s="40" t="str">
        <f>VLOOKUP($B14,[2]上月余额!$A:$F,4,FALSE)</f>
        <v>支</v>
      </c>
      <c r="F14" s="46">
        <v>0.65</v>
      </c>
      <c r="G14" s="46">
        <v>850</v>
      </c>
      <c r="H14" s="46">
        <v>552.5</v>
      </c>
      <c r="I14" s="40">
        <f>基础数据表!G10</f>
        <v>0.65</v>
      </c>
      <c r="J14" s="40">
        <f>IF($B14="","",SUMIF(材料入库明细表!$G$4:$G$83,$B14,材料入库明细表!$K$4:$K$83))</f>
        <v>1825</v>
      </c>
      <c r="K14" s="40">
        <f t="shared" si="3"/>
        <v>1186.25</v>
      </c>
      <c r="L14" s="44">
        <f>基础数据表!G10</f>
        <v>0.65</v>
      </c>
      <c r="M14" s="43">
        <f>IF($B14="","",SUMIF(本月领取情况记录表!$F$5:$F$49,$B14,本月领取情况记录表!$K$5:$K$49))</f>
        <v>120</v>
      </c>
      <c r="N14" s="43">
        <f t="shared" si="4"/>
        <v>78</v>
      </c>
      <c r="O14" s="40">
        <f>基础数据表!G10</f>
        <v>0.65</v>
      </c>
      <c r="P14" s="61">
        <f t="shared" si="5"/>
        <v>2555</v>
      </c>
      <c r="Q14" s="41">
        <f t="shared" si="6"/>
        <v>1660.75</v>
      </c>
      <c r="R14" s="62">
        <f t="shared" si="7"/>
        <v>1</v>
      </c>
    </row>
    <row r="15" spans="1:18" s="36" customFormat="1" ht="12" x14ac:dyDescent="0.15">
      <c r="B15" s="53" t="s">
        <v>55</v>
      </c>
      <c r="C15" s="40" t="str">
        <f>VLOOKUP(B15,[2]上月余额!A:F,2,FALSE)</f>
        <v>电容</v>
      </c>
      <c r="D15" s="40" t="str">
        <f>VLOOKUP($B15,[2]上月余额!$A:$F,3,FALSE)</f>
        <v>50F</v>
      </c>
      <c r="E15" s="40" t="str">
        <f>VLOOKUP($B15,[2]上月余额!$A:$F,4,FALSE)</f>
        <v>支</v>
      </c>
      <c r="F15" s="46">
        <v>0.75</v>
      </c>
      <c r="G15" s="46">
        <v>456</v>
      </c>
      <c r="H15" s="46">
        <v>342</v>
      </c>
      <c r="I15" s="40">
        <f>基础数据表!G11</f>
        <v>0.75</v>
      </c>
      <c r="J15" s="40">
        <f>IF($B15="","",SUMIF(材料入库明细表!$G$4:$G$83,$B15,材料入库明细表!$K$4:$K$83))</f>
        <v>1533</v>
      </c>
      <c r="K15" s="40">
        <f t="shared" si="3"/>
        <v>1149.75</v>
      </c>
      <c r="L15" s="44">
        <f>基础数据表!G11</f>
        <v>0.75</v>
      </c>
      <c r="M15" s="43">
        <f>IF($B15="","",SUMIF(本月领取情况记录表!$F$5:$F$49,$B15,本月领取情况记录表!$K$5:$K$49))</f>
        <v>534</v>
      </c>
      <c r="N15" s="43">
        <f t="shared" si="4"/>
        <v>400.5</v>
      </c>
      <c r="O15" s="40">
        <f>基础数据表!G11</f>
        <v>0.75</v>
      </c>
      <c r="P15" s="61">
        <f t="shared" si="5"/>
        <v>1455</v>
      </c>
      <c r="Q15" s="41">
        <f>O15*P15</f>
        <v>1091.25</v>
      </c>
      <c r="R15" s="62">
        <f t="shared" si="7"/>
        <v>1</v>
      </c>
    </row>
    <row r="16" spans="1:18" s="36" customFormat="1" ht="12" x14ac:dyDescent="0.15">
      <c r="B16" s="53" t="s">
        <v>57</v>
      </c>
      <c r="C16" s="40" t="str">
        <f>VLOOKUP(B16,[2]上月余额!A:F,2,FALSE)</f>
        <v>电容</v>
      </c>
      <c r="D16" s="40" t="str">
        <f>VLOOKUP($B16,[2]上月余额!$A:$F,3,FALSE)</f>
        <v>100F</v>
      </c>
      <c r="E16" s="40" t="str">
        <f>VLOOKUP($B16,[2]上月余额!$A:$F,4,FALSE)</f>
        <v>支</v>
      </c>
      <c r="F16" s="46">
        <v>0.85</v>
      </c>
      <c r="G16" s="46">
        <v>1470</v>
      </c>
      <c r="H16" s="46">
        <v>1249.5</v>
      </c>
      <c r="I16" s="40">
        <f>基础数据表!G12</f>
        <v>0.85</v>
      </c>
      <c r="J16" s="40">
        <f>IF($B16="","",SUMIF(材料入库明细表!$G$4:$G$83,$B16,材料入库明细表!$K$4:$K$83))</f>
        <v>1720</v>
      </c>
      <c r="K16" s="40">
        <f t="shared" si="3"/>
        <v>1462</v>
      </c>
      <c r="L16" s="44">
        <f>基础数据表!G12</f>
        <v>0.85</v>
      </c>
      <c r="M16" s="43">
        <f>IF($B16="","",SUMIF(本月领取情况记录表!$F$5:$F$49,$B16,本月领取情况记录表!$K$5:$K$49))</f>
        <v>873</v>
      </c>
      <c r="N16" s="43">
        <f t="shared" si="4"/>
        <v>742.05</v>
      </c>
      <c r="O16" s="40">
        <f>基础数据表!G12</f>
        <v>0.85</v>
      </c>
      <c r="P16" s="61">
        <f t="shared" si="5"/>
        <v>2317</v>
      </c>
      <c r="Q16" s="41">
        <f t="shared" si="6"/>
        <v>1969.45</v>
      </c>
      <c r="R16" s="62">
        <f t="shared" si="7"/>
        <v>1</v>
      </c>
    </row>
    <row r="17" spans="2:18" s="36" customFormat="1" ht="12" x14ac:dyDescent="0.15">
      <c r="B17" s="53" t="s">
        <v>59</v>
      </c>
      <c r="C17" s="40" t="str">
        <f>VLOOKUP(B17,[2]上月余额!A:F,2,FALSE)</f>
        <v>电容</v>
      </c>
      <c r="D17" s="40" t="str">
        <f>VLOOKUP($B17,[2]上月余额!$A:$F,3,FALSE)</f>
        <v>25F</v>
      </c>
      <c r="E17" s="40" t="str">
        <f>VLOOKUP($B17,[2]上月余额!$A:$F,4,FALSE)</f>
        <v>支</v>
      </c>
      <c r="F17" s="46">
        <v>0.9</v>
      </c>
      <c r="G17" s="46">
        <v>840</v>
      </c>
      <c r="H17" s="46">
        <v>756</v>
      </c>
      <c r="I17" s="40">
        <f>基础数据表!G13</f>
        <v>0.9</v>
      </c>
      <c r="J17" s="40">
        <f>IF($B17="","",SUMIF(材料入库明细表!$G$4:$G$83,$B17,材料入库明细表!$K$4:$K$83))</f>
        <v>13562</v>
      </c>
      <c r="K17" s="40">
        <f t="shared" si="3"/>
        <v>12205.800000000001</v>
      </c>
      <c r="L17" s="44">
        <f>基础数据表!G13</f>
        <v>0.9</v>
      </c>
      <c r="M17" s="43">
        <f>IF($B17="","",SUMIF(本月领取情况记录表!$F$5:$F$49,$B17,本月领取情况记录表!$K$5:$K$49))</f>
        <v>641</v>
      </c>
      <c r="N17" s="43">
        <f t="shared" si="4"/>
        <v>576.9</v>
      </c>
      <c r="O17" s="40">
        <f>基础数据表!G13</f>
        <v>0.9</v>
      </c>
      <c r="P17" s="61">
        <f t="shared" si="5"/>
        <v>13761</v>
      </c>
      <c r="Q17" s="41">
        <f t="shared" si="6"/>
        <v>12384.9</v>
      </c>
      <c r="R17" s="62">
        <f t="shared" ref="R17:R25" si="8">COUNTIF($B$7:$B$25,B17)</f>
        <v>1</v>
      </c>
    </row>
    <row r="18" spans="2:18" s="36" customFormat="1" ht="12" x14ac:dyDescent="0.15">
      <c r="B18" s="53" t="s">
        <v>61</v>
      </c>
      <c r="C18" s="40" t="str">
        <f>VLOOKUP(B18,[2]上月余额!A:F,2,FALSE)</f>
        <v>电容</v>
      </c>
      <c r="D18" s="40" t="str">
        <f>VLOOKUP($B18,[2]上月余额!$A:$F,3,FALSE)</f>
        <v>0.5F</v>
      </c>
      <c r="E18" s="40" t="str">
        <f>VLOOKUP($B18,[2]上月余额!$A:$F,4,FALSE)</f>
        <v>支</v>
      </c>
      <c r="F18" s="46">
        <v>0.55000000000000004</v>
      </c>
      <c r="G18" s="46">
        <v>521</v>
      </c>
      <c r="H18" s="46">
        <v>286.55</v>
      </c>
      <c r="I18" s="40">
        <f>基础数据表!G14</f>
        <v>0.55000000000000004</v>
      </c>
      <c r="J18" s="40">
        <f>IF($B18="","",SUMIF(材料入库明细表!$G$4:$G$83,$B18,材料入库明细表!$K$4:$K$83))</f>
        <v>6150</v>
      </c>
      <c r="K18" s="40">
        <f t="shared" si="3"/>
        <v>3382.5000000000005</v>
      </c>
      <c r="L18" s="44">
        <f>基础数据表!G14</f>
        <v>0.55000000000000004</v>
      </c>
      <c r="M18" s="43">
        <f>IF($B18="","",SUMIF(本月领取情况记录表!$F$5:$F$49,$B18,本月领取情况记录表!$K$5:$K$49))</f>
        <v>763</v>
      </c>
      <c r="N18" s="43">
        <f t="shared" si="4"/>
        <v>419.65000000000003</v>
      </c>
      <c r="O18" s="40">
        <f>基础数据表!G14</f>
        <v>0.55000000000000004</v>
      </c>
      <c r="P18" s="61">
        <f t="shared" si="5"/>
        <v>5908</v>
      </c>
      <c r="Q18" s="41">
        <f t="shared" ref="Q18" si="9">O18*P18</f>
        <v>3249.4</v>
      </c>
      <c r="R18" s="62">
        <f t="shared" si="8"/>
        <v>1</v>
      </c>
    </row>
    <row r="19" spans="2:18" s="36" customFormat="1" ht="12" x14ac:dyDescent="0.15">
      <c r="B19" s="53" t="s">
        <v>100</v>
      </c>
      <c r="C19" s="40" t="str">
        <f>VLOOKUP(B19,[2]上月余额!A:F,2,FALSE)</f>
        <v>集成块</v>
      </c>
      <c r="D19" s="40" t="str">
        <f>VLOOKUP($B19,[2]上月余额!$A:$F,3,FALSE)</f>
        <v>AEu8139</v>
      </c>
      <c r="E19" s="40" t="str">
        <f>VLOOKUP($B19,[2]上月余额!$A:$F,4,FALSE)</f>
        <v>支</v>
      </c>
      <c r="F19" s="46">
        <v>58.5</v>
      </c>
      <c r="G19" s="46">
        <v>146</v>
      </c>
      <c r="H19" s="46">
        <v>8541</v>
      </c>
      <c r="I19" s="40">
        <f>基础数据表!G15</f>
        <v>58.5</v>
      </c>
      <c r="J19" s="40">
        <f>IF($B19="","",SUMIF(材料入库明细表!$G$4:$G$83,$B19,材料入库明细表!$K$4:$K$83))</f>
        <v>20900</v>
      </c>
      <c r="K19" s="40">
        <f t="shared" si="3"/>
        <v>1222650</v>
      </c>
      <c r="L19" s="44">
        <f>基础数据表!G15</f>
        <v>58.5</v>
      </c>
      <c r="M19" s="43">
        <f>IF($B19="","",SUMIF(本月领取情况记录表!$F$5:$F$49,$B19,本月领取情况记录表!$K$5:$K$49))</f>
        <v>355</v>
      </c>
      <c r="N19" s="43">
        <f t="shared" si="4"/>
        <v>20767.5</v>
      </c>
      <c r="O19" s="40">
        <f>基础数据表!G15</f>
        <v>58.5</v>
      </c>
      <c r="P19" s="61">
        <f t="shared" si="5"/>
        <v>20691</v>
      </c>
      <c r="Q19" s="41">
        <f t="shared" ref="Q19:Q25" si="10">O19*P19</f>
        <v>1210423.5</v>
      </c>
      <c r="R19" s="62">
        <f t="shared" si="8"/>
        <v>1</v>
      </c>
    </row>
    <row r="20" spans="2:18" s="36" customFormat="1" ht="12" x14ac:dyDescent="0.15">
      <c r="B20" s="53" t="s">
        <v>66</v>
      </c>
      <c r="C20" s="40" t="str">
        <f>VLOOKUP(B20,[2]上月余额!A:F,2,FALSE)</f>
        <v>集成块</v>
      </c>
      <c r="D20" s="40" t="str">
        <f>VLOOKUP($B20,[2]上月余额!$A:$F,3,FALSE)</f>
        <v>AEu8120</v>
      </c>
      <c r="E20" s="40" t="str">
        <f>VLOOKUP($B20,[2]上月余额!$A:$F,4,FALSE)</f>
        <v>支</v>
      </c>
      <c r="F20" s="46">
        <v>75.599999999999994</v>
      </c>
      <c r="G20" s="46">
        <v>300</v>
      </c>
      <c r="H20" s="46">
        <v>22680</v>
      </c>
      <c r="I20" s="40">
        <f>基础数据表!G16</f>
        <v>75.599999999999994</v>
      </c>
      <c r="J20" s="40">
        <f>IF($B20="","",SUMIF(材料入库明细表!$G$4:$G$83,$B20,材料入库明细表!$K$4:$K$83))</f>
        <v>8660</v>
      </c>
      <c r="K20" s="40">
        <f t="shared" si="3"/>
        <v>654696</v>
      </c>
      <c r="L20" s="44">
        <f>基础数据表!G16</f>
        <v>75.599999999999994</v>
      </c>
      <c r="M20" s="43">
        <f>IF($B20="","",SUMIF(本月领取情况记录表!$F$5:$F$49,$B20,本月领取情况记录表!$K$5:$K$49))</f>
        <v>278</v>
      </c>
      <c r="N20" s="43">
        <f t="shared" ref="N20:N25" si="11">L20*M20</f>
        <v>21016.799999999999</v>
      </c>
      <c r="O20" s="40">
        <f>基础数据表!G16</f>
        <v>75.599999999999994</v>
      </c>
      <c r="P20" s="61">
        <f t="shared" si="5"/>
        <v>8682</v>
      </c>
      <c r="Q20" s="41">
        <f t="shared" si="10"/>
        <v>656359.19999999995</v>
      </c>
      <c r="R20" s="62">
        <f t="shared" si="8"/>
        <v>1</v>
      </c>
    </row>
    <row r="21" spans="2:18" s="36" customFormat="1" ht="12" x14ac:dyDescent="0.15">
      <c r="B21" s="53" t="s">
        <v>68</v>
      </c>
      <c r="C21" s="40" t="str">
        <f>VLOOKUP(B21,[2]上月余额!A:F,2,FALSE)</f>
        <v>集成块</v>
      </c>
      <c r="D21" s="40" t="str">
        <f>VLOOKUP($B21,[2]上月余额!$A:$F,3,FALSE)</f>
        <v>AEu8141</v>
      </c>
      <c r="E21" s="40" t="str">
        <f>VLOOKUP($B21,[2]上月余额!$A:$F,4,FALSE)</f>
        <v>支</v>
      </c>
      <c r="F21" s="46">
        <v>124.85</v>
      </c>
      <c r="G21" s="46">
        <v>452</v>
      </c>
      <c r="H21" s="46">
        <v>56432.2</v>
      </c>
      <c r="I21" s="40">
        <f>基础数据表!G17</f>
        <v>124.85</v>
      </c>
      <c r="J21" s="40">
        <f>IF($B21="","",SUMIF(材料入库明细表!$G$4:$G$83,$B21,材料入库明细表!$K$4:$K$83))</f>
        <v>1000</v>
      </c>
      <c r="K21" s="40">
        <f t="shared" si="3"/>
        <v>124850</v>
      </c>
      <c r="L21" s="44">
        <f>基础数据表!G17</f>
        <v>124.85</v>
      </c>
      <c r="M21" s="43">
        <f>IF($B21="","",SUMIF(本月领取情况记录表!$F$5:$F$49,$B21,本月领取情况记录表!$K$5:$K$49))</f>
        <v>298</v>
      </c>
      <c r="N21" s="43">
        <f t="shared" si="11"/>
        <v>37205.299999999996</v>
      </c>
      <c r="O21" s="40">
        <f>基础数据表!G17</f>
        <v>124.85</v>
      </c>
      <c r="P21" s="61">
        <f t="shared" si="5"/>
        <v>1154</v>
      </c>
      <c r="Q21" s="41">
        <f t="shared" si="10"/>
        <v>144076.9</v>
      </c>
      <c r="R21" s="62">
        <f t="shared" si="8"/>
        <v>1</v>
      </c>
    </row>
    <row r="22" spans="2:18" s="36" customFormat="1" ht="12" x14ac:dyDescent="0.15">
      <c r="B22" s="53" t="s">
        <v>70</v>
      </c>
      <c r="C22" s="40" t="str">
        <f>VLOOKUP(B22,[2]上月余额!A:F,2,FALSE)</f>
        <v>集成块</v>
      </c>
      <c r="D22" s="40" t="str">
        <f>VLOOKUP($B22,[2]上月余额!$A:$F,3,FALSE)</f>
        <v>AEu8152</v>
      </c>
      <c r="E22" s="40" t="str">
        <f>VLOOKUP($B22,[2]上月余额!$A:$F,4,FALSE)</f>
        <v>支</v>
      </c>
      <c r="F22" s="46">
        <v>320</v>
      </c>
      <c r="G22" s="46">
        <v>125</v>
      </c>
      <c r="H22" s="46">
        <v>40000</v>
      </c>
      <c r="I22" s="40">
        <f>基础数据表!G18</f>
        <v>320</v>
      </c>
      <c r="J22" s="40">
        <f>IF($B22="","",SUMIF(材料入库明细表!$G$4:$G$83,$B22,材料入库明细表!$K$4:$K$83))</f>
        <v>6900</v>
      </c>
      <c r="K22" s="40">
        <f t="shared" si="3"/>
        <v>2208000</v>
      </c>
      <c r="L22" s="44">
        <f>基础数据表!G18</f>
        <v>320</v>
      </c>
      <c r="M22" s="43">
        <f>IF($B22="","",SUMIF(本月领取情况记录表!$F$5:$F$49,$B22,本月领取情况记录表!$K$5:$K$49))</f>
        <v>106</v>
      </c>
      <c r="N22" s="43">
        <f t="shared" si="11"/>
        <v>33920</v>
      </c>
      <c r="O22" s="40">
        <f>基础数据表!G18</f>
        <v>320</v>
      </c>
      <c r="P22" s="61">
        <f t="shared" si="5"/>
        <v>6919</v>
      </c>
      <c r="Q22" s="41">
        <f t="shared" si="10"/>
        <v>2214080</v>
      </c>
      <c r="R22" s="62">
        <f t="shared" si="8"/>
        <v>1</v>
      </c>
    </row>
    <row r="23" spans="2:18" s="36" customFormat="1" ht="12" x14ac:dyDescent="0.15">
      <c r="B23" s="53" t="s">
        <v>72</v>
      </c>
      <c r="C23" s="40" t="str">
        <f>VLOOKUP(B23,[2]上月余额!A:F,2,FALSE)</f>
        <v>集成块</v>
      </c>
      <c r="D23" s="40" t="str">
        <f>VLOOKUP($B23,[2]上月余额!$A:$F,3,FALSE)</f>
        <v>AEu8143</v>
      </c>
      <c r="E23" s="40" t="str">
        <f>VLOOKUP($B23,[2]上月余额!$A:$F,4,FALSE)</f>
        <v>支</v>
      </c>
      <c r="F23" s="46">
        <v>70</v>
      </c>
      <c r="G23" s="46">
        <v>41</v>
      </c>
      <c r="H23" s="46">
        <v>2870</v>
      </c>
      <c r="I23" s="40">
        <f>基础数据表!G19</f>
        <v>70</v>
      </c>
      <c r="J23" s="40">
        <f>IF($B23="","",SUMIF(材料入库明细表!$G$4:$G$83,$B23,材料入库明细表!$K$4:$K$83))</f>
        <v>2120</v>
      </c>
      <c r="K23" s="40">
        <f t="shared" si="3"/>
        <v>148400</v>
      </c>
      <c r="L23" s="44">
        <f>基础数据表!G19</f>
        <v>70</v>
      </c>
      <c r="M23" s="43">
        <f>IF($B23="","",SUMIF(本月领取情况记录表!$F$5:$F$49,$B23,本月领取情况记录表!$K$5:$K$49))</f>
        <v>40</v>
      </c>
      <c r="N23" s="43">
        <f t="shared" si="11"/>
        <v>2800</v>
      </c>
      <c r="O23" s="40">
        <f>基础数据表!G19</f>
        <v>70</v>
      </c>
      <c r="P23" s="61">
        <f t="shared" si="5"/>
        <v>2121</v>
      </c>
      <c r="Q23" s="41">
        <f t="shared" si="10"/>
        <v>148470</v>
      </c>
      <c r="R23" s="62">
        <f t="shared" si="8"/>
        <v>1</v>
      </c>
    </row>
    <row r="24" spans="2:18" s="36" customFormat="1" ht="12" x14ac:dyDescent="0.15">
      <c r="B24" s="53" t="s">
        <v>74</v>
      </c>
      <c r="C24" s="40" t="str">
        <f>VLOOKUP(B24,[2]上月余额!A:F,2,FALSE)</f>
        <v>集成块</v>
      </c>
      <c r="D24" s="40" t="str">
        <f>VLOOKUP($B24,[2]上月余额!$A:$F,3,FALSE)</f>
        <v>AEu9144</v>
      </c>
      <c r="E24" s="40" t="str">
        <f>VLOOKUP($B24,[2]上月余额!$A:$F,4,FALSE)</f>
        <v>支</v>
      </c>
      <c r="F24" s="46">
        <v>185</v>
      </c>
      <c r="G24" s="46">
        <v>50</v>
      </c>
      <c r="H24" s="46">
        <v>9250</v>
      </c>
      <c r="I24" s="40">
        <f>基础数据表!G20</f>
        <v>185</v>
      </c>
      <c r="J24" s="40">
        <f>IF($B24="","",SUMIF(材料入库明细表!$G$4:$G$83,$B24,材料入库明细表!$K$4:$K$83))</f>
        <v>4420</v>
      </c>
      <c r="K24" s="40">
        <f t="shared" si="3"/>
        <v>817700</v>
      </c>
      <c r="L24" s="44">
        <f>基础数据表!G20</f>
        <v>185</v>
      </c>
      <c r="M24" s="43">
        <f>IF($B24="","",SUMIF(本月领取情况记录表!$F$5:$F$49,$B24,本月领取情况记录表!$K$5:$K$49))</f>
        <v>65</v>
      </c>
      <c r="N24" s="43">
        <f t="shared" si="11"/>
        <v>12025</v>
      </c>
      <c r="O24" s="40">
        <f>基础数据表!G20</f>
        <v>185</v>
      </c>
      <c r="P24" s="61">
        <f t="shared" si="5"/>
        <v>4405</v>
      </c>
      <c r="Q24" s="41">
        <f t="shared" si="10"/>
        <v>814925</v>
      </c>
      <c r="R24" s="62">
        <f t="shared" si="8"/>
        <v>1</v>
      </c>
    </row>
    <row r="25" spans="2:18" s="36" customFormat="1" ht="12" x14ac:dyDescent="0.15">
      <c r="B25" s="53" t="s">
        <v>76</v>
      </c>
      <c r="C25" s="40" t="str">
        <f>VLOOKUP(B25,[2]上月余额!A:F,2,FALSE)</f>
        <v>集成块</v>
      </c>
      <c r="D25" s="40" t="str">
        <f>VLOOKUP($B25,[2]上月余额!$A:$F,3,FALSE)</f>
        <v>AEu8145</v>
      </c>
      <c r="E25" s="40" t="str">
        <f>VLOOKUP($B25,[2]上月余额!$A:$F,4,FALSE)</f>
        <v>支</v>
      </c>
      <c r="F25" s="46">
        <v>412.5</v>
      </c>
      <c r="G25" s="46">
        <v>18</v>
      </c>
      <c r="H25" s="46">
        <v>7425</v>
      </c>
      <c r="I25" s="40">
        <f>基础数据表!G21</f>
        <v>412.5</v>
      </c>
      <c r="J25" s="40">
        <f>IF($B25="","",SUMIF(材料入库明细表!$G$4:$G$83,$B25,材料入库明细表!$K$4:$K$83))</f>
        <v>2820</v>
      </c>
      <c r="K25" s="40">
        <f t="shared" si="3"/>
        <v>1163250</v>
      </c>
      <c r="L25" s="44">
        <f>基础数据表!G21</f>
        <v>412.5</v>
      </c>
      <c r="M25" s="43">
        <f>IF($B25="","",SUMIF(本月领取情况记录表!$F$5:$F$49,$B25,本月领取情况记录表!$K$5:$K$49))</f>
        <v>131</v>
      </c>
      <c r="N25" s="43">
        <f t="shared" si="11"/>
        <v>54037.5</v>
      </c>
      <c r="O25" s="40">
        <f>基础数据表!G21</f>
        <v>412.5</v>
      </c>
      <c r="P25" s="61">
        <f t="shared" si="5"/>
        <v>2707</v>
      </c>
      <c r="Q25" s="41">
        <f t="shared" si="10"/>
        <v>1116637.5</v>
      </c>
      <c r="R25" s="62">
        <f t="shared" si="8"/>
        <v>1</v>
      </c>
    </row>
    <row r="26" spans="2:18" s="36" customFormat="1" ht="12" x14ac:dyDescent="0.15">
      <c r="B26" s="53"/>
      <c r="C26" s="40"/>
      <c r="D26" s="40"/>
      <c r="E26" s="40"/>
      <c r="F26" s="47" t="str">
        <f>IF(B26="","",VLOOKUP($B26,[2]上月余额!$A:$F,6,FALSE))</f>
        <v/>
      </c>
      <c r="G26" s="47" t="str">
        <f>IF($B26="","",VLOOKUP($B26,[2]上月余额!$A:$F,5,FALSE))</f>
        <v/>
      </c>
      <c r="H26" s="46"/>
      <c r="I26" s="40"/>
      <c r="J26" s="40"/>
      <c r="K26" s="40"/>
      <c r="L26" s="44" t="str">
        <f>IF($B26="","",SUMIF([2]领料单!$F$5:$F$49,[2]材料进出存月报表!$B25,[2]领料单!$K$5:$K$49))</f>
        <v/>
      </c>
      <c r="M26" s="43"/>
      <c r="N26" s="43"/>
      <c r="O26" s="40" t="str">
        <f>IF(B26="","",F26+I26-L26)</f>
        <v/>
      </c>
      <c r="P26" s="41"/>
      <c r="Q26" s="41"/>
      <c r="R26" s="48"/>
    </row>
    <row r="27" spans="2:18" s="36" customFormat="1" ht="12" x14ac:dyDescent="0.15">
      <c r="B27" s="53"/>
      <c r="C27" s="40"/>
      <c r="D27" s="40"/>
      <c r="E27" s="40"/>
      <c r="F27" s="47" t="str">
        <f>IF(B27="","",VLOOKUP($B27,[2]上月余额!$A:$F,6,FALSE))</f>
        <v/>
      </c>
      <c r="G27" s="46"/>
      <c r="H27" s="46"/>
      <c r="I27" s="40"/>
      <c r="J27" s="40"/>
      <c r="K27" s="40"/>
      <c r="L27" s="44"/>
      <c r="M27" s="43"/>
      <c r="N27" s="43"/>
      <c r="O27" s="40"/>
      <c r="P27" s="41"/>
      <c r="Q27" s="41"/>
      <c r="R27" s="48"/>
    </row>
    <row r="28" spans="2:18" s="36" customFormat="1" ht="12.75" thickBot="1" x14ac:dyDescent="0.2">
      <c r="B28" s="54"/>
      <c r="C28" s="55"/>
      <c r="D28" s="55"/>
      <c r="E28" s="55"/>
      <c r="F28" s="56"/>
      <c r="G28" s="57"/>
      <c r="H28" s="57"/>
      <c r="I28" s="55"/>
      <c r="J28" s="55"/>
      <c r="K28" s="55"/>
      <c r="L28" s="58"/>
      <c r="M28" s="59"/>
      <c r="N28" s="59"/>
      <c r="O28" s="55"/>
      <c r="P28" s="60"/>
      <c r="Q28" s="60"/>
      <c r="R28" s="49"/>
    </row>
    <row r="29" spans="2:18" x14ac:dyDescent="0.15">
      <c r="M29" s="37"/>
      <c r="N29" s="37"/>
    </row>
  </sheetData>
  <mergeCells count="18">
    <mergeCell ref="B1:R1"/>
    <mergeCell ref="B4:E4"/>
    <mergeCell ref="F4:H4"/>
    <mergeCell ref="I4:K4"/>
    <mergeCell ref="L4:N4"/>
    <mergeCell ref="O4:Q4"/>
    <mergeCell ref="B2:D2"/>
    <mergeCell ref="E2:K2"/>
    <mergeCell ref="L2:N2"/>
    <mergeCell ref="O2:R2"/>
    <mergeCell ref="B3:D3"/>
    <mergeCell ref="E3:K3"/>
    <mergeCell ref="L3:N3"/>
    <mergeCell ref="F5:H5"/>
    <mergeCell ref="I5:K5"/>
    <mergeCell ref="L5:N5"/>
    <mergeCell ref="O5:Q5"/>
    <mergeCell ref="R4:R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基础数据表</vt:lpstr>
      <vt:lpstr>材料入库明细表</vt:lpstr>
      <vt:lpstr>本月领取情况记录表</vt:lpstr>
      <vt:lpstr>材料进出库存月报表</vt:lpstr>
    </vt:vector>
  </TitlesOfParts>
  <Company>雨林木风封装组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Microsoft Office</cp:lastModifiedBy>
  <dcterms:created xsi:type="dcterms:W3CDTF">2012-06-07T09:04:09Z</dcterms:created>
  <dcterms:modified xsi:type="dcterms:W3CDTF">2012-08-28T01:47:18Z</dcterms:modified>
</cp:coreProperties>
</file>