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5a9f5a1173b397/Documents/"/>
    </mc:Choice>
  </mc:AlternateContent>
  <xr:revisionPtr revIDLastSave="75" documentId="8_{A1208C07-1A4F-4C36-984B-6CABB8834176}" xr6:coauthVersionLast="47" xr6:coauthVersionMax="47" xr10:uidLastSave="{F7F0AFA0-16CA-4BF3-BAD9-B3647E88A206}"/>
  <bookViews>
    <workbookView xWindow="-28920" yWindow="3615" windowWidth="29040" windowHeight="15720" activeTab="2" xr2:uid="{C168B7C0-9D84-4D81-A454-1AC6F6E4EDA1}"/>
  </bookViews>
  <sheets>
    <sheet name="Sheet2" sheetId="2" r:id="rId1"/>
    <sheet name="Sheet1" sheetId="1" r:id="rId2"/>
    <sheet name="Sheet3" sheetId="3" r:id="rId3"/>
  </sheet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3" l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" i="3"/>
  <c r="D2" i="3" a="1"/>
  <c r="D2" i="3" s="1"/>
  <c r="C2" i="3" a="1"/>
  <c r="C2" i="3" s="1"/>
  <c r="C38" i="1"/>
  <c r="B38" i="1"/>
  <c r="B36" i="1"/>
  <c r="B35" i="1"/>
  <c r="B34" i="1"/>
  <c r="B33" i="1"/>
  <c r="B32" i="1"/>
  <c r="B31" i="1"/>
  <c r="K3" i="1"/>
  <c r="K4" i="1"/>
  <c r="K5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" i="1"/>
  <c r="H10" i="1"/>
  <c r="H9" i="1" s="1"/>
  <c r="H8" i="1" s="1"/>
  <c r="H7" i="1" s="1"/>
  <c r="H6" i="1" s="1"/>
  <c r="H5" i="1" s="1"/>
  <c r="H4" i="1" s="1"/>
  <c r="H3" i="1" s="1"/>
  <c r="H2" i="1" s="1"/>
  <c r="H11" i="1"/>
  <c r="H12" i="1"/>
  <c r="G11" i="1"/>
  <c r="G12" i="1"/>
  <c r="F11" i="1"/>
  <c r="F10" i="1" s="1"/>
  <c r="F9" i="1" s="1"/>
  <c r="F8" i="1" s="1"/>
  <c r="F7" i="1" s="1"/>
  <c r="F6" i="1" s="1"/>
  <c r="F5" i="1" s="1"/>
  <c r="F4" i="1" s="1"/>
  <c r="F3" i="1" s="1"/>
  <c r="F2" i="1" s="1"/>
  <c r="F13" i="1"/>
  <c r="F12" i="1" s="1"/>
  <c r="F14" i="1"/>
  <c r="F20" i="1"/>
  <c r="F19" i="1"/>
  <c r="F15" i="1"/>
  <c r="C2" i="1"/>
  <c r="C3" i="1"/>
  <c r="E14" i="1"/>
  <c r="E15" i="1"/>
  <c r="E13" i="1" l="1"/>
  <c r="C26" i="1" l="1"/>
  <c r="D7" i="1" s="1"/>
  <c r="D6" i="1" s="1"/>
  <c r="D5" i="1" s="1"/>
  <c r="D4" i="1" s="1"/>
  <c r="D3" i="1" s="1"/>
  <c r="D2" i="1" s="1"/>
  <c r="B10" i="1"/>
  <c r="B9" i="1"/>
  <c r="B8" i="1"/>
  <c r="B7" i="1"/>
  <c r="B6" i="1"/>
  <c r="B5" i="1"/>
  <c r="B4" i="1"/>
  <c r="B3" i="1"/>
  <c r="B2" i="1"/>
  <c r="C20" i="1"/>
  <c r="C19" i="1"/>
  <c r="C18" i="1"/>
  <c r="C17" i="1"/>
  <c r="C16" i="1"/>
  <c r="C15" i="1"/>
  <c r="C14" i="1"/>
  <c r="C13" i="1"/>
  <c r="C12" i="1"/>
  <c r="C23" i="1" s="1"/>
  <c r="C11" i="1"/>
  <c r="C10" i="1" s="1"/>
  <c r="C9" i="1" s="1"/>
  <c r="C8" i="1" s="1"/>
  <c r="C7" i="1" s="1"/>
  <c r="C6" i="1" s="1"/>
  <c r="C5" i="1" s="1"/>
  <c r="C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<sst xmlns="http://schemas.openxmlformats.org/spreadsheetml/2006/main" count="58" uniqueCount="50">
  <si>
    <t>Nike Sales Revenue</t>
  </si>
  <si>
    <t>Year</t>
  </si>
  <si>
    <t xml:space="preserve">Marketing STDV </t>
  </si>
  <si>
    <t>Used to estimate marketing cost for years 2005-2013</t>
  </si>
  <si>
    <t>Nike Marketing Expense</t>
  </si>
  <si>
    <t>Average Hourly wage</t>
  </si>
  <si>
    <t>Wage STDV</t>
  </si>
  <si>
    <t>Resale Revenue</t>
  </si>
  <si>
    <t>Average Nike Shoe Price</t>
  </si>
  <si>
    <t>Nike Direct Online Sales</t>
  </si>
  <si>
    <t>Nike Whole 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</si>
  <si>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</si>
  <si>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</si>
  <si>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</si>
  <si>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</si>
  <si>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</si>
  <si>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</si>
  <si>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</si>
  <si>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</si>
  <si>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</si>
  <si>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</si>
  <si>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</si>
  <si>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</si>
  <si>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</si>
  <si>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</si>
  <si>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</si>
  <si>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</si>
  <si>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</si>
  <si>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</si>
  <si>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</si>
  <si>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</si>
  <si>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</si>
  <si>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</si>
  <si>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</si>
  <si>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</si>
  <si>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Marketing</t>
  </si>
  <si>
    <t>AverageHour</t>
  </si>
  <si>
    <t xml:space="preserve">Resale </t>
  </si>
  <si>
    <t>AvgShoePrice</t>
  </si>
  <si>
    <t>OnlineSale</t>
  </si>
  <si>
    <t>WholeSales</t>
  </si>
  <si>
    <t>Elasticities</t>
  </si>
  <si>
    <t>Rev</t>
  </si>
  <si>
    <t>expense</t>
  </si>
  <si>
    <t>Sum of Rev</t>
  </si>
  <si>
    <t>Sum of expense</t>
  </si>
  <si>
    <t>Grand Total</t>
  </si>
  <si>
    <t>Row Labels</t>
  </si>
  <si>
    <t>year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</si>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</sst>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2"/>
      <color rgb="FF2D3B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6">
    <xf numFmtId="0" fontId="0" fillId="0" borderId="0" xfId="0"/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44" fontId="0" fillId="0" borderId="0" xfId="1" applyFont="1"/>
    <xf numFmtId="44" fontId="0" fillId="0" borderId="0" xfId="1" applyFont="1" applyAlignment="1">
      <alignment horizontal="right" vertical="center"/>
    </xf>
    <xf numFmtId="44" fontId="2" fillId="0" borderId="0" xfId="1" applyFont="1" applyAlignment="1">
      <alignment horizontal="right" vertical="center"/>
    </xf>
    <xf numFmtId="44" fontId="0" fillId="0" borderId="0" xfId="0" applyNumberFormat="1"/>
    <xf numFmtId="3" fontId="0" fillId="0" borderId="0" xfId="0" applyNumberForma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4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8">
    <cellStyle name="Comma [0] 2" xfId="7" xr:uid="{EFF9BA82-4114-43A5-9B6B-795F73B442BC}"/>
    <cellStyle name="Comma 2" xfId="6" xr:uid="{5C7B5724-AB46-425E-A8FF-5ACC291F0FAD}"/>
    <cellStyle name="Currency" xfId="1" builtinId="4"/>
    <cellStyle name="Currency [0] 2" xfId="5" xr:uid="{0E1C73C1-794A-4063-9DF7-469C4F299B28}"/>
    <cellStyle name="Currency 2" xfId="4" xr:uid="{D0DE1FCA-B24A-47A6-BE7A-4AB189EE3A89}"/>
    <cellStyle name="Normal" xfId="0" builtinId="0"/>
    <cellStyle name="Normal 2" xfId="2" xr:uid="{5339CF71-880A-4EDA-A906-7CB2F4A759D9}"/>
    <cellStyle name="Percent 2" xfId="3" xr:uid="{EE71741C-E026-4FA7-AE90-D48F307E70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Exponential Smoothing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Sheet1!$B$2:$B$20</c:f>
              <c:numCache>
                <c:formatCode>_("$"* #,##0.00_);_("$"* \(#,##0.00\);_("$"* "-"??_);_(@_)</c:formatCode>
                <c:ptCount val="19"/>
                <c:pt idx="0">
                  <c:v>13740000000</c:v>
                </c:pt>
                <c:pt idx="1">
                  <c:v>14955000000</c:v>
                </c:pt>
                <c:pt idx="2">
                  <c:v>16326000000</c:v>
                </c:pt>
                <c:pt idx="3">
                  <c:v>18627000000</c:v>
                </c:pt>
                <c:pt idx="4">
                  <c:v>18528000000</c:v>
                </c:pt>
                <c:pt idx="5">
                  <c:v>18324000000</c:v>
                </c:pt>
                <c:pt idx="6">
                  <c:v>20117000000</c:v>
                </c:pt>
                <c:pt idx="7">
                  <c:v>23331000000</c:v>
                </c:pt>
                <c:pt idx="8">
                  <c:v>25313000000</c:v>
                </c:pt>
                <c:pt idx="9">
                  <c:v>27799000000</c:v>
                </c:pt>
                <c:pt idx="10">
                  <c:v>30601000000</c:v>
                </c:pt>
                <c:pt idx="11">
                  <c:v>32376000000</c:v>
                </c:pt>
                <c:pt idx="12">
                  <c:v>34350000000</c:v>
                </c:pt>
                <c:pt idx="13">
                  <c:v>36397000000</c:v>
                </c:pt>
                <c:pt idx="14">
                  <c:v>39117000000</c:v>
                </c:pt>
                <c:pt idx="15">
                  <c:v>37403000000</c:v>
                </c:pt>
                <c:pt idx="16">
                  <c:v>44538000000</c:v>
                </c:pt>
                <c:pt idx="17">
                  <c:v>46710000000</c:v>
                </c:pt>
                <c:pt idx="18">
                  <c:v>51217000000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8A-470F-8CA5-5ED28BF36320}"/>
            </c:ext>
          </c:extLst>
        </c:ser>
        <c:ser>
          <c:idx val="1"/>
          <c:order val="1"/>
          <c:tx>
            <c:v>Forecast</c:v>
          </c:tx>
          <c:val>
            <c:numRef>
              <c:f>Sheet1!$K$1:$K$19</c:f>
              <c:numCache>
                <c:formatCode>_("$"* #,##0.00_);_("$"* \(#,##0.00\);_("$"* "-"??_);_(@_)</c:formatCode>
                <c:ptCount val="19"/>
                <c:pt idx="0" formatCode="General">
                  <c:v>#N/A</c:v>
                </c:pt>
                <c:pt idx="1">
                  <c:v>13740000000</c:v>
                </c:pt>
                <c:pt idx="2" formatCode="General">
                  <c:v>14590500000</c:v>
                </c:pt>
                <c:pt idx="3" formatCode="General">
                  <c:v>15805350000</c:v>
                </c:pt>
                <c:pt idx="4" formatCode="General">
                  <c:v>17780505000</c:v>
                </c:pt>
                <c:pt idx="5" formatCode="General">
                  <c:v>18303751500</c:v>
                </c:pt>
                <c:pt idx="6" formatCode="General">
                  <c:v>18317925450</c:v>
                </c:pt>
                <c:pt idx="7" formatCode="General">
                  <c:v>19577277635</c:v>
                </c:pt>
                <c:pt idx="8" formatCode="General">
                  <c:v>22204883290.5</c:v>
                </c:pt>
                <c:pt idx="9" formatCode="General">
                  <c:v>24380564987.150002</c:v>
                </c:pt>
                <c:pt idx="10" formatCode="General">
                  <c:v>26773469496.145</c:v>
                </c:pt>
                <c:pt idx="11" formatCode="General">
                  <c:v>29452740848.843498</c:v>
                </c:pt>
                <c:pt idx="12" formatCode="General">
                  <c:v>31499022254.653049</c:v>
                </c:pt>
                <c:pt idx="13" formatCode="General">
                  <c:v>33494706676.395912</c:v>
                </c:pt>
                <c:pt idx="14" formatCode="General">
                  <c:v>35526312002.918777</c:v>
                </c:pt>
                <c:pt idx="15" formatCode="General">
                  <c:v>38039793600.875633</c:v>
                </c:pt>
                <c:pt idx="16" formatCode="General">
                  <c:v>37594038080.262688</c:v>
                </c:pt>
                <c:pt idx="17" formatCode="General">
                  <c:v>42454811424.078804</c:v>
                </c:pt>
                <c:pt idx="18" formatCode="General">
                  <c:v>45433443427.223633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8A-470F-8CA5-5ED28BF36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642879"/>
        <c:axId val="1814459551"/>
      </c:lineChart>
      <c:catAx>
        <c:axId val="11676428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1814459551"/>
        <c:crosses val="autoZero"/>
        <c:auto val="1"/>
        <c:lblAlgn val="ctr"/>
        <c:lblOffset val="100"/>
        <c:noMultiLvlLbl val="0"/>
      </c:catAx>
      <c:valAx>
        <c:axId val="18144595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116764287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0</xdr:row>
      <xdr:rowOff>180975</xdr:rowOff>
    </xdr:from>
    <xdr:to>
      <xdr:col>18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4EDBB1-1415-50AE-8200-4781DD380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son stewart" refreshedDate="45406.883970254632" createdVersion="8" refreshedVersion="8" minRefreshableVersion="3" recordCount="19" xr:uid="{9BDE0C8F-E150-4155-819B-31A4475C73E4}">
  <cacheSource type="worksheet">
    <worksheetSource ref="B1:D20" sheet="Sheet3"/>
  </cacheSource>
  <cacheFields count="3">
    <cacheField name="Year" numFmtId="0">
      <sharedItems containsSemiMixedTypes="0" containsString="0" containsNumber="1" containsInteger="1" minValue="2005" maxValue="2023" count="19"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Rev" numFmtId="0">
      <sharedItems containsSemiMixedTypes="0" containsString="0" containsNumber="1" containsInteger="1" minValue="13740000000" maxValue="51217000000" count="19">
        <n v="13740000000"/>
        <n v="14955000000"/>
        <n v="16326000000"/>
        <n v="18627000000"/>
        <n v="18528000000"/>
        <n v="18324000000"/>
        <n v="20117000000"/>
        <n v="23331000000"/>
        <n v="25313000000"/>
        <n v="27799000000"/>
        <n v="30601000000"/>
        <n v="32376000000"/>
        <n v="34350000000"/>
        <n v="36397000000"/>
        <n v="39117000000"/>
        <n v="37403000000"/>
        <n v="44538000000"/>
        <n v="46710000000"/>
        <n v="51217000000"/>
      </sharedItems>
    </cacheField>
    <cacheField name="expense" numFmtId="0">
      <sharedItems containsSemiMixedTypes="0" containsString="0" containsNumber="1" minValue="310261450.47400284" maxValue="4059999999.999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  <n v="310261450.47400284"/>
  </r>
  <r>
    <x v="1"/>
    <x v="1"/>
    <n v="310261450.47400284"/>
  </r>
  <r>
    <x v="2"/>
    <x v="2"/>
    <n v="650228769.16475248"/>
  </r>
  <r>
    <x v="3"/>
    <x v="3"/>
    <n v="990196087.85550213"/>
  </r>
  <r>
    <x v="4"/>
    <x v="4"/>
    <n v="1330163406.5462518"/>
  </r>
  <r>
    <x v="5"/>
    <x v="5"/>
    <n v="1670130725.2370014"/>
  </r>
  <r>
    <x v="6"/>
    <x v="6"/>
    <n v="2010098043.9277511"/>
  </r>
  <r>
    <x v="7"/>
    <x v="7"/>
    <n v="2350065362.6185007"/>
  </r>
  <r>
    <x v="8"/>
    <x v="8"/>
    <n v="2690032681.3092504"/>
  </r>
  <r>
    <x v="9"/>
    <x v="9"/>
    <n v="3030000000"/>
  </r>
  <r>
    <x v="10"/>
    <x v="10"/>
    <n v="3210000000"/>
  </r>
  <r>
    <x v="11"/>
    <x v="11"/>
    <n v="3280000000"/>
  </r>
  <r>
    <x v="12"/>
    <x v="12"/>
    <n v="3340000000"/>
  </r>
  <r>
    <x v="13"/>
    <x v="13"/>
    <n v="3580000000"/>
  </r>
  <r>
    <x v="14"/>
    <x v="14"/>
    <n v="3750000000"/>
  </r>
  <r>
    <x v="15"/>
    <x v="15"/>
    <n v="3590000000"/>
  </r>
  <r>
    <x v="16"/>
    <x v="16"/>
    <n v="3110000000"/>
  </r>
  <r>
    <x v="17"/>
    <x v="17"/>
    <n v="3850000000"/>
  </r>
  <r>
    <x v="18"/>
    <x v="18"/>
    <n v="4059999999.99999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498227-4320-43BA-85F6-65F9D20336C1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:I22" firstHeaderRow="0" firstDataRow="1" firstDataCol="1"/>
  <pivotFields count="3"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showAll="0">
      <items count="20">
        <item x="0"/>
        <item x="1"/>
        <item x="2"/>
        <item x="5"/>
        <item x="4"/>
        <item x="3"/>
        <item x="6"/>
        <item x="7"/>
        <item x="8"/>
        <item x="9"/>
        <item x="10"/>
        <item x="11"/>
        <item x="12"/>
        <item x="13"/>
        <item x="15"/>
        <item x="14"/>
        <item x="16"/>
        <item x="17"/>
        <item x="18"/>
        <item t="default"/>
      </items>
    </pivotField>
    <pivotField dataField="1"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pense" fld="2" baseField="0" baseItem="0"/>
    <dataField name="Sum of Rev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56AA-1234-4073-8A0A-CF7F71965146}">
  <dimension ref="A1:I23"/>
  <sheetViews>
    <sheetView workbookViewId="0">
      <selection activeCell="F12" sqref="F12"/>
    </sheetView>
  </sheetViews>
  <sheetFormatPr defaultRowHeight="15" x14ac:dyDescent="0.25"/>
  <cols>
    <col min="1" max="1" width="23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</cols>
  <sheetData>
    <row r="1" spans="1:9" x14ac:dyDescent="0.25">
      <c r="A1" t="s">
        <v>11</v>
      </c>
    </row>
    <row r="2" spans="1:9" ht="15.75" thickBot="1" x14ac:dyDescent="0.3"/>
    <row r="3" spans="1:9" x14ac:dyDescent="0.25">
      <c r="A3" s="11" t="s">
        <v>12</v>
      </c>
      <c r="B3" s="11"/>
    </row>
    <row r="4" spans="1:9" x14ac:dyDescent="0.25">
      <c r="A4" t="s">
        <v>13</v>
      </c>
      <c r="B4">
        <v>0.99540995951972855</v>
      </c>
    </row>
    <row r="5" spans="1:9" x14ac:dyDescent="0.25">
      <c r="A5" t="s">
        <v>14</v>
      </c>
      <c r="B5">
        <v>0.99084098751106764</v>
      </c>
    </row>
    <row r="6" spans="1:9" x14ac:dyDescent="0.25">
      <c r="A6" t="s">
        <v>15</v>
      </c>
      <c r="B6">
        <v>0.98626148126660151</v>
      </c>
    </row>
    <row r="7" spans="1:9" x14ac:dyDescent="0.25">
      <c r="A7" t="s">
        <v>16</v>
      </c>
      <c r="B7">
        <v>1344084583.1578002</v>
      </c>
    </row>
    <row r="8" spans="1:9" ht="15.75" thickBot="1" x14ac:dyDescent="0.3">
      <c r="A8" s="9" t="s">
        <v>17</v>
      </c>
      <c r="B8" s="9">
        <v>19</v>
      </c>
    </row>
    <row r="10" spans="1:9" ht="15.75" thickBot="1" x14ac:dyDescent="0.3">
      <c r="A10" t="s">
        <v>18</v>
      </c>
    </row>
    <row r="11" spans="1:9" x14ac:dyDescent="0.25">
      <c r="A11" s="10"/>
      <c r="B11" s="10" t="s">
        <v>23</v>
      </c>
      <c r="C11" s="10" t="s">
        <v>24</v>
      </c>
      <c r="D11" s="10" t="s">
        <v>25</v>
      </c>
      <c r="E11" s="10" t="s">
        <v>26</v>
      </c>
      <c r="F11" s="10" t="s">
        <v>27</v>
      </c>
    </row>
    <row r="12" spans="1:9" x14ac:dyDescent="0.25">
      <c r="A12" t="s">
        <v>19</v>
      </c>
      <c r="B12">
        <v>6</v>
      </c>
      <c r="C12">
        <v>2.3452533107577054E+21</v>
      </c>
      <c r="D12">
        <v>3.9087555179295087E+20</v>
      </c>
      <c r="E12">
        <v>216.36415251281431</v>
      </c>
      <c r="F12">
        <v>1.6270641228420502E-11</v>
      </c>
    </row>
    <row r="13" spans="1:9" x14ac:dyDescent="0.25">
      <c r="A13" t="s">
        <v>20</v>
      </c>
      <c r="B13">
        <v>12</v>
      </c>
      <c r="C13">
        <v>2.1678760400189731E+19</v>
      </c>
      <c r="D13">
        <v>1.8065633666824776E+18</v>
      </c>
    </row>
    <row r="14" spans="1:9" ht="15.75" thickBot="1" x14ac:dyDescent="0.3">
      <c r="A14" s="9" t="s">
        <v>21</v>
      </c>
      <c r="B14" s="9">
        <v>18</v>
      </c>
      <c r="C14" s="9">
        <v>2.366932071157895E+21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28</v>
      </c>
      <c r="C16" s="10" t="s">
        <v>16</v>
      </c>
      <c r="D16" s="10" t="s">
        <v>29</v>
      </c>
      <c r="E16" s="10" t="s">
        <v>30</v>
      </c>
      <c r="F16" s="10" t="s">
        <v>31</v>
      </c>
      <c r="G16" s="10" t="s">
        <v>32</v>
      </c>
      <c r="H16" s="10" t="s">
        <v>33</v>
      </c>
      <c r="I16" s="10" t="s">
        <v>34</v>
      </c>
    </row>
    <row r="17" spans="1:9" x14ac:dyDescent="0.25">
      <c r="A17" t="s">
        <v>22</v>
      </c>
      <c r="B17">
        <v>40625414425.804993</v>
      </c>
      <c r="C17">
        <v>23162648322.758549</v>
      </c>
      <c r="D17">
        <v>1.7539192349558896</v>
      </c>
      <c r="E17">
        <v>0.10492264644244949</v>
      </c>
      <c r="F17">
        <v>-9841660908.8914413</v>
      </c>
      <c r="G17">
        <v>91092489760.501434</v>
      </c>
      <c r="H17">
        <v>-9841660908.8914413</v>
      </c>
      <c r="I17">
        <v>91092489760.501434</v>
      </c>
    </row>
    <row r="18" spans="1:9" x14ac:dyDescent="0.25">
      <c r="A18" t="s">
        <v>4</v>
      </c>
      <c r="B18">
        <v>4.3218283406364106</v>
      </c>
      <c r="C18">
        <v>1.1136524336546467</v>
      </c>
      <c r="D18">
        <v>3.8807694483758897</v>
      </c>
      <c r="E18">
        <v>2.1848316457072953E-3</v>
      </c>
      <c r="F18">
        <v>1.8953881303995344</v>
      </c>
      <c r="G18">
        <v>6.7482685508732869</v>
      </c>
      <c r="H18">
        <v>1.8953881303995344</v>
      </c>
      <c r="I18">
        <v>6.7482685508732869</v>
      </c>
    </row>
    <row r="19" spans="1:9" x14ac:dyDescent="0.25">
      <c r="A19" t="s">
        <v>5</v>
      </c>
      <c r="B19">
        <v>-334357433.91069812</v>
      </c>
      <c r="C19">
        <v>1261008302.4955945</v>
      </c>
      <c r="D19">
        <v>-0.26515085844319114</v>
      </c>
      <c r="E19">
        <v>0.79539312738785251</v>
      </c>
      <c r="F19">
        <v>-3081858501.7049928</v>
      </c>
      <c r="G19">
        <v>2413143633.8835969</v>
      </c>
      <c r="H19">
        <v>-3081858501.7049928</v>
      </c>
      <c r="I19">
        <v>2413143633.8835969</v>
      </c>
    </row>
    <row r="20" spans="1:9" x14ac:dyDescent="0.25">
      <c r="A20" t="s">
        <v>7</v>
      </c>
      <c r="B20">
        <v>-1.9049384430377728E-3</v>
      </c>
      <c r="C20">
        <v>1.646685715666513E-2</v>
      </c>
      <c r="D20">
        <v>-0.11568318258391701</v>
      </c>
      <c r="E20">
        <v>0.90981696409743962</v>
      </c>
      <c r="F20">
        <v>-3.7783138080277376E-2</v>
      </c>
      <c r="G20">
        <v>3.3973261194201826E-2</v>
      </c>
      <c r="H20">
        <v>-3.7783138080277376E-2</v>
      </c>
      <c r="I20">
        <v>3.3973261194201826E-2</v>
      </c>
    </row>
    <row r="21" spans="1:9" x14ac:dyDescent="0.25">
      <c r="A21" t="s">
        <v>8</v>
      </c>
      <c r="B21">
        <v>-203742107.42763501</v>
      </c>
      <c r="C21">
        <v>104786267.15258385</v>
      </c>
      <c r="D21">
        <v>-1.9443588646111161</v>
      </c>
      <c r="E21">
        <v>7.5667695886824649E-2</v>
      </c>
      <c r="F21">
        <v>-432051770.67262238</v>
      </c>
      <c r="G21">
        <v>24567555.817352355</v>
      </c>
      <c r="H21">
        <v>-432051770.67262238</v>
      </c>
      <c r="I21">
        <v>24567555.817352355</v>
      </c>
    </row>
    <row r="22" spans="1:9" x14ac:dyDescent="0.25">
      <c r="A22" t="s">
        <v>9</v>
      </c>
      <c r="B22">
        <v>866159.62073663494</v>
      </c>
      <c r="C22">
        <v>113620.5697357391</v>
      </c>
      <c r="D22">
        <v>7.6232641919607129</v>
      </c>
      <c r="E22">
        <v>6.1392033288157408E-6</v>
      </c>
      <c r="F22">
        <v>618601.66568230651</v>
      </c>
      <c r="G22">
        <v>1113717.5757909634</v>
      </c>
      <c r="H22">
        <v>618601.66568230651</v>
      </c>
      <c r="I22">
        <v>1113717.5757909634</v>
      </c>
    </row>
    <row r="23" spans="1:9" ht="15.75" thickBot="1" x14ac:dyDescent="0.3">
      <c r="A23" s="9" t="s">
        <v>10</v>
      </c>
      <c r="B23" s="9">
        <v>201827.74038066468</v>
      </c>
      <c r="C23" s="9">
        <v>354641.73301951494</v>
      </c>
      <c r="D23" s="9">
        <v>0.56910318665050807</v>
      </c>
      <c r="E23" s="9">
        <v>0.57978244469505225</v>
      </c>
      <c r="F23" s="9">
        <v>-570870.21745767444</v>
      </c>
      <c r="G23" s="9">
        <v>974525.69821900385</v>
      </c>
      <c r="H23" s="9">
        <v>-570870.21745767444</v>
      </c>
      <c r="I23" s="9">
        <v>974525.69821900385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2C85-DF80-4E8A-A0B6-969A2B07CB8E}">
  <dimension ref="A1:K38"/>
  <sheetViews>
    <sheetView workbookViewId="0">
      <selection activeCell="A2" sqref="A2:A20"/>
    </sheetView>
  </sheetViews>
  <sheetFormatPr defaultRowHeight="15" x14ac:dyDescent="0.25"/>
  <cols>
    <col min="1" max="1" width="12.5703125" customWidth="1"/>
    <col min="2" max="2" width="19" bestFit="1" customWidth="1"/>
    <col min="3" max="3" width="22.85546875" bestFit="1" customWidth="1"/>
    <col min="4" max="5" width="20" bestFit="1" customWidth="1"/>
    <col min="6" max="6" width="23" bestFit="1" customWidth="1"/>
    <col min="7" max="7" width="22.7109375" bestFit="1" customWidth="1"/>
    <col min="8" max="8" width="16.5703125" bestFit="1" customWidth="1"/>
    <col min="11" max="11" width="19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K1" t="e">
        <v>#N/A</v>
      </c>
    </row>
    <row r="2" spans="1:11" x14ac:dyDescent="0.25">
      <c r="A2" s="2">
        <v>2005</v>
      </c>
      <c r="B2" s="5">
        <f>13740*1000000</f>
        <v>13740000000</v>
      </c>
      <c r="C2" s="4">
        <f>C4-C$23</f>
        <v>310261450.47400284</v>
      </c>
      <c r="D2" s="4">
        <f t="shared" ref="D2:D7" si="0">D3-C$26</f>
        <v>7.9587693237544643</v>
      </c>
      <c r="E2" s="4">
        <v>2000000000</v>
      </c>
      <c r="F2" s="7">
        <f t="shared" ref="F2:F11" si="1">AVERAGE(F3:F5)</f>
        <v>143.82611987240566</v>
      </c>
      <c r="G2" s="8">
        <v>0</v>
      </c>
      <c r="H2" s="8">
        <f t="shared" ref="H2:H10" si="2">AVERAGE(H3:H11)</f>
        <v>23494.32164027293</v>
      </c>
      <c r="K2" s="7">
        <f>B2</f>
        <v>13740000000</v>
      </c>
    </row>
    <row r="3" spans="1:11" x14ac:dyDescent="0.25">
      <c r="A3" s="2">
        <v>2006</v>
      </c>
      <c r="B3" s="5">
        <f>14955*1000000</f>
        <v>14955000000</v>
      </c>
      <c r="C3" s="4">
        <f>C4-C$23</f>
        <v>310261450.47400284</v>
      </c>
      <c r="D3" s="4">
        <f t="shared" si="0"/>
        <v>8.3416133253509432</v>
      </c>
      <c r="E3" s="4">
        <v>2000000000</v>
      </c>
      <c r="F3" s="7">
        <f t="shared" si="1"/>
        <v>143.81878811257195</v>
      </c>
      <c r="G3" s="8">
        <v>0</v>
      </c>
      <c r="H3" s="8">
        <f t="shared" si="2"/>
        <v>23233.212418008276</v>
      </c>
      <c r="K3">
        <f t="shared" ref="K3:K19" si="3">0.7*B3+0.3*K2</f>
        <v>14590500000</v>
      </c>
    </row>
    <row r="4" spans="1:11" x14ac:dyDescent="0.25">
      <c r="A4" s="2">
        <v>2007</v>
      </c>
      <c r="B4" s="5">
        <f>16326*1000000</f>
        <v>16326000000</v>
      </c>
      <c r="C4" s="4">
        <f t="shared" ref="C4:C9" si="4">C5-C$23</f>
        <v>650228769.16475248</v>
      </c>
      <c r="D4" s="4">
        <f t="shared" si="0"/>
        <v>8.7244573269474213</v>
      </c>
      <c r="E4" s="4">
        <v>2000000000</v>
      </c>
      <c r="F4" s="7">
        <f t="shared" si="1"/>
        <v>143.82406415763936</v>
      </c>
      <c r="G4" s="8">
        <v>0</v>
      </c>
      <c r="H4" s="8">
        <f t="shared" si="2"/>
        <v>23167.591176207447</v>
      </c>
      <c r="K4">
        <f t="shared" si="3"/>
        <v>15805350000</v>
      </c>
    </row>
    <row r="5" spans="1:11" x14ac:dyDescent="0.25">
      <c r="A5" s="2">
        <v>2008</v>
      </c>
      <c r="B5" s="5">
        <f>18627*1000000</f>
        <v>18627000000</v>
      </c>
      <c r="C5" s="4">
        <f t="shared" si="4"/>
        <v>990196087.85550213</v>
      </c>
      <c r="D5" s="4">
        <f t="shared" si="0"/>
        <v>9.1073013285438993</v>
      </c>
      <c r="E5" s="4">
        <v>2000000000</v>
      </c>
      <c r="F5" s="7">
        <f t="shared" si="1"/>
        <v>143.83550734700563</v>
      </c>
      <c r="G5" s="8">
        <v>0</v>
      </c>
      <c r="H5" s="8">
        <f t="shared" si="2"/>
        <v>23158.632058586703</v>
      </c>
      <c r="K5">
        <f t="shared" si="3"/>
        <v>17780505000</v>
      </c>
    </row>
    <row r="6" spans="1:11" x14ac:dyDescent="0.25">
      <c r="A6" s="2">
        <v>2009</v>
      </c>
      <c r="B6" s="5">
        <f>18528*1000000</f>
        <v>18528000000</v>
      </c>
      <c r="C6" s="4">
        <f t="shared" si="4"/>
        <v>1330163406.5462518</v>
      </c>
      <c r="D6" s="4">
        <f t="shared" si="0"/>
        <v>9.4901453301403773</v>
      </c>
      <c r="E6" s="4">
        <v>2000000000</v>
      </c>
      <c r="F6" s="7">
        <f t="shared" si="1"/>
        <v>143.79679283307087</v>
      </c>
      <c r="G6" s="8">
        <v>0</v>
      </c>
      <c r="H6" s="8">
        <f t="shared" si="2"/>
        <v>23239.668852728031</v>
      </c>
      <c r="K6">
        <f t="shared" si="3"/>
        <v>18303751500</v>
      </c>
    </row>
    <row r="7" spans="1:11" x14ac:dyDescent="0.25">
      <c r="A7" s="2">
        <v>2010</v>
      </c>
      <c r="B7" s="5">
        <f>18324*1000000</f>
        <v>18324000000</v>
      </c>
      <c r="C7" s="4">
        <f t="shared" si="4"/>
        <v>1670130725.2370014</v>
      </c>
      <c r="D7" s="4">
        <f t="shared" si="0"/>
        <v>9.8729893317368553</v>
      </c>
      <c r="E7" s="4">
        <v>2000000000</v>
      </c>
      <c r="F7" s="7">
        <f t="shared" si="1"/>
        <v>143.83989229284157</v>
      </c>
      <c r="G7" s="8">
        <v>0</v>
      </c>
      <c r="H7" s="8">
        <f t="shared" si="2"/>
        <v>23458.001967455228</v>
      </c>
      <c r="K7">
        <f t="shared" si="3"/>
        <v>18317925450</v>
      </c>
    </row>
    <row r="8" spans="1:11" x14ac:dyDescent="0.25">
      <c r="A8" s="2">
        <v>2011</v>
      </c>
      <c r="B8" s="5">
        <f>20117*1000000</f>
        <v>20117000000</v>
      </c>
      <c r="C8" s="4">
        <f t="shared" si="4"/>
        <v>2010098043.9277511</v>
      </c>
      <c r="D8" s="4">
        <v>10.255833333333333</v>
      </c>
      <c r="E8" s="4">
        <v>2000000000</v>
      </c>
      <c r="F8" s="7">
        <f t="shared" si="1"/>
        <v>143.86983691510443</v>
      </c>
      <c r="G8" s="8">
        <v>0</v>
      </c>
      <c r="H8" s="8">
        <f t="shared" si="2"/>
        <v>23427.801770709702</v>
      </c>
      <c r="K8">
        <f t="shared" si="3"/>
        <v>19577277635</v>
      </c>
    </row>
    <row r="9" spans="1:11" x14ac:dyDescent="0.25">
      <c r="A9" s="2">
        <v>2012</v>
      </c>
      <c r="B9" s="5">
        <f>23331*1000000</f>
        <v>23331000000</v>
      </c>
      <c r="C9" s="4">
        <f t="shared" si="4"/>
        <v>2350065362.6185007</v>
      </c>
      <c r="D9" s="4">
        <v>10.234166666666665</v>
      </c>
      <c r="E9" s="4">
        <v>2000000000</v>
      </c>
      <c r="F9" s="7">
        <f t="shared" si="1"/>
        <v>143.6806492912666</v>
      </c>
      <c r="G9" s="8">
        <v>0</v>
      </c>
      <c r="H9" s="8">
        <f t="shared" si="2"/>
        <v>23674.821593638735</v>
      </c>
      <c r="K9">
        <f t="shared" si="3"/>
        <v>22204883290.5</v>
      </c>
    </row>
    <row r="10" spans="1:11" x14ac:dyDescent="0.25">
      <c r="A10" s="2">
        <v>2013</v>
      </c>
      <c r="B10" s="5">
        <f>25313*1000000</f>
        <v>25313000000</v>
      </c>
      <c r="C10" s="4">
        <f>C11-C$23</f>
        <v>2690032681.3092504</v>
      </c>
      <c r="D10" s="4">
        <v>10.290000000000001</v>
      </c>
      <c r="E10" s="4">
        <v>2000000000</v>
      </c>
      <c r="F10" s="7">
        <f t="shared" si="1"/>
        <v>143.96919067215367</v>
      </c>
      <c r="G10" s="8">
        <v>0</v>
      </c>
      <c r="H10" s="8">
        <f t="shared" si="2"/>
        <v>23868.139434274861</v>
      </c>
      <c r="K10">
        <f t="shared" si="3"/>
        <v>24380564987.150002</v>
      </c>
    </row>
    <row r="11" spans="1:11" x14ac:dyDescent="0.25">
      <c r="A11" s="2">
        <v>2014</v>
      </c>
      <c r="B11" s="5">
        <v>27799000000</v>
      </c>
      <c r="C11" s="6">
        <f>3.03*1000000000</f>
        <v>3030000000</v>
      </c>
      <c r="D11" s="4">
        <v>10.330833333333334</v>
      </c>
      <c r="E11" s="4">
        <v>2000000000</v>
      </c>
      <c r="F11" s="7">
        <f t="shared" si="1"/>
        <v>143.95967078189304</v>
      </c>
      <c r="G11" s="8">
        <f>G13-_xlfn.STDEV.S(G$12:G$19)</f>
        <v>2962.120839752718</v>
      </c>
      <c r="H11" s="8">
        <f>AVERAGE(H12:H20)</f>
        <v>24221.025490847373</v>
      </c>
      <c r="K11">
        <f t="shared" si="3"/>
        <v>26773469496.145</v>
      </c>
    </row>
    <row r="12" spans="1:11" x14ac:dyDescent="0.25">
      <c r="A12" s="2">
        <v>2015</v>
      </c>
      <c r="B12" s="5">
        <v>30601000000</v>
      </c>
      <c r="C12" s="6">
        <f>3.21*1000000000</f>
        <v>3210000000</v>
      </c>
      <c r="D12" s="4">
        <v>10.554166666666667</v>
      </c>
      <c r="E12" s="4">
        <v>2000000000</v>
      </c>
      <c r="F12" s="7">
        <f t="shared" ref="F12:F13" si="5">AVERAGE(F13:F15)</f>
        <v>143.11308641975313</v>
      </c>
      <c r="G12" s="8">
        <f>G$13-_xlfn.STDEV.S(G13:G20)</f>
        <v>3052.0468190180491</v>
      </c>
      <c r="H12" s="8">
        <f>H13-STDEV(H$13:H$20)</f>
        <v>20883.229417626375</v>
      </c>
      <c r="K12">
        <f t="shared" si="3"/>
        <v>29452740848.843498</v>
      </c>
    </row>
    <row r="13" spans="1:11" x14ac:dyDescent="0.25">
      <c r="A13" s="2">
        <v>2016</v>
      </c>
      <c r="B13" s="5">
        <v>32376000000</v>
      </c>
      <c r="C13" s="6">
        <f>3.28*1000000000</f>
        <v>3280000000</v>
      </c>
      <c r="D13" s="4">
        <v>10.693333333333333</v>
      </c>
      <c r="E13" s="4">
        <f t="shared" ref="E13:E14" si="6">E15-E14</f>
        <v>2000000000</v>
      </c>
      <c r="F13" s="7">
        <f t="shared" si="5"/>
        <v>144.83481481481485</v>
      </c>
      <c r="G13" s="1">
        <v>7857</v>
      </c>
      <c r="H13" s="1">
        <v>22577</v>
      </c>
      <c r="K13">
        <f t="shared" si="3"/>
        <v>31499022254.653049</v>
      </c>
    </row>
    <row r="14" spans="1:11" x14ac:dyDescent="0.25">
      <c r="A14" s="2">
        <v>2017</v>
      </c>
      <c r="B14" s="5">
        <v>34350000000</v>
      </c>
      <c r="C14" s="6">
        <f>3.34*1000000000</f>
        <v>3340000000</v>
      </c>
      <c r="D14" s="4">
        <v>10.74</v>
      </c>
      <c r="E14" s="4">
        <f t="shared" si="6"/>
        <v>2000000000</v>
      </c>
      <c r="F14" s="7">
        <f>AVERAGE(F15:F17)</f>
        <v>143.93111111111114</v>
      </c>
      <c r="G14" s="1">
        <v>9082</v>
      </c>
      <c r="H14" s="1">
        <v>23078</v>
      </c>
      <c r="K14">
        <f t="shared" si="3"/>
        <v>33494706676.395912</v>
      </c>
    </row>
    <row r="15" spans="1:11" x14ac:dyDescent="0.25">
      <c r="A15" s="2">
        <v>2018</v>
      </c>
      <c r="B15" s="5">
        <v>36397000000</v>
      </c>
      <c r="C15" s="6">
        <f>3.58*1000000000</f>
        <v>3580000000</v>
      </c>
      <c r="D15" s="4">
        <v>10.791666666666666</v>
      </c>
      <c r="E15" s="4">
        <f>E17-E16</f>
        <v>4000000000</v>
      </c>
      <c r="F15" s="7">
        <f>AVERAGE(F16:F18)</f>
        <v>140.57333333333335</v>
      </c>
      <c r="G15" s="1">
        <v>10428</v>
      </c>
      <c r="H15" s="1">
        <v>23969</v>
      </c>
      <c r="K15">
        <f t="shared" si="3"/>
        <v>35526312002.918777</v>
      </c>
    </row>
    <row r="16" spans="1:11" x14ac:dyDescent="0.25">
      <c r="A16" s="2">
        <v>2019</v>
      </c>
      <c r="B16" s="5">
        <v>39117000000</v>
      </c>
      <c r="C16" s="6">
        <f>3.75*1000000000</f>
        <v>3750000000</v>
      </c>
      <c r="D16" s="4">
        <v>10.952500000000001</v>
      </c>
      <c r="E16" s="4">
        <v>6000000000</v>
      </c>
      <c r="F16" s="4">
        <v>150</v>
      </c>
      <c r="G16" s="1">
        <v>11753</v>
      </c>
      <c r="H16" s="1">
        <v>25423</v>
      </c>
      <c r="K16">
        <f t="shared" si="3"/>
        <v>38039793600.875633</v>
      </c>
    </row>
    <row r="17" spans="1:11" x14ac:dyDescent="0.25">
      <c r="A17" s="2">
        <v>2020</v>
      </c>
      <c r="B17" s="5">
        <v>37403000000</v>
      </c>
      <c r="C17" s="6">
        <f>3.59*1000000000</f>
        <v>3590000000</v>
      </c>
      <c r="D17" s="4">
        <v>11.339166666666666</v>
      </c>
      <c r="E17" s="4">
        <v>10000000000</v>
      </c>
      <c r="F17" s="4">
        <v>141.22</v>
      </c>
      <c r="G17" s="1">
        <v>12382</v>
      </c>
      <c r="H17" s="1">
        <v>23156</v>
      </c>
      <c r="K17">
        <f t="shared" si="3"/>
        <v>37594038080.262688</v>
      </c>
    </row>
    <row r="18" spans="1:11" x14ac:dyDescent="0.25">
      <c r="A18" s="2">
        <v>2021</v>
      </c>
      <c r="B18" s="5">
        <v>44538000000</v>
      </c>
      <c r="C18" s="6">
        <f>3.11*1000000000</f>
        <v>3110000000</v>
      </c>
      <c r="D18" s="4">
        <v>11.286666666666667</v>
      </c>
      <c r="E18" s="4">
        <v>10000000000</v>
      </c>
      <c r="F18" s="4">
        <v>130.5</v>
      </c>
      <c r="G18" s="1">
        <v>16370</v>
      </c>
      <c r="H18" s="1">
        <v>25898</v>
      </c>
      <c r="K18">
        <f t="shared" si="3"/>
        <v>42454811424.078804</v>
      </c>
    </row>
    <row r="19" spans="1:11" x14ac:dyDescent="0.25">
      <c r="A19" s="2">
        <v>2022</v>
      </c>
      <c r="B19" s="5">
        <v>46710000000</v>
      </c>
      <c r="C19" s="6">
        <f>3.85*1000000000</f>
        <v>3850000000</v>
      </c>
      <c r="D19" s="4">
        <v>11.012500000000001</v>
      </c>
      <c r="E19" s="4">
        <v>106000000000</v>
      </c>
      <c r="F19" s="7">
        <f>AVERAGE(F15:F18)</f>
        <v>140.57333333333335</v>
      </c>
      <c r="G19" s="1">
        <v>18726</v>
      </c>
      <c r="H19" s="1">
        <v>25608</v>
      </c>
      <c r="K19">
        <f t="shared" si="3"/>
        <v>45433443427.223633</v>
      </c>
    </row>
    <row r="20" spans="1:11" x14ac:dyDescent="0.25">
      <c r="A20" s="2">
        <v>2023</v>
      </c>
      <c r="B20" s="5">
        <v>51217000000</v>
      </c>
      <c r="C20" s="6">
        <f>4.06*1000000000</f>
        <v>4059999999.9999995</v>
      </c>
      <c r="D20" s="4">
        <v>11.027999999999999</v>
      </c>
      <c r="E20" s="4">
        <v>115000000000</v>
      </c>
      <c r="F20" s="4">
        <f>130</f>
        <v>130</v>
      </c>
      <c r="G20" s="1">
        <v>21308</v>
      </c>
      <c r="H20" s="1">
        <v>27397</v>
      </c>
    </row>
    <row r="23" spans="1:11" x14ac:dyDescent="0.25">
      <c r="B23" t="s">
        <v>2</v>
      </c>
      <c r="C23" s="3">
        <f>STDEV(C11:C20)</f>
        <v>339967318.69074965</v>
      </c>
    </row>
    <row r="24" spans="1:11" x14ac:dyDescent="0.25">
      <c r="B24" t="s">
        <v>3</v>
      </c>
    </row>
    <row r="26" spans="1:11" x14ac:dyDescent="0.25">
      <c r="B26" t="s">
        <v>6</v>
      </c>
      <c r="C26">
        <f>_xlfn.STDEV.S(D8:D20)</f>
        <v>0.38284400159647852</v>
      </c>
    </row>
    <row r="30" spans="1:11" x14ac:dyDescent="0.25">
      <c r="B30" t="s">
        <v>41</v>
      </c>
    </row>
    <row r="31" spans="1:11" ht="15.75" x14ac:dyDescent="0.25">
      <c r="A31" t="s">
        <v>35</v>
      </c>
      <c r="B31" s="12">
        <f>(4.321828431*2) - (4.321828431*1) / 4.321828431</f>
        <v>7.6436568620000003</v>
      </c>
    </row>
    <row r="32" spans="1:11" x14ac:dyDescent="0.25">
      <c r="A32" t="s">
        <v>36</v>
      </c>
      <c r="B32">
        <f>(-334357433.9*2)  - (-334357433.9)/ (-334357433.9)</f>
        <v>-668714868.79999995</v>
      </c>
    </row>
    <row r="33" spans="1:3" ht="15.75" x14ac:dyDescent="0.25">
      <c r="A33" t="s">
        <v>37</v>
      </c>
      <c r="B33" s="12">
        <f>(-0.001904938*2)-( -0.001904938) / (- 0.001904938)</f>
        <v>-1.003809876</v>
      </c>
    </row>
    <row r="34" spans="1:3" x14ac:dyDescent="0.25">
      <c r="A34" t="s">
        <v>38</v>
      </c>
      <c r="B34">
        <f>(-203742107.4*2)-(203742107.4) / -203742107.4</f>
        <v>-407484213.80000001</v>
      </c>
    </row>
    <row r="35" spans="1:3" x14ac:dyDescent="0.25">
      <c r="A35" t="s">
        <v>39</v>
      </c>
      <c r="B35">
        <f>(866159.6207*2) - 866159.6207 / 866159.6207</f>
        <v>1732318.2413999999</v>
      </c>
    </row>
    <row r="36" spans="1:3" x14ac:dyDescent="0.25">
      <c r="A36" t="s">
        <v>40</v>
      </c>
      <c r="B36">
        <f>(201827.7404*2)-(201827.7404) / 201827.7404</f>
        <v>403654.48080000002</v>
      </c>
    </row>
    <row r="38" spans="1:3" x14ac:dyDescent="0.25">
      <c r="B38" t="e">
        <f>LOOKUP(143.87,F:F,TRUE)</f>
        <v>#N/A</v>
      </c>
      <c r="C38">
        <f>LOOKUP(143.84,F:F)</f>
        <v>143.83989229284157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DD81-34BD-4BD4-8C96-3EC8DD8B44A1}">
  <dimension ref="B1:L26"/>
  <sheetViews>
    <sheetView tabSelected="1" workbookViewId="0">
      <selection activeCell="B27" sqref="B27"/>
    </sheetView>
  </sheetViews>
  <sheetFormatPr defaultRowHeight="15" x14ac:dyDescent="0.25"/>
  <cols>
    <col min="2" max="2" width="15" customWidth="1"/>
    <col min="3" max="3" width="12" bestFit="1" customWidth="1"/>
    <col min="4" max="4" width="15.28515625" customWidth="1"/>
    <col min="7" max="7" width="13.140625" bestFit="1" customWidth="1"/>
    <col min="8" max="8" width="15.28515625" bestFit="1" customWidth="1"/>
    <col min="9" max="27" width="12" bestFit="1" customWidth="1"/>
  </cols>
  <sheetData>
    <row r="1" spans="2:12" x14ac:dyDescent="0.25">
      <c r="B1" t="s">
        <v>1</v>
      </c>
      <c r="C1" t="s">
        <v>42</v>
      </c>
      <c r="D1" t="s">
        <v>43</v>
      </c>
    </row>
    <row r="2" spans="2:12" x14ac:dyDescent="0.25">
      <c r="B2" s="2">
        <v>2005</v>
      </c>
      <c r="C2" cm="1">
        <f t="array" ref="C2:C20">VLOOKUP(B2:B20,Sheet1!A2:B20,2,FALSE)</f>
        <v>13740000000</v>
      </c>
      <c r="D2" cm="1">
        <f t="array" ref="D2:D20">VLOOKUP(B2:B20,Sheet1!A2:C20,3,TRUE)</f>
        <v>310261450.47400284</v>
      </c>
      <c r="G2" s="14" t="s">
        <v>47</v>
      </c>
      <c r="H2" t="s">
        <v>45</v>
      </c>
      <c r="I2" t="s">
        <v>44</v>
      </c>
      <c r="K2" t="str">
        <f>IF(D2&gt;C2,"Negative","Positive")</f>
        <v>Positive</v>
      </c>
      <c r="L2" t="str">
        <f>IF(C2&gt;D2,"Negative","Postive")</f>
        <v>Negative</v>
      </c>
    </row>
    <row r="3" spans="2:12" x14ac:dyDescent="0.25">
      <c r="B3" s="2">
        <v>2006</v>
      </c>
      <c r="C3">
        <v>14955000000</v>
      </c>
      <c r="D3">
        <v>310261450.47400284</v>
      </c>
      <c r="G3" s="15">
        <v>2005</v>
      </c>
      <c r="H3" s="13">
        <v>310261450.47400284</v>
      </c>
      <c r="I3" s="13">
        <v>13740000000</v>
      </c>
      <c r="K3" t="str">
        <f t="shared" ref="K3:K21" si="0">IF(D3&gt;C3,"Negative","Positive")</f>
        <v>Positive</v>
      </c>
      <c r="L3" t="str">
        <f t="shared" ref="L3:L21" si="1">IF(C3&gt;D3,"Negative","Postive")</f>
        <v>Negative</v>
      </c>
    </row>
    <row r="4" spans="2:12" x14ac:dyDescent="0.25">
      <c r="B4" s="2">
        <v>2007</v>
      </c>
      <c r="C4">
        <v>16326000000</v>
      </c>
      <c r="D4">
        <v>650228769.16475248</v>
      </c>
      <c r="G4" s="15">
        <v>2006</v>
      </c>
      <c r="H4" s="13">
        <v>310261450.47400284</v>
      </c>
      <c r="I4" s="13">
        <v>14955000000</v>
      </c>
      <c r="K4" t="str">
        <f t="shared" si="0"/>
        <v>Positive</v>
      </c>
      <c r="L4" t="str">
        <f t="shared" si="1"/>
        <v>Negative</v>
      </c>
    </row>
    <row r="5" spans="2:12" x14ac:dyDescent="0.25">
      <c r="B5" s="2">
        <v>2008</v>
      </c>
      <c r="C5">
        <v>18627000000</v>
      </c>
      <c r="D5">
        <v>990196087.85550213</v>
      </c>
      <c r="G5" s="15">
        <v>2007</v>
      </c>
      <c r="H5" s="13">
        <v>650228769.16475248</v>
      </c>
      <c r="I5" s="13">
        <v>16326000000</v>
      </c>
      <c r="K5" t="str">
        <f t="shared" si="0"/>
        <v>Positive</v>
      </c>
      <c r="L5" t="str">
        <f t="shared" si="1"/>
        <v>Negative</v>
      </c>
    </row>
    <row r="6" spans="2:12" x14ac:dyDescent="0.25">
      <c r="B6" s="2">
        <v>2009</v>
      </c>
      <c r="C6">
        <v>18528000000</v>
      </c>
      <c r="D6">
        <v>1330163406.5462518</v>
      </c>
      <c r="G6" s="15">
        <v>2008</v>
      </c>
      <c r="H6" s="13">
        <v>990196087.85550213</v>
      </c>
      <c r="I6" s="13">
        <v>18627000000</v>
      </c>
      <c r="K6" t="str">
        <f t="shared" si="0"/>
        <v>Positive</v>
      </c>
      <c r="L6" t="str">
        <f t="shared" si="1"/>
        <v>Negative</v>
      </c>
    </row>
    <row r="7" spans="2:12" x14ac:dyDescent="0.25">
      <c r="B7" s="2">
        <v>2010</v>
      </c>
      <c r="C7">
        <v>18324000000</v>
      </c>
      <c r="D7">
        <v>1670130725.2370014</v>
      </c>
      <c r="G7" s="15">
        <v>2009</v>
      </c>
      <c r="H7" s="13">
        <v>1330163406.5462518</v>
      </c>
      <c r="I7" s="13">
        <v>18528000000</v>
      </c>
      <c r="K7" t="str">
        <f t="shared" si="0"/>
        <v>Positive</v>
      </c>
      <c r="L7" t="str">
        <f t="shared" si="1"/>
        <v>Negative</v>
      </c>
    </row>
    <row r="8" spans="2:12" x14ac:dyDescent="0.25">
      <c r="B8" s="2">
        <v>2011</v>
      </c>
      <c r="C8">
        <v>20117000000</v>
      </c>
      <c r="D8">
        <v>2010098043.9277511</v>
      </c>
      <c r="G8" s="15">
        <v>2010</v>
      </c>
      <c r="H8" s="13">
        <v>1670130725.2370014</v>
      </c>
      <c r="I8" s="13">
        <v>18324000000</v>
      </c>
      <c r="K8" t="str">
        <f t="shared" si="0"/>
        <v>Positive</v>
      </c>
      <c r="L8" t="str">
        <f t="shared" si="1"/>
        <v>Negative</v>
      </c>
    </row>
    <row r="9" spans="2:12" x14ac:dyDescent="0.25">
      <c r="B9" s="2">
        <v>2012</v>
      </c>
      <c r="C9">
        <v>23331000000</v>
      </c>
      <c r="D9">
        <v>2350065362.6185007</v>
      </c>
      <c r="G9" s="15">
        <v>2011</v>
      </c>
      <c r="H9" s="13">
        <v>2010098043.9277511</v>
      </c>
      <c r="I9" s="13">
        <v>20117000000</v>
      </c>
      <c r="K9" t="str">
        <f t="shared" si="0"/>
        <v>Positive</v>
      </c>
      <c r="L9" t="str">
        <f t="shared" si="1"/>
        <v>Negative</v>
      </c>
    </row>
    <row r="10" spans="2:12" x14ac:dyDescent="0.25">
      <c r="B10" s="2">
        <v>2013</v>
      </c>
      <c r="C10">
        <v>25313000000</v>
      </c>
      <c r="D10">
        <v>2690032681.3092504</v>
      </c>
      <c r="G10" s="15">
        <v>2012</v>
      </c>
      <c r="H10" s="13">
        <v>2350065362.6185007</v>
      </c>
      <c r="I10" s="13">
        <v>23331000000</v>
      </c>
      <c r="K10" t="str">
        <f t="shared" si="0"/>
        <v>Positive</v>
      </c>
      <c r="L10" t="str">
        <f t="shared" si="1"/>
        <v>Negative</v>
      </c>
    </row>
    <row r="11" spans="2:12" x14ac:dyDescent="0.25">
      <c r="B11" s="2">
        <v>2014</v>
      </c>
      <c r="C11">
        <v>27799000000</v>
      </c>
      <c r="D11">
        <v>3030000000</v>
      </c>
      <c r="G11" s="15">
        <v>2013</v>
      </c>
      <c r="H11" s="13">
        <v>2690032681.3092504</v>
      </c>
      <c r="I11" s="13">
        <v>25313000000</v>
      </c>
      <c r="K11" t="str">
        <f t="shared" si="0"/>
        <v>Positive</v>
      </c>
      <c r="L11" t="str">
        <f t="shared" si="1"/>
        <v>Negative</v>
      </c>
    </row>
    <row r="12" spans="2:12" x14ac:dyDescent="0.25">
      <c r="B12" s="2">
        <v>2015</v>
      </c>
      <c r="C12">
        <v>30601000000</v>
      </c>
      <c r="D12">
        <v>3210000000</v>
      </c>
      <c r="G12" s="15">
        <v>2014</v>
      </c>
      <c r="H12" s="13">
        <v>3030000000</v>
      </c>
      <c r="I12" s="13">
        <v>27799000000</v>
      </c>
      <c r="K12" t="str">
        <f t="shared" si="0"/>
        <v>Positive</v>
      </c>
      <c r="L12" t="str">
        <f t="shared" si="1"/>
        <v>Negative</v>
      </c>
    </row>
    <row r="13" spans="2:12" x14ac:dyDescent="0.25">
      <c r="B13" s="2">
        <v>2016</v>
      </c>
      <c r="C13">
        <v>32376000000</v>
      </c>
      <c r="D13">
        <v>3280000000</v>
      </c>
      <c r="G13" s="15">
        <v>2015</v>
      </c>
      <c r="H13" s="13">
        <v>3210000000</v>
      </c>
      <c r="I13" s="13">
        <v>30601000000</v>
      </c>
      <c r="K13" t="str">
        <f t="shared" si="0"/>
        <v>Positive</v>
      </c>
      <c r="L13" t="str">
        <f t="shared" si="1"/>
        <v>Negative</v>
      </c>
    </row>
    <row r="14" spans="2:12" x14ac:dyDescent="0.25">
      <c r="B14" s="2">
        <v>2017</v>
      </c>
      <c r="C14">
        <v>34350000000</v>
      </c>
      <c r="D14">
        <v>3340000000</v>
      </c>
      <c r="G14" s="15">
        <v>2016</v>
      </c>
      <c r="H14" s="13">
        <v>3280000000</v>
      </c>
      <c r="I14" s="13">
        <v>32376000000</v>
      </c>
      <c r="K14" t="str">
        <f t="shared" si="0"/>
        <v>Positive</v>
      </c>
      <c r="L14" t="str">
        <f t="shared" si="1"/>
        <v>Negative</v>
      </c>
    </row>
    <row r="15" spans="2:12" x14ac:dyDescent="0.25">
      <c r="B15" s="2">
        <v>2018</v>
      </c>
      <c r="C15">
        <v>36397000000</v>
      </c>
      <c r="D15">
        <v>3580000000</v>
      </c>
      <c r="G15" s="15">
        <v>2017</v>
      </c>
      <c r="H15" s="13">
        <v>3340000000</v>
      </c>
      <c r="I15" s="13">
        <v>34350000000</v>
      </c>
      <c r="K15" t="str">
        <f t="shared" si="0"/>
        <v>Positive</v>
      </c>
      <c r="L15" t="str">
        <f t="shared" si="1"/>
        <v>Negative</v>
      </c>
    </row>
    <row r="16" spans="2:12" x14ac:dyDescent="0.25">
      <c r="B16" s="2">
        <v>2019</v>
      </c>
      <c r="C16">
        <v>39117000000</v>
      </c>
      <c r="D16">
        <v>3750000000</v>
      </c>
      <c r="G16" s="15">
        <v>2018</v>
      </c>
      <c r="H16" s="13">
        <v>3580000000</v>
      </c>
      <c r="I16" s="13">
        <v>36397000000</v>
      </c>
      <c r="K16" t="str">
        <f t="shared" si="0"/>
        <v>Positive</v>
      </c>
      <c r="L16" t="str">
        <f t="shared" si="1"/>
        <v>Negative</v>
      </c>
    </row>
    <row r="17" spans="2:12" x14ac:dyDescent="0.25">
      <c r="B17" s="2">
        <v>2020</v>
      </c>
      <c r="C17">
        <v>37403000000</v>
      </c>
      <c r="D17">
        <v>3590000000</v>
      </c>
      <c r="G17" s="15">
        <v>2019</v>
      </c>
      <c r="H17" s="13">
        <v>3750000000</v>
      </c>
      <c r="I17" s="13">
        <v>39117000000</v>
      </c>
      <c r="K17" t="str">
        <f t="shared" si="0"/>
        <v>Positive</v>
      </c>
      <c r="L17" t="str">
        <f t="shared" si="1"/>
        <v>Negative</v>
      </c>
    </row>
    <row r="18" spans="2:12" x14ac:dyDescent="0.25">
      <c r="B18" s="2">
        <v>2021</v>
      </c>
      <c r="C18">
        <v>44538000000</v>
      </c>
      <c r="D18">
        <v>3110000000</v>
      </c>
      <c r="G18" s="15">
        <v>2020</v>
      </c>
      <c r="H18" s="13">
        <v>3590000000</v>
      </c>
      <c r="I18" s="13">
        <v>37403000000</v>
      </c>
      <c r="K18" t="str">
        <f t="shared" si="0"/>
        <v>Positive</v>
      </c>
      <c r="L18" t="str">
        <f t="shared" si="1"/>
        <v>Negative</v>
      </c>
    </row>
    <row r="19" spans="2:12" x14ac:dyDescent="0.25">
      <c r="B19" s="2">
        <v>2022</v>
      </c>
      <c r="C19">
        <v>46710000000</v>
      </c>
      <c r="D19">
        <v>3850000000</v>
      </c>
      <c r="G19" s="15">
        <v>2021</v>
      </c>
      <c r="H19" s="13">
        <v>3110000000</v>
      </c>
      <c r="I19" s="13">
        <v>44538000000</v>
      </c>
      <c r="K19" t="str">
        <f t="shared" si="0"/>
        <v>Positive</v>
      </c>
      <c r="L19" t="str">
        <f t="shared" si="1"/>
        <v>Negative</v>
      </c>
    </row>
    <row r="20" spans="2:12" x14ac:dyDescent="0.25">
      <c r="B20" s="2">
        <v>2023</v>
      </c>
      <c r="C20">
        <v>51217000000</v>
      </c>
      <c r="D20">
        <v>4059999999.9999995</v>
      </c>
      <c r="G20" s="15">
        <v>2022</v>
      </c>
      <c r="H20" s="13">
        <v>3850000000</v>
      </c>
      <c r="I20" s="13">
        <v>46710000000</v>
      </c>
      <c r="K20" t="str">
        <f t="shared" si="0"/>
        <v>Positive</v>
      </c>
      <c r="L20" t="str">
        <f t="shared" si="1"/>
        <v>Negative</v>
      </c>
    </row>
    <row r="21" spans="2:12" x14ac:dyDescent="0.25">
      <c r="G21" s="15">
        <v>2023</v>
      </c>
      <c r="H21" s="13">
        <v>4059999999.9999995</v>
      </c>
      <c r="I21" s="13">
        <v>51217000000</v>
      </c>
      <c r="K21" t="str">
        <f t="shared" si="0"/>
        <v>Positive</v>
      </c>
      <c r="L21" t="str">
        <f t="shared" si="1"/>
        <v>Postive</v>
      </c>
    </row>
    <row r="22" spans="2:12" x14ac:dyDescent="0.25">
      <c r="G22" s="15" t="s">
        <v>46</v>
      </c>
      <c r="H22" s="13">
        <v>47111437977.60701</v>
      </c>
      <c r="I22" s="13">
        <v>549769000000</v>
      </c>
    </row>
    <row r="25" spans="2:12" x14ac:dyDescent="0.25">
      <c r="B25" t="s">
        <v>48</v>
      </c>
      <c r="C25" t="s">
        <v>49</v>
      </c>
    </row>
    <row r="26" spans="2:12" x14ac:dyDescent="0.25">
      <c r="B26">
        <v>2023</v>
      </c>
      <c r="C26">
        <f>(VLOOKUP(B26,B1:C20,2,FALSE))</f>
        <v>51217000000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stewart</dc:creator>
  <cp:lastModifiedBy>carson stewart</cp:lastModifiedBy>
  <dcterms:created xsi:type="dcterms:W3CDTF">2023-12-04T20:56:20Z</dcterms:created>
  <dcterms:modified xsi:type="dcterms:W3CDTF">2024-04-25T01:27:29Z</dcterms:modified>
</cp:coreProperties>
</file>