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showInkAnnotation="0" codeName="ThisWorkbook" defaultThemeVersion="124226"/>
  <mc:AlternateContent xmlns:mc="http://schemas.openxmlformats.org/markup-compatibility/2006">
    <mc:Choice Requires="x15">
      <x15ac:absPath xmlns:x15ac="http://schemas.microsoft.com/office/spreadsheetml/2010/11/ac" url="/Users/carterjanssen/Downloads/CIVE 202/Project 2/"/>
    </mc:Choice>
  </mc:AlternateContent>
  <xr:revisionPtr revIDLastSave="0" documentId="8_{C605B43A-78C6-7541-B771-2FFF4CCC9A27}" xr6:coauthVersionLast="47" xr6:coauthVersionMax="47" xr10:uidLastSave="{00000000-0000-0000-0000-000000000000}"/>
  <bookViews>
    <workbookView xWindow="4200" yWindow="2160" windowWidth="21600" windowHeight="12480" tabRatio="992" activeTab="8"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<sst xmlns="http://schemas.openxmlformats.org/spreadsheetml/2006/main" count="1017" uniqueCount="396">
  <si>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</si>
  <si>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</si>
  <si>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</si>
  <si>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</si>
  <si>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</si>
  <si>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</si>
  <si>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</si>
  <si>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</si>
  <si>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</si>
  <si>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</si>
  <si>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</si>
  <si>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</si>
  <si>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</si>
  <si>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</si>
  <si>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</si>
  <si>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</si>
  <si>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</si>
  <si>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</si>
  <si>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</si>
  <si>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</si>
  <si>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asdawd</t>
  </si>
  <si>
    <t>Control Number</t>
  </si>
  <si>
    <t>asdhjabsd</t>
  </si>
  <si>
    <t>Project No.</t>
  </si>
  <si>
    <t>asdbhasd</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</si>
  <si>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</si>
  <si>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</si>
  <si>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</si>
  <si>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</si>
  <si>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</si>
  <si>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</si>
  <si>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</si>
  <si>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</si>
  <si>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</si>
  <si>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</si>
  <si>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</si>
  <si>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</si>
  <si>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</si>
  <si>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</si>
  <si>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</si>
  <si>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</si>
  <si>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</si>
  <si>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</si>
  <si>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</si>
  <si>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</si>
  <si>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</si>
  <si>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</si>
  <si>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</si>
  <si>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</si>
  <si>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</si>
  <si>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</si>
  <si>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asdas</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</si>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</sst>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6">
    <font>
      <sz val="11"/>
      <color theme="1"/>
      <name val="Calibri"/>
      <family val="2"/>
      <scheme val="minor"/>
    </font>
    <font>
      <sz val="12"/>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3" fillId="0" borderId="0"/>
    <xf numFmtId="9" fontId="3" fillId="0" borderId="0" applyFont="0" applyFill="0" applyBorder="0" applyAlignment="0" applyProtection="0"/>
    <xf numFmtId="9" fontId="6" fillId="0" borderId="0" applyFont="0" applyFill="0" applyBorder="0" applyAlignment="0" applyProtection="0"/>
    <xf numFmtId="0" fontId="46" fillId="0" borderId="0"/>
    <xf numFmtId="0" fontId="49" fillId="0" borderId="0" applyNumberFormat="0" applyFill="0" applyBorder="0" applyAlignment="0" applyProtection="0"/>
  </cellStyleXfs>
  <cellXfs count="720">
    <xf numFmtId="0" fontId="0" fillId="0" borderId="0" xfId="0"/>
    <xf numFmtId="0" fontId="3" fillId="0" borderId="0" xfId="1"/>
    <xf numFmtId="0" fontId="3" fillId="0" borderId="0" xfId="1" applyAlignment="1">
      <alignment horizontal="right"/>
    </xf>
    <xf numFmtId="0" fontId="4" fillId="0" borderId="0" xfId="1" applyFont="1" applyAlignment="1">
      <alignment horizontal="center" wrapText="1"/>
    </xf>
    <xf numFmtId="0" fontId="4" fillId="0" borderId="2" xfId="1" applyFont="1" applyBorder="1" applyAlignment="1">
      <alignment horizontal="center" wrapText="1"/>
    </xf>
    <xf numFmtId="0" fontId="4" fillId="0" borderId="2" xfId="1" applyFont="1" applyBorder="1" applyAlignment="1">
      <alignment horizontal="center"/>
    </xf>
    <xf numFmtId="0" fontId="0" fillId="0" borderId="4" xfId="0" applyBorder="1"/>
    <xf numFmtId="0" fontId="0" fillId="0" borderId="2" xfId="0" applyBorder="1"/>
    <xf numFmtId="0" fontId="3" fillId="3" borderId="3" xfId="1" applyFill="1" applyBorder="1" applyAlignment="1">
      <alignment horizontal="center" vertical="center" wrapText="1"/>
    </xf>
    <xf numFmtId="0" fontId="3" fillId="3" borderId="0" xfId="1" applyFill="1" applyAlignment="1">
      <alignment horizontal="center" vertical="center" wrapText="1"/>
    </xf>
    <xf numFmtId="0" fontId="2"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3" fillId="0" borderId="2" xfId="1" applyBorder="1"/>
    <xf numFmtId="0" fontId="3"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3" fillId="3" borderId="5" xfId="1" applyFill="1" applyBorder="1" applyAlignment="1">
      <alignment horizontal="center"/>
    </xf>
    <xf numFmtId="0" fontId="0" fillId="0" borderId="4" xfId="0" applyBorder="1" applyAlignment="1">
      <alignment horizontal="left" indent="8"/>
    </xf>
    <xf numFmtId="0" fontId="4" fillId="0" borderId="2" xfId="0" applyFont="1" applyBorder="1" applyAlignment="1">
      <alignment horizontal="center" wrapText="1"/>
    </xf>
    <xf numFmtId="0" fontId="4"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7" fillId="0" borderId="8" xfId="0" applyFont="1" applyBorder="1" applyAlignment="1">
      <alignment horizontal="center"/>
    </xf>
    <xf numFmtId="0" fontId="7"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8"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3" fillId="5" borderId="10" xfId="1" applyFill="1" applyBorder="1"/>
    <xf numFmtId="0" fontId="3" fillId="5" borderId="7" xfId="1" applyFill="1" applyBorder="1"/>
    <xf numFmtId="0" fontId="0" fillId="5" borderId="7" xfId="0" applyFill="1" applyBorder="1"/>
    <xf numFmtId="0" fontId="3"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3" fillId="3" borderId="3" xfId="1" applyFill="1" applyBorder="1" applyAlignment="1">
      <alignment horizontal="center" wrapText="1"/>
    </xf>
    <xf numFmtId="9" fontId="0" fillId="0" borderId="2" xfId="3" applyFont="1" applyBorder="1"/>
    <xf numFmtId="0" fontId="3"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2" fillId="0" borderId="2" xfId="0" applyFont="1" applyBorder="1"/>
    <xf numFmtId="0" fontId="3" fillId="0" borderId="2" xfId="1" applyBorder="1" applyAlignment="1">
      <alignment horizontal="center"/>
    </xf>
    <xf numFmtId="2" fontId="2"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2" fillId="0" borderId="2" xfId="0" applyFont="1" applyBorder="1" applyAlignment="1">
      <alignment horizontal="center"/>
    </xf>
    <xf numFmtId="0" fontId="0" fillId="8" borderId="4" xfId="0" applyFill="1" applyBorder="1"/>
    <xf numFmtId="0" fontId="2"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8"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8" fillId="0" borderId="2" xfId="0" applyFont="1" applyBorder="1" applyAlignment="1">
      <alignment horizontal="center"/>
    </xf>
    <xf numFmtId="0" fontId="4" fillId="0" borderId="10" xfId="1" applyFont="1" applyBorder="1" applyAlignment="1">
      <alignment horizontal="center" wrapText="1"/>
    </xf>
    <xf numFmtId="0" fontId="4"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8" fillId="0" borderId="2" xfId="0" applyFont="1" applyBorder="1"/>
    <xf numFmtId="0" fontId="7"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3" fillId="0" borderId="0" xfId="1" applyAlignment="1">
      <alignment horizontal="center" wrapText="1"/>
    </xf>
    <xf numFmtId="0" fontId="0" fillId="0" borderId="0" xfId="0" applyAlignment="1">
      <alignment horizontal="left" indent="7"/>
    </xf>
    <xf numFmtId="0" fontId="9" fillId="0" borderId="0" xfId="0" applyFont="1"/>
    <xf numFmtId="0" fontId="7" fillId="0" borderId="0" xfId="0" applyFont="1" applyAlignment="1">
      <alignment horizontal="left"/>
    </xf>
    <xf numFmtId="0" fontId="10"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3"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3"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3" fillId="11" borderId="2" xfId="0" applyFont="1" applyFill="1" applyBorder="1" applyAlignment="1">
      <alignment horizontal="center"/>
    </xf>
    <xf numFmtId="0" fontId="3" fillId="9" borderId="3" xfId="0" applyFont="1" applyFill="1" applyBorder="1" applyAlignment="1">
      <alignment horizontal="center"/>
    </xf>
    <xf numFmtId="2" fontId="3" fillId="9" borderId="3" xfId="0" applyNumberFormat="1" applyFont="1" applyFill="1" applyBorder="1" applyAlignment="1">
      <alignment horizontal="center"/>
    </xf>
    <xf numFmtId="2" fontId="0" fillId="9" borderId="3" xfId="0" applyNumberFormat="1" applyFill="1" applyBorder="1" applyAlignment="1">
      <alignment horizontal="center"/>
    </xf>
    <xf numFmtId="0" fontId="3" fillId="9" borderId="2" xfId="0" applyFont="1" applyFill="1" applyBorder="1" applyAlignment="1">
      <alignment horizontal="center"/>
    </xf>
    <xf numFmtId="2" fontId="3"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3" fillId="9" borderId="7" xfId="0" applyNumberFormat="1" applyFont="1" applyFill="1" applyBorder="1" applyAlignment="1">
      <alignment horizontal="center"/>
    </xf>
    <xf numFmtId="2" fontId="3" fillId="9" borderId="0" xfId="0" applyNumberFormat="1" applyFont="1" applyFill="1" applyAlignment="1">
      <alignment horizontal="center"/>
    </xf>
    <xf numFmtId="0" fontId="3" fillId="7" borderId="2" xfId="0" applyFont="1" applyFill="1" applyBorder="1" applyAlignment="1">
      <alignment horizontal="center"/>
    </xf>
    <xf numFmtId="2" fontId="3" fillId="7" borderId="2" xfId="0" applyNumberFormat="1" applyFont="1" applyFill="1" applyBorder="1" applyAlignment="1">
      <alignment horizontal="center"/>
    </xf>
    <xf numFmtId="2" fontId="0" fillId="7" borderId="2" xfId="0" applyNumberFormat="1" applyFill="1" applyBorder="1" applyAlignment="1">
      <alignment horizontal="center"/>
    </xf>
    <xf numFmtId="0" fontId="3" fillId="12" borderId="2" xfId="0" applyFont="1" applyFill="1" applyBorder="1" applyAlignment="1">
      <alignment horizontal="center"/>
    </xf>
    <xf numFmtId="2" fontId="3"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3" fillId="13" borderId="2" xfId="0" applyFont="1" applyFill="1" applyBorder="1" applyAlignment="1">
      <alignment horizontal="center"/>
    </xf>
    <xf numFmtId="2" fontId="3"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3" fillId="2" borderId="2" xfId="0" applyFont="1" applyFill="1" applyBorder="1" applyAlignment="1">
      <alignment horizontal="center"/>
    </xf>
    <xf numFmtId="2" fontId="3" fillId="2" borderId="2" xfId="0" applyNumberFormat="1" applyFont="1" applyFill="1" applyBorder="1" applyAlignment="1">
      <alignment horizontal="center"/>
    </xf>
    <xf numFmtId="2" fontId="0" fillId="2" borderId="2" xfId="0" applyNumberFormat="1" applyFill="1" applyBorder="1" applyAlignment="1">
      <alignment horizontal="center"/>
    </xf>
    <xf numFmtId="0" fontId="3" fillId="2" borderId="10" xfId="0" applyFont="1" applyFill="1" applyBorder="1" applyAlignment="1">
      <alignment horizontal="center"/>
    </xf>
    <xf numFmtId="2" fontId="3" fillId="2" borderId="10" xfId="0" applyNumberFormat="1" applyFont="1" applyFill="1" applyBorder="1" applyAlignment="1">
      <alignment horizontal="center"/>
    </xf>
    <xf numFmtId="0" fontId="3" fillId="2" borderId="20" xfId="0" applyFont="1" applyFill="1" applyBorder="1" applyAlignment="1">
      <alignment horizontal="center"/>
    </xf>
    <xf numFmtId="0" fontId="3" fillId="2" borderId="21" xfId="0" applyFont="1" applyFill="1" applyBorder="1" applyAlignment="1">
      <alignment horizontal="center"/>
    </xf>
    <xf numFmtId="2" fontId="3"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3" fillId="2" borderId="3" xfId="0" applyFont="1" applyFill="1" applyBorder="1" applyAlignment="1">
      <alignment horizontal="center"/>
    </xf>
    <xf numFmtId="2" fontId="3" fillId="2" borderId="3" xfId="0" applyNumberFormat="1" applyFont="1" applyFill="1" applyBorder="1" applyAlignment="1">
      <alignment horizontal="center"/>
    </xf>
    <xf numFmtId="0" fontId="3" fillId="10" borderId="2" xfId="0" applyFont="1" applyFill="1" applyBorder="1" applyAlignment="1">
      <alignment horizontal="center"/>
    </xf>
    <xf numFmtId="2" fontId="3"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3" fillId="10" borderId="10" xfId="0" applyFont="1" applyFill="1" applyBorder="1" applyAlignment="1">
      <alignment horizontal="center"/>
    </xf>
    <xf numFmtId="2" fontId="3"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3" fillId="10" borderId="20" xfId="0" applyFont="1" applyFill="1" applyBorder="1" applyAlignment="1">
      <alignment horizontal="center"/>
    </xf>
    <xf numFmtId="0" fontId="3" fillId="10" borderId="21" xfId="0" applyFont="1" applyFill="1" applyBorder="1" applyAlignment="1">
      <alignment horizontal="center"/>
    </xf>
    <xf numFmtId="2" fontId="3"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3" fillId="10" borderId="3" xfId="0" applyFont="1" applyFill="1" applyBorder="1" applyAlignment="1">
      <alignment horizontal="center"/>
    </xf>
    <xf numFmtId="2" fontId="3"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3"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3" fillId="2" borderId="0" xfId="0" applyNumberFormat="1" applyFont="1" applyFill="1" applyAlignment="1">
      <alignment horizontal="center"/>
    </xf>
    <xf numFmtId="0" fontId="3"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3" fillId="0" borderId="0" xfId="0" applyFont="1"/>
    <xf numFmtId="0" fontId="5" fillId="0" borderId="0" xfId="0" applyFont="1"/>
    <xf numFmtId="0" fontId="5" fillId="0" borderId="0" xfId="0" applyFont="1" applyAlignment="1">
      <alignment horizontal="right"/>
    </xf>
    <xf numFmtId="0" fontId="2" fillId="0" borderId="24" xfId="0" applyFont="1" applyBorder="1"/>
    <xf numFmtId="0" fontId="2" fillId="0" borderId="25" xfId="0" applyFont="1" applyBorder="1"/>
    <xf numFmtId="0" fontId="2" fillId="0" borderId="26" xfId="0" applyFont="1" applyBorder="1"/>
    <xf numFmtId="0" fontId="17" fillId="0" borderId="0" xfId="0" applyFont="1"/>
    <xf numFmtId="0" fontId="19" fillId="0" borderId="0" xfId="0" applyFont="1"/>
    <xf numFmtId="0" fontId="16" fillId="0" borderId="0" xfId="0" applyFont="1"/>
    <xf numFmtId="0" fontId="20" fillId="0" borderId="0" xfId="0" applyFont="1"/>
    <xf numFmtId="0" fontId="23" fillId="0" borderId="0" xfId="0" applyFont="1"/>
    <xf numFmtId="2" fontId="24" fillId="8" borderId="27" xfId="0" applyNumberFormat="1" applyFont="1" applyFill="1" applyBorder="1" applyAlignment="1">
      <alignment horizontal="center"/>
    </xf>
    <xf numFmtId="2" fontId="24" fillId="8" borderId="23" xfId="0" applyNumberFormat="1" applyFont="1" applyFill="1" applyBorder="1" applyAlignment="1">
      <alignment horizontal="center"/>
    </xf>
    <xf numFmtId="0" fontId="2" fillId="0" borderId="0" xfId="0" applyFont="1" applyAlignment="1">
      <alignment horizontal="center"/>
    </xf>
    <xf numFmtId="12" fontId="0" fillId="0" borderId="7" xfId="0" applyNumberFormat="1" applyBorder="1" applyAlignment="1">
      <alignment horizontal="center"/>
    </xf>
    <xf numFmtId="0" fontId="3" fillId="0" borderId="10" xfId="1" applyBorder="1"/>
    <xf numFmtId="0" fontId="3" fillId="0" borderId="7" xfId="1" applyBorder="1"/>
    <xf numFmtId="0" fontId="3" fillId="0" borderId="7" xfId="1" applyBorder="1" applyAlignment="1">
      <alignment horizontal="center"/>
    </xf>
    <xf numFmtId="9" fontId="2" fillId="0" borderId="0" xfId="3" applyFont="1" applyAlignment="1">
      <alignment horizontal="center"/>
    </xf>
    <xf numFmtId="0" fontId="0" fillId="0" borderId="26" xfId="0" applyBorder="1" applyAlignment="1">
      <alignment horizontal="center"/>
    </xf>
    <xf numFmtId="0" fontId="3" fillId="0" borderId="27" xfId="0" applyFont="1" applyBorder="1" applyAlignment="1">
      <alignment horizontal="center"/>
    </xf>
    <xf numFmtId="0" fontId="3"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3" fillId="0" borderId="28" xfId="0" applyFont="1" applyBorder="1" applyAlignment="1">
      <alignment horizontal="center"/>
    </xf>
    <xf numFmtId="0" fontId="3"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3"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3"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3" fillId="6" borderId="9" xfId="0" applyFont="1" applyFill="1" applyBorder="1" applyAlignment="1">
      <alignment horizontal="center"/>
    </xf>
    <xf numFmtId="0" fontId="0" fillId="6" borderId="3" xfId="0" applyFill="1" applyBorder="1" applyAlignment="1">
      <alignment horizontal="center"/>
    </xf>
    <xf numFmtId="0" fontId="3" fillId="6" borderId="3" xfId="0" applyFont="1" applyFill="1" applyBorder="1" applyAlignment="1">
      <alignment horizontal="center"/>
    </xf>
    <xf numFmtId="0" fontId="3" fillId="6" borderId="7" xfId="0" applyFont="1" applyFill="1" applyBorder="1" applyAlignment="1">
      <alignment horizontal="center"/>
    </xf>
    <xf numFmtId="0" fontId="3" fillId="6" borderId="11" xfId="0" applyFont="1" applyFill="1" applyBorder="1" applyAlignment="1">
      <alignment horizontal="center"/>
    </xf>
    <xf numFmtId="0" fontId="3" fillId="6" borderId="2" xfId="0" applyFont="1" applyFill="1" applyBorder="1" applyAlignment="1">
      <alignment horizontal="center"/>
    </xf>
    <xf numFmtId="0" fontId="3" fillId="0" borderId="2" xfId="0" applyFont="1" applyBorder="1" applyAlignment="1">
      <alignment horizontal="center"/>
    </xf>
    <xf numFmtId="164" fontId="3" fillId="0" borderId="2" xfId="2" applyNumberFormat="1" applyFont="1" applyFill="1" applyBorder="1" applyAlignment="1">
      <alignment horizontal="center"/>
    </xf>
    <xf numFmtId="2" fontId="3"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4" fillId="0" borderId="0" xfId="0" applyNumberFormat="1" applyFont="1" applyAlignment="1">
      <alignment horizontal="center"/>
    </xf>
    <xf numFmtId="0" fontId="27" fillId="14" borderId="23" xfId="0" applyFont="1" applyFill="1" applyBorder="1" applyAlignment="1">
      <alignment horizontal="center"/>
    </xf>
    <xf numFmtId="0" fontId="3" fillId="14" borderId="23" xfId="0" applyFont="1" applyFill="1" applyBorder="1" applyAlignment="1">
      <alignment horizontal="center"/>
    </xf>
    <xf numFmtId="164" fontId="3" fillId="2" borderId="2" xfId="3" applyNumberFormat="1" applyFont="1" applyFill="1" applyBorder="1" applyAlignment="1">
      <alignment horizontal="center"/>
    </xf>
    <xf numFmtId="164" fontId="3" fillId="2" borderId="10" xfId="3" applyNumberFormat="1" applyFont="1" applyFill="1" applyBorder="1" applyAlignment="1">
      <alignment horizontal="center"/>
    </xf>
    <xf numFmtId="164" fontId="3" fillId="2" borderId="3" xfId="3" applyNumberFormat="1" applyFont="1" applyFill="1" applyBorder="1" applyAlignment="1">
      <alignment horizontal="center"/>
    </xf>
    <xf numFmtId="164" fontId="3" fillId="2" borderId="21" xfId="3" applyNumberFormat="1" applyFont="1" applyFill="1" applyBorder="1" applyAlignment="1">
      <alignment horizontal="center"/>
    </xf>
    <xf numFmtId="164" fontId="3" fillId="10" borderId="2" xfId="3" applyNumberFormat="1" applyFont="1" applyFill="1" applyBorder="1" applyAlignment="1">
      <alignment horizontal="center"/>
    </xf>
    <xf numFmtId="164" fontId="3" fillId="10" borderId="10" xfId="3" applyNumberFormat="1" applyFont="1" applyFill="1" applyBorder="1" applyAlignment="1">
      <alignment horizontal="center"/>
    </xf>
    <xf numFmtId="164" fontId="3" fillId="10" borderId="21" xfId="3" applyNumberFormat="1" applyFont="1" applyFill="1" applyBorder="1" applyAlignment="1">
      <alignment horizontal="center"/>
    </xf>
    <xf numFmtId="164" fontId="3"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5" fillId="0" borderId="2" xfId="0" applyFont="1" applyBorder="1" applyAlignment="1">
      <alignment horizontal="center"/>
    </xf>
    <xf numFmtId="0" fontId="5"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5" fillId="14" borderId="2" xfId="0" applyFont="1" applyFill="1" applyBorder="1" applyAlignment="1">
      <alignment horizontal="center"/>
    </xf>
    <xf numFmtId="0" fontId="0" fillId="14" borderId="2" xfId="0" applyFill="1" applyBorder="1" applyAlignment="1">
      <alignment horizontal="center"/>
    </xf>
    <xf numFmtId="0" fontId="30" fillId="0" borderId="0" xfId="0" applyFont="1"/>
    <xf numFmtId="0" fontId="11" fillId="0" borderId="0" xfId="0" applyFont="1"/>
    <xf numFmtId="0" fontId="32" fillId="11" borderId="0" xfId="0" applyFont="1" applyFill="1"/>
    <xf numFmtId="0" fontId="2" fillId="11" borderId="0" xfId="0" applyFont="1" applyFill="1"/>
    <xf numFmtId="0" fontId="26" fillId="0" borderId="0" xfId="0" applyFont="1"/>
    <xf numFmtId="0" fontId="12"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1"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3"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8" fillId="0" borderId="0" xfId="0" applyFont="1"/>
    <xf numFmtId="0" fontId="25" fillId="0" borderId="0" xfId="0" applyFont="1"/>
    <xf numFmtId="16" fontId="0" fillId="0" borderId="0" xfId="0" applyNumberFormat="1" applyAlignment="1">
      <alignment horizontal="left" indent="4"/>
    </xf>
    <xf numFmtId="0" fontId="3" fillId="0" borderId="0" xfId="1" applyAlignment="1">
      <alignment horizontal="center" vertical="center" wrapText="1"/>
    </xf>
    <xf numFmtId="0" fontId="3" fillId="0" borderId="0" xfId="1" applyAlignment="1">
      <alignment horizontal="center" vertical="center"/>
    </xf>
    <xf numFmtId="167" fontId="0" fillId="0" borderId="0" xfId="0" applyNumberFormat="1"/>
    <xf numFmtId="9" fontId="2" fillId="0" borderId="0" xfId="3" applyFont="1" applyFill="1" applyBorder="1" applyAlignment="1">
      <alignment horizontal="center"/>
    </xf>
    <xf numFmtId="0" fontId="0" fillId="0" borderId="0" xfId="0" applyAlignment="1">
      <alignment horizontal="left" indent="1"/>
    </xf>
    <xf numFmtId="0" fontId="34" fillId="0" borderId="44" xfId="0" applyFont="1" applyBorder="1" applyAlignment="1">
      <alignment horizontal="center" vertical="center" wrapText="1"/>
    </xf>
    <xf numFmtId="0" fontId="34" fillId="0" borderId="23" xfId="0" applyFont="1" applyBorder="1" applyAlignment="1">
      <alignment horizontal="center" vertical="center" wrapText="1"/>
    </xf>
    <xf numFmtId="0" fontId="34" fillId="0" borderId="24" xfId="0" applyFont="1" applyBorder="1" applyAlignment="1">
      <alignment horizontal="center" vertical="center" wrapText="1"/>
    </xf>
    <xf numFmtId="0" fontId="34" fillId="2" borderId="2" xfId="0" applyFont="1" applyFill="1" applyBorder="1" applyAlignment="1">
      <alignment horizontal="center" vertical="center" wrapText="1"/>
    </xf>
    <xf numFmtId="2" fontId="35" fillId="0" borderId="46" xfId="0" applyNumberFormat="1" applyFont="1" applyBorder="1" applyAlignment="1">
      <alignment horizontal="center" vertical="center"/>
    </xf>
    <xf numFmtId="2" fontId="32" fillId="2" borderId="2" xfId="0" applyNumberFormat="1" applyFont="1" applyFill="1" applyBorder="1" applyAlignment="1">
      <alignment horizontal="center"/>
    </xf>
    <xf numFmtId="0" fontId="35" fillId="0" borderId="47" xfId="0" applyFont="1" applyBorder="1" applyAlignment="1">
      <alignment horizontal="center" vertical="center"/>
    </xf>
    <xf numFmtId="2" fontId="35" fillId="0" borderId="48" xfId="0" applyNumberFormat="1" applyFont="1" applyBorder="1" applyAlignment="1">
      <alignment horizontal="center" vertical="center"/>
    </xf>
    <xf numFmtId="0" fontId="35" fillId="0" borderId="49" xfId="0" applyFont="1" applyBorder="1" applyAlignment="1">
      <alignment horizontal="center" vertical="center"/>
    </xf>
    <xf numFmtId="0" fontId="35" fillId="0" borderId="50" xfId="0" applyFont="1" applyBorder="1" applyAlignment="1">
      <alignment horizontal="center" vertical="center"/>
    </xf>
    <xf numFmtId="0" fontId="35" fillId="0" borderId="0" xfId="0" applyFont="1"/>
    <xf numFmtId="0" fontId="34" fillId="15" borderId="23" xfId="0" applyFont="1" applyFill="1" applyBorder="1" applyAlignment="1">
      <alignment horizontal="center" vertical="center" wrapText="1"/>
    </xf>
    <xf numFmtId="0" fontId="34" fillId="15" borderId="24" xfId="0" applyFont="1" applyFill="1" applyBorder="1" applyAlignment="1">
      <alignment horizontal="center" vertical="center" wrapText="1"/>
    </xf>
    <xf numFmtId="0" fontId="34" fillId="2" borderId="10" xfId="0" applyFont="1" applyFill="1" applyBorder="1" applyAlignment="1">
      <alignment horizontal="center" vertical="center" wrapText="1"/>
    </xf>
    <xf numFmtId="0" fontId="34" fillId="0" borderId="45" xfId="0" applyFont="1" applyBorder="1" applyAlignment="1">
      <alignment horizontal="center" vertical="center" wrapText="1"/>
    </xf>
    <xf numFmtId="2" fontId="35" fillId="15" borderId="46" xfId="0" applyNumberFormat="1" applyFont="1" applyFill="1" applyBorder="1" applyAlignment="1">
      <alignment horizontal="center" vertical="center"/>
    </xf>
    <xf numFmtId="0" fontId="32" fillId="2" borderId="2" xfId="0" applyFont="1" applyFill="1" applyBorder="1" applyAlignment="1">
      <alignment horizontal="center"/>
    </xf>
    <xf numFmtId="2" fontId="35" fillId="15" borderId="48" xfId="0" applyNumberFormat="1" applyFont="1" applyFill="1" applyBorder="1" applyAlignment="1">
      <alignment horizontal="center" vertical="center"/>
    </xf>
    <xf numFmtId="0" fontId="35" fillId="0" borderId="51" xfId="0" applyFont="1" applyBorder="1" applyAlignment="1">
      <alignment horizontal="center" vertical="center"/>
    </xf>
    <xf numFmtId="2" fontId="35" fillId="15" borderId="52" xfId="0" applyNumberFormat="1" applyFont="1" applyFill="1" applyBorder="1" applyAlignment="1">
      <alignment horizontal="center" vertical="center"/>
    </xf>
    <xf numFmtId="2" fontId="2"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2" fillId="0" borderId="0" xfId="0" applyNumberFormat="1" applyFont="1" applyAlignment="1">
      <alignment horizontal="center"/>
    </xf>
    <xf numFmtId="0" fontId="36" fillId="0" borderId="0" xfId="0" applyFont="1"/>
    <xf numFmtId="0" fontId="37" fillId="0" borderId="0" xfId="0" applyFont="1"/>
    <xf numFmtId="0" fontId="38" fillId="0" borderId="56" xfId="0" applyFont="1" applyBorder="1" applyAlignment="1">
      <alignment horizontal="center" wrapText="1"/>
    </xf>
    <xf numFmtId="0" fontId="38" fillId="0" borderId="60" xfId="0" applyFont="1" applyBorder="1" applyAlignment="1">
      <alignment horizontal="center" wrapText="1"/>
    </xf>
    <xf numFmtId="0" fontId="38" fillId="0" borderId="53" xfId="0" applyFont="1" applyBorder="1"/>
    <xf numFmtId="0" fontId="38" fillId="0" borderId="54" xfId="0" applyFont="1" applyBorder="1"/>
    <xf numFmtId="0" fontId="38" fillId="0" borderId="0" xfId="0" applyFont="1"/>
    <xf numFmtId="0" fontId="39" fillId="0" borderId="53" xfId="1" applyFont="1" applyBorder="1" applyAlignment="1">
      <alignment horizontal="left" vertical="center" wrapText="1"/>
    </xf>
    <xf numFmtId="0" fontId="39" fillId="0" borderId="53" xfId="1" applyFont="1" applyBorder="1" applyAlignment="1">
      <alignment horizontal="left" vertical="center"/>
    </xf>
    <xf numFmtId="0" fontId="37" fillId="0" borderId="54" xfId="0" applyFont="1" applyBorder="1" applyAlignment="1">
      <alignment horizontal="left"/>
    </xf>
    <xf numFmtId="0" fontId="38" fillId="0" borderId="57" xfId="0" applyFont="1" applyBorder="1" applyAlignment="1">
      <alignment horizontal="center" wrapText="1"/>
    </xf>
    <xf numFmtId="0" fontId="37" fillId="0" borderId="0" xfId="0" applyFont="1" applyAlignment="1">
      <alignment horizontal="center"/>
    </xf>
    <xf numFmtId="0" fontId="37" fillId="0" borderId="0" xfId="0" applyFont="1" applyAlignment="1">
      <alignment horizontal="right"/>
    </xf>
    <xf numFmtId="9" fontId="37" fillId="0" borderId="0" xfId="3" applyFont="1"/>
    <xf numFmtId="1" fontId="37" fillId="0" borderId="0" xfId="0" applyNumberFormat="1" applyFont="1"/>
    <xf numFmtId="0" fontId="8" fillId="0" borderId="0" xfId="0" applyFont="1"/>
    <xf numFmtId="0" fontId="37" fillId="0" borderId="65" xfId="0" applyFont="1" applyBorder="1" applyAlignment="1">
      <alignment vertical="top"/>
    </xf>
    <xf numFmtId="0" fontId="41" fillId="0" borderId="0" xfId="0" applyFont="1"/>
    <xf numFmtId="0" fontId="38" fillId="0" borderId="56" xfId="0" applyFont="1" applyBorder="1"/>
    <xf numFmtId="0" fontId="42" fillId="0" borderId="56" xfId="1" applyFont="1" applyBorder="1" applyAlignment="1">
      <alignment horizontal="center" wrapText="1"/>
    </xf>
    <xf numFmtId="0" fontId="42" fillId="0" borderId="60" xfId="1" applyFont="1" applyBorder="1" applyAlignment="1">
      <alignment horizontal="center" wrapText="1"/>
    </xf>
    <xf numFmtId="2" fontId="37" fillId="0" borderId="0" xfId="0" applyNumberFormat="1" applyFont="1"/>
    <xf numFmtId="2" fontId="37" fillId="0" borderId="55" xfId="0" applyNumberFormat="1" applyFont="1" applyBorder="1"/>
    <xf numFmtId="2" fontId="37" fillId="0" borderId="58" xfId="0" applyNumberFormat="1" applyFont="1" applyBorder="1"/>
    <xf numFmtId="168" fontId="37" fillId="0" borderId="0" xfId="0" applyNumberFormat="1" applyFont="1"/>
    <xf numFmtId="0" fontId="45" fillId="0" borderId="0" xfId="0" applyFont="1" applyAlignment="1">
      <alignment horizontal="center"/>
    </xf>
    <xf numFmtId="0" fontId="44" fillId="0" borderId="0" xfId="0" applyFont="1" applyAlignment="1">
      <alignment horizontal="center"/>
    </xf>
    <xf numFmtId="168" fontId="0" fillId="0" borderId="0" xfId="0" applyNumberFormat="1" applyAlignment="1">
      <alignment horizontal="right" indent="1"/>
    </xf>
    <xf numFmtId="168" fontId="36" fillId="0" borderId="0" xfId="0" applyNumberFormat="1" applyFont="1"/>
    <xf numFmtId="9" fontId="37" fillId="0" borderId="2" xfId="3" applyFont="1" applyFill="1" applyBorder="1"/>
    <xf numFmtId="0" fontId="46" fillId="0" borderId="0" xfId="4"/>
    <xf numFmtId="0" fontId="46" fillId="0" borderId="0" xfId="4" applyAlignment="1">
      <alignment wrapText="1"/>
    </xf>
    <xf numFmtId="0" fontId="53" fillId="0" borderId="0" xfId="4" applyFont="1" applyAlignment="1">
      <alignment horizontal="center" wrapText="1"/>
    </xf>
    <xf numFmtId="0" fontId="35" fillId="0" borderId="0" xfId="4" applyFont="1"/>
    <xf numFmtId="0" fontId="51" fillId="0" borderId="0" xfId="4" applyFont="1" applyAlignment="1">
      <alignment horizontal="left" vertical="center" wrapText="1"/>
    </xf>
    <xf numFmtId="0" fontId="35" fillId="0" borderId="0" xfId="4" applyFont="1" applyAlignment="1">
      <alignment horizontal="left" vertical="center"/>
    </xf>
    <xf numFmtId="0" fontId="34" fillId="0" borderId="0" xfId="4" applyFont="1" applyAlignment="1">
      <alignment horizontal="left" vertical="center"/>
    </xf>
    <xf numFmtId="0" fontId="34" fillId="0" borderId="0" xfId="4" applyFont="1" applyAlignment="1">
      <alignment horizontal="left" vertical="center" wrapText="1"/>
    </xf>
    <xf numFmtId="0" fontId="35" fillId="0" borderId="0" xfId="4" applyFont="1" applyAlignment="1">
      <alignment horizontal="left" vertical="center" wrapText="1"/>
    </xf>
    <xf numFmtId="0" fontId="54" fillId="0" borderId="0" xfId="4" applyFont="1"/>
    <xf numFmtId="0" fontId="44" fillId="0" borderId="0" xfId="4" applyFont="1"/>
    <xf numFmtId="0" fontId="44" fillId="0" borderId="0" xfId="4" applyFont="1" applyAlignment="1">
      <alignment horizontal="right"/>
    </xf>
    <xf numFmtId="0" fontId="46" fillId="16" borderId="0" xfId="4" applyFill="1" applyAlignment="1" applyProtection="1">
      <alignment horizontal="center"/>
      <protection locked="0"/>
    </xf>
    <xf numFmtId="0" fontId="46" fillId="16" borderId="15" xfId="4" applyFill="1" applyBorder="1" applyAlignment="1" applyProtection="1">
      <alignment horizontal="center"/>
      <protection locked="0"/>
    </xf>
    <xf numFmtId="0" fontId="44" fillId="0" borderId="0" xfId="4" applyFont="1" applyAlignment="1">
      <alignment horizontal="centerContinuous"/>
    </xf>
    <xf numFmtId="0" fontId="46" fillId="0" borderId="0" xfId="4" applyAlignment="1">
      <alignment horizontal="centerContinuous"/>
    </xf>
    <xf numFmtId="0" fontId="46" fillId="0" borderId="0" xfId="4" applyAlignment="1">
      <alignment horizontal="center"/>
    </xf>
    <xf numFmtId="2" fontId="46" fillId="16" borderId="15" xfId="4" applyNumberFormat="1" applyFill="1" applyBorder="1" applyAlignment="1" applyProtection="1">
      <alignment horizontal="center"/>
      <protection locked="0"/>
    </xf>
    <xf numFmtId="0" fontId="46" fillId="16" borderId="5" xfId="4" applyFill="1" applyBorder="1" applyAlignment="1" applyProtection="1">
      <alignment horizontal="center"/>
      <protection locked="0"/>
    </xf>
    <xf numFmtId="2" fontId="46" fillId="16" borderId="5" xfId="4" applyNumberFormat="1" applyFill="1" applyBorder="1" applyAlignment="1" applyProtection="1">
      <alignment horizontal="center"/>
      <protection locked="0"/>
    </xf>
    <xf numFmtId="168" fontId="46" fillId="16" borderId="5" xfId="4" applyNumberFormat="1" applyFill="1" applyBorder="1" applyAlignment="1" applyProtection="1">
      <alignment horizontal="center"/>
      <protection locked="0"/>
    </xf>
    <xf numFmtId="0" fontId="46" fillId="0" borderId="15" xfId="4" applyBorder="1" applyAlignment="1">
      <alignment horizontal="center"/>
    </xf>
    <xf numFmtId="2" fontId="46" fillId="0" borderId="15" xfId="4" applyNumberFormat="1" applyBorder="1" applyAlignment="1">
      <alignment horizontal="center"/>
    </xf>
    <xf numFmtId="2" fontId="46" fillId="0" borderId="5" xfId="4" applyNumberFormat="1" applyBorder="1" applyAlignment="1">
      <alignment horizontal="center"/>
    </xf>
    <xf numFmtId="2" fontId="46" fillId="0" borderId="0" xfId="4" applyNumberFormat="1" applyAlignment="1">
      <alignment horizontal="center"/>
    </xf>
    <xf numFmtId="0" fontId="46" fillId="0" borderId="0" xfId="4" applyAlignment="1">
      <alignment horizontal="left"/>
    </xf>
    <xf numFmtId="0" fontId="46" fillId="0" borderId="5" xfId="4" applyBorder="1" applyAlignment="1">
      <alignment horizontal="center"/>
    </xf>
    <xf numFmtId="0" fontId="60" fillId="0" borderId="0" xfId="4" applyFont="1" applyAlignment="1">
      <alignment horizontal="center" wrapText="1"/>
    </xf>
    <xf numFmtId="0" fontId="55" fillId="0" borderId="0" xfId="4" applyFont="1" applyAlignment="1">
      <alignment horizontal="center" wrapText="1"/>
    </xf>
    <xf numFmtId="0" fontId="34" fillId="0" borderId="0" xfId="4" applyFont="1"/>
    <xf numFmtId="0" fontId="35" fillId="0" borderId="0" xfId="4" applyFont="1" applyAlignment="1">
      <alignment horizontal="left"/>
    </xf>
    <xf numFmtId="0" fontId="34" fillId="0" borderId="0" xfId="4" applyFont="1" applyAlignment="1">
      <alignment horizontal="center"/>
    </xf>
    <xf numFmtId="0" fontId="34" fillId="0" borderId="0" xfId="4" applyFont="1" applyAlignment="1">
      <alignment horizontal="left"/>
    </xf>
    <xf numFmtId="0" fontId="35" fillId="0" borderId="0" xfId="4" applyFont="1" applyAlignment="1">
      <alignment horizontal="left" wrapText="1"/>
    </xf>
    <xf numFmtId="0" fontId="34" fillId="0" borderId="2" xfId="4" applyFont="1" applyBorder="1" applyAlignment="1">
      <alignment horizontal="center" vertical="center" wrapText="1"/>
    </xf>
    <xf numFmtId="0" fontId="58" fillId="0" borderId="2" xfId="4" applyFont="1" applyBorder="1" applyAlignment="1">
      <alignment horizontal="center" vertical="center"/>
    </xf>
    <xf numFmtId="12" fontId="58" fillId="0" borderId="2" xfId="4" applyNumberFormat="1" applyFont="1" applyBorder="1" applyAlignment="1">
      <alignment horizontal="center" vertical="center"/>
    </xf>
    <xf numFmtId="6" fontId="58" fillId="0" borderId="6" xfId="4" applyNumberFormat="1" applyFont="1" applyBorder="1" applyAlignment="1">
      <alignment horizontal="center" vertical="center"/>
    </xf>
    <xf numFmtId="6" fontId="58" fillId="0" borderId="2" xfId="4" applyNumberFormat="1" applyFont="1" applyBorder="1" applyAlignment="1">
      <alignment horizontal="center" vertical="center"/>
    </xf>
    <xf numFmtId="0" fontId="58" fillId="0" borderId="6" xfId="4" applyFont="1" applyBorder="1" applyAlignment="1">
      <alignment horizontal="center" vertical="center"/>
    </xf>
    <xf numFmtId="1" fontId="61" fillId="8" borderId="2" xfId="4" applyNumberFormat="1"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8" fontId="62" fillId="0" borderId="0" xfId="4" applyNumberFormat="1" applyFont="1" applyAlignment="1">
      <alignment horizontal="center"/>
    </xf>
    <xf numFmtId="0" fontId="61" fillId="8" borderId="2" xfId="4" applyFont="1" applyFill="1" applyBorder="1" applyAlignment="1" applyProtection="1">
      <alignment horizontal="center"/>
      <protection locked="0"/>
    </xf>
    <xf numFmtId="0" fontId="63" fillId="8" borderId="2" xfId="4" applyFont="1" applyFill="1" applyBorder="1" applyAlignment="1" applyProtection="1">
      <alignment horizontal="center"/>
      <protection locked="0"/>
    </xf>
    <xf numFmtId="168" fontId="63" fillId="8" borderId="2" xfId="4" applyNumberFormat="1"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166" fontId="64" fillId="0" borderId="0" xfId="4" applyNumberFormat="1" applyFont="1" applyAlignment="1">
      <alignment horizontal="center"/>
    </xf>
    <xf numFmtId="0" fontId="65" fillId="8" borderId="2" xfId="4" applyFont="1" applyFill="1" applyBorder="1" applyAlignment="1" applyProtection="1">
      <alignment horizontal="center"/>
      <protection locked="0"/>
    </xf>
    <xf numFmtId="168" fontId="65" fillId="8" borderId="2" xfId="4" applyNumberFormat="1" applyFont="1" applyFill="1" applyBorder="1" applyAlignment="1" applyProtection="1">
      <alignment horizontal="center"/>
      <protection locked="0"/>
    </xf>
    <xf numFmtId="0" fontId="34" fillId="0" borderId="27" xfId="4" applyFont="1" applyBorder="1" applyAlignment="1">
      <alignment horizontal="center" vertical="center"/>
    </xf>
    <xf numFmtId="0" fontId="35" fillId="0" borderId="26" xfId="4" applyFont="1" applyBorder="1" applyAlignment="1">
      <alignment horizontal="center"/>
    </xf>
    <xf numFmtId="168" fontId="35" fillId="0" borderId="26" xfId="4" applyNumberFormat="1" applyFont="1" applyBorder="1" applyAlignment="1">
      <alignment horizontal="center"/>
    </xf>
    <xf numFmtId="168" fontId="35" fillId="0" borderId="23" xfId="4" applyNumberFormat="1" applyFont="1" applyBorder="1" applyAlignment="1">
      <alignment horizontal="center"/>
    </xf>
    <xf numFmtId="168" fontId="62" fillId="0" borderId="2" xfId="4" applyNumberFormat="1" applyFont="1" applyBorder="1" applyAlignment="1">
      <alignment horizontal="center" vertical="center" wrapText="1"/>
    </xf>
    <xf numFmtId="168" fontId="62" fillId="0" borderId="0" xfId="4" applyNumberFormat="1" applyFont="1"/>
    <xf numFmtId="0" fontId="62" fillId="0" borderId="0" xfId="4" applyFont="1"/>
    <xf numFmtId="168" fontId="62" fillId="0" borderId="67" xfId="4" applyNumberFormat="1" applyFont="1" applyBorder="1" applyAlignment="1">
      <alignment horizontal="center" vertical="center" wrapText="1"/>
    </xf>
    <xf numFmtId="168" fontId="67" fillId="0" borderId="0" xfId="4" applyNumberFormat="1" applyFont="1"/>
    <xf numFmtId="0" fontId="34" fillId="17" borderId="68" xfId="4" applyFont="1" applyFill="1" applyBorder="1" applyAlignment="1">
      <alignment horizontal="center" vertical="center" wrapText="1"/>
    </xf>
    <xf numFmtId="0" fontId="34" fillId="17" borderId="68" xfId="4" applyFont="1" applyFill="1" applyBorder="1" applyAlignment="1">
      <alignment horizontal="center" vertical="center"/>
    </xf>
    <xf numFmtId="6" fontId="34" fillId="17" borderId="68" xfId="4" applyNumberFormat="1" applyFont="1" applyFill="1" applyBorder="1" applyAlignment="1">
      <alignment horizontal="center" vertical="center"/>
    </xf>
    <xf numFmtId="0" fontId="70" fillId="13" borderId="68" xfId="4" applyFont="1" applyFill="1" applyBorder="1" applyAlignment="1">
      <alignment horizontal="center" vertical="center"/>
    </xf>
    <xf numFmtId="0" fontId="35" fillId="0" borderId="0" xfId="4" applyFont="1" applyAlignment="1">
      <alignment horizontal="center"/>
    </xf>
    <xf numFmtId="0" fontId="71" fillId="0" borderId="0" xfId="4" applyFont="1"/>
    <xf numFmtId="168" fontId="71" fillId="0" borderId="0" xfId="4" applyNumberFormat="1" applyFont="1"/>
    <xf numFmtId="168" fontId="72" fillId="0" borderId="0" xfId="4" applyNumberFormat="1" applyFont="1" applyAlignment="1">
      <alignment horizontal="center"/>
    </xf>
    <xf numFmtId="0" fontId="71" fillId="0" borderId="0" xfId="4" applyFont="1" applyAlignment="1">
      <alignment wrapText="1"/>
    </xf>
    <xf numFmtId="1" fontId="72" fillId="0" borderId="0" xfId="4" applyNumberFormat="1" applyFont="1" applyAlignment="1">
      <alignment horizontal="center"/>
    </xf>
    <xf numFmtId="0" fontId="63" fillId="0" borderId="0" xfId="4" applyFont="1"/>
    <xf numFmtId="0" fontId="44" fillId="0" borderId="0" xfId="4" applyFont="1" applyAlignment="1">
      <alignment horizontal="center"/>
    </xf>
    <xf numFmtId="16" fontId="44" fillId="0" borderId="0" xfId="4" applyNumberFormat="1" applyFont="1" applyAlignment="1">
      <alignment horizontal="center"/>
    </xf>
    <xf numFmtId="0" fontId="73" fillId="0" borderId="0" xfId="4" applyFont="1" applyAlignment="1">
      <alignment horizontal="left"/>
    </xf>
    <xf numFmtId="0" fontId="74" fillId="0" borderId="68" xfId="4" applyFont="1" applyBorder="1" applyAlignment="1">
      <alignment horizontal="center"/>
    </xf>
    <xf numFmtId="12" fontId="46" fillId="0" borderId="68" xfId="4" applyNumberFormat="1" applyBorder="1" applyAlignment="1">
      <alignment horizontal="center"/>
    </xf>
    <xf numFmtId="0" fontId="44" fillId="0" borderId="32" xfId="4" applyFont="1" applyBorder="1"/>
    <xf numFmtId="0" fontId="44" fillId="0" borderId="24" xfId="4" applyFont="1" applyBorder="1" applyAlignment="1">
      <alignment horizontal="center"/>
    </xf>
    <xf numFmtId="16" fontId="44" fillId="0" borderId="25" xfId="4" applyNumberFormat="1" applyFont="1" applyBorder="1" applyAlignment="1">
      <alignment horizontal="center"/>
    </xf>
    <xf numFmtId="0" fontId="44" fillId="0" borderId="23" xfId="4" applyFont="1" applyBorder="1" applyAlignment="1">
      <alignment horizontal="center"/>
    </xf>
    <xf numFmtId="0" fontId="44" fillId="0" borderId="25" xfId="4" applyFont="1" applyBorder="1" applyAlignment="1">
      <alignment horizontal="center"/>
    </xf>
    <xf numFmtId="0" fontId="44" fillId="0" borderId="26" xfId="4" applyFont="1" applyBorder="1" applyAlignment="1">
      <alignment horizontal="center"/>
    </xf>
    <xf numFmtId="0" fontId="46" fillId="0" borderId="72" xfId="4" applyBorder="1" applyAlignment="1">
      <alignment wrapText="1"/>
    </xf>
    <xf numFmtId="0" fontId="46" fillId="0" borderId="23" xfId="4" applyBorder="1" applyAlignment="1">
      <alignment horizontal="center"/>
    </xf>
    <xf numFmtId="0" fontId="46" fillId="0" borderId="24" xfId="4" applyBorder="1" applyAlignment="1">
      <alignment horizontal="center"/>
    </xf>
    <xf numFmtId="0" fontId="46" fillId="0" borderId="25" xfId="4" applyBorder="1" applyAlignment="1">
      <alignment horizontal="center"/>
    </xf>
    <xf numFmtId="0" fontId="46" fillId="0" borderId="27" xfId="4" applyBorder="1" applyAlignment="1">
      <alignment wrapText="1"/>
    </xf>
    <xf numFmtId="0" fontId="46" fillId="0" borderId="72" xfId="4" applyBorder="1" applyAlignment="1">
      <alignment horizontal="center"/>
    </xf>
    <xf numFmtId="0" fontId="46" fillId="0" borderId="65" xfId="4" applyBorder="1" applyAlignment="1">
      <alignment horizontal="center"/>
    </xf>
    <xf numFmtId="0" fontId="44" fillId="9" borderId="23" xfId="4" applyFont="1" applyFill="1" applyBorder="1"/>
    <xf numFmtId="1" fontId="46" fillId="9" borderId="20" xfId="4" applyNumberFormat="1" applyFill="1" applyBorder="1" applyAlignment="1">
      <alignment horizontal="center"/>
    </xf>
    <xf numFmtId="1" fontId="46" fillId="9" borderId="73" xfId="4" applyNumberFormat="1" applyFill="1" applyBorder="1" applyAlignment="1">
      <alignment horizontal="center"/>
    </xf>
    <xf numFmtId="1" fontId="46" fillId="9" borderId="23" xfId="4" applyNumberFormat="1" applyFill="1" applyBorder="1" applyAlignment="1">
      <alignment horizontal="center"/>
    </xf>
    <xf numFmtId="1" fontId="46" fillId="9" borderId="74" xfId="4" applyNumberFormat="1" applyFill="1" applyBorder="1" applyAlignment="1">
      <alignment horizontal="center"/>
    </xf>
    <xf numFmtId="1" fontId="46" fillId="9" borderId="21" xfId="4" applyNumberFormat="1" applyFill="1" applyBorder="1" applyAlignment="1">
      <alignment horizontal="center"/>
    </xf>
    <xf numFmtId="1" fontId="46" fillId="9" borderId="22" xfId="4" applyNumberFormat="1" applyFill="1" applyBorder="1" applyAlignment="1">
      <alignment horizontal="center"/>
    </xf>
    <xf numFmtId="0" fontId="62" fillId="3" borderId="0" xfId="4" applyFont="1" applyFill="1" applyAlignment="1">
      <alignment horizontal="left"/>
    </xf>
    <xf numFmtId="0" fontId="46" fillId="3" borderId="0" xfId="4" applyFill="1" applyAlignment="1">
      <alignment horizontal="left"/>
    </xf>
    <xf numFmtId="0" fontId="62" fillId="0" borderId="0" xfId="4" applyFont="1" applyAlignment="1">
      <alignment horizontal="center"/>
    </xf>
    <xf numFmtId="6" fontId="62" fillId="0" borderId="0" xfId="4" applyNumberFormat="1" applyFont="1" applyAlignment="1">
      <alignment horizontal="center"/>
    </xf>
    <xf numFmtId="10" fontId="0" fillId="0" borderId="0" xfId="3" applyNumberFormat="1" applyFont="1" applyFill="1" applyBorder="1" applyProtection="1">
      <protection hidden="1"/>
    </xf>
    <xf numFmtId="0" fontId="39" fillId="0" borderId="53" xfId="1" applyFont="1" applyBorder="1" applyAlignment="1" applyProtection="1">
      <alignment horizontal="left" vertical="center" wrapText="1"/>
      <protection hidden="1"/>
    </xf>
    <xf numFmtId="10" fontId="37" fillId="0" borderId="2" xfId="0" applyNumberFormat="1" applyFont="1" applyBorder="1" applyProtection="1">
      <protection hidden="1"/>
    </xf>
    <xf numFmtId="10" fontId="37" fillId="0" borderId="55" xfId="0" applyNumberFormat="1" applyFont="1" applyBorder="1" applyProtection="1">
      <protection hidden="1"/>
    </xf>
    <xf numFmtId="0" fontId="38" fillId="0" borderId="0" xfId="0" applyFont="1" applyAlignment="1" applyProtection="1">
      <alignment horizontal="center"/>
      <protection hidden="1"/>
    </xf>
    <xf numFmtId="0" fontId="39" fillId="0" borderId="53" xfId="1" applyFont="1" applyBorder="1" applyAlignment="1" applyProtection="1">
      <alignment horizontal="left" vertical="center"/>
      <protection hidden="1"/>
    </xf>
    <xf numFmtId="0" fontId="39" fillId="0" borderId="54" xfId="1" applyFont="1" applyBorder="1" applyAlignment="1" applyProtection="1">
      <alignment horizontal="left" vertical="center"/>
      <protection hidden="1"/>
    </xf>
    <xf numFmtId="10" fontId="37" fillId="0" borderId="59" xfId="0" applyNumberFormat="1" applyFont="1" applyBorder="1" applyProtection="1">
      <protection hidden="1"/>
    </xf>
    <xf numFmtId="10" fontId="37" fillId="0" borderId="58" xfId="0" applyNumberFormat="1" applyFont="1" applyBorder="1" applyProtection="1">
      <protection hidden="1"/>
    </xf>
    <xf numFmtId="0" fontId="37" fillId="0" borderId="0" xfId="0" applyFont="1" applyProtection="1">
      <protection hidden="1"/>
    </xf>
    <xf numFmtId="0" fontId="37" fillId="0" borderId="0" xfId="0" applyFont="1" applyAlignment="1" applyProtection="1">
      <alignment horizontal="right"/>
      <protection hidden="1"/>
    </xf>
    <xf numFmtId="10" fontId="37" fillId="0" borderId="3" xfId="0" applyNumberFormat="1" applyFont="1" applyBorder="1" applyProtection="1">
      <protection hidden="1"/>
    </xf>
    <xf numFmtId="0" fontId="0" fillId="0" borderId="0" xfId="0" applyProtection="1">
      <protection hidden="1"/>
    </xf>
    <xf numFmtId="10" fontId="37" fillId="0" borderId="0" xfId="0" applyNumberFormat="1" applyFont="1" applyProtection="1">
      <protection hidden="1"/>
    </xf>
    <xf numFmtId="10" fontId="38" fillId="0" borderId="2" xfId="3" applyNumberFormat="1" applyFont="1" applyFill="1" applyBorder="1" applyProtection="1">
      <protection hidden="1"/>
    </xf>
    <xf numFmtId="0" fontId="40" fillId="0" borderId="0" xfId="0" applyFont="1" applyProtection="1">
      <protection hidden="1"/>
    </xf>
    <xf numFmtId="0" fontId="37" fillId="0" borderId="57" xfId="0" applyFont="1" applyBorder="1" applyProtection="1">
      <protection hidden="1"/>
    </xf>
    <xf numFmtId="0" fontId="41" fillId="0" borderId="0" xfId="0" applyFont="1" applyProtection="1">
      <protection hidden="1"/>
    </xf>
    <xf numFmtId="0" fontId="37" fillId="0" borderId="2" xfId="0" applyFont="1" applyBorder="1" applyProtection="1">
      <protection hidden="1"/>
    </xf>
    <xf numFmtId="9" fontId="37" fillId="0" borderId="2" xfId="3" applyFont="1" applyBorder="1" applyAlignment="1" applyProtection="1">
      <alignment horizontal="right"/>
      <protection hidden="1"/>
    </xf>
    <xf numFmtId="9" fontId="37" fillId="0" borderId="55" xfId="3" applyFont="1" applyFill="1" applyBorder="1" applyProtection="1">
      <protection hidden="1"/>
    </xf>
    <xf numFmtId="1" fontId="37" fillId="0" borderId="55" xfId="0" applyNumberFormat="1" applyFont="1" applyBorder="1" applyProtection="1">
      <protection hidden="1"/>
    </xf>
    <xf numFmtId="0" fontId="41" fillId="0" borderId="55" xfId="0" applyFont="1" applyBorder="1" applyProtection="1">
      <protection hidden="1"/>
    </xf>
    <xf numFmtId="9" fontId="37" fillId="0" borderId="19" xfId="3" applyFont="1" applyBorder="1" applyProtection="1">
      <protection hidden="1"/>
    </xf>
    <xf numFmtId="10" fontId="38" fillId="0" borderId="0" xfId="3" applyNumberFormat="1" applyFont="1" applyFill="1" applyBorder="1" applyProtection="1">
      <protection hidden="1"/>
    </xf>
    <xf numFmtId="0" fontId="37" fillId="0" borderId="0" xfId="0" applyFont="1" applyAlignment="1" applyProtection="1">
      <alignment horizontal="center"/>
      <protection hidden="1"/>
    </xf>
    <xf numFmtId="168" fontId="37" fillId="0" borderId="3" xfId="0" applyNumberFormat="1" applyFont="1" applyBorder="1" applyProtection="1">
      <protection hidden="1"/>
    </xf>
    <xf numFmtId="0" fontId="37" fillId="0" borderId="0" xfId="0" applyFont="1" applyAlignment="1" applyProtection="1">
      <alignment horizontal="left"/>
      <protection hidden="1"/>
    </xf>
    <xf numFmtId="2" fontId="37" fillId="0" borderId="3" xfId="0" applyNumberFormat="1" applyFont="1" applyBorder="1" applyProtection="1">
      <protection hidden="1"/>
    </xf>
    <xf numFmtId="168" fontId="37" fillId="0" borderId="2" xfId="0" applyNumberFormat="1" applyFont="1" applyBorder="1" applyProtection="1">
      <protection hidden="1"/>
    </xf>
    <xf numFmtId="0" fontId="38" fillId="0" borderId="0" xfId="0" applyFont="1" applyProtection="1">
      <protection locked="0"/>
    </xf>
    <xf numFmtId="0" fontId="37" fillId="0" borderId="0" xfId="0" applyFont="1" applyProtection="1">
      <protection locked="0"/>
    </xf>
    <xf numFmtId="0" fontId="0" fillId="0" borderId="0" xfId="0" applyProtection="1">
      <protection locked="0"/>
    </xf>
    <xf numFmtId="0" fontId="37" fillId="0" borderId="0" xfId="0" applyFont="1" applyAlignment="1" applyProtection="1">
      <alignment horizontal="center"/>
      <protection locked="0"/>
    </xf>
    <xf numFmtId="0" fontId="37" fillId="0" borderId="56" xfId="0" applyFont="1" applyBorder="1" applyAlignment="1" applyProtection="1">
      <alignment horizontal="center"/>
      <protection locked="0" hidden="1"/>
    </xf>
    <xf numFmtId="0" fontId="37" fillId="0" borderId="53" xfId="0" applyFont="1" applyBorder="1" applyAlignment="1" applyProtection="1">
      <alignment vertical="top"/>
      <protection locked="0" hidden="1"/>
    </xf>
    <xf numFmtId="0" fontId="0" fillId="0" borderId="0" xfId="0" applyProtection="1">
      <protection locked="0" hidden="1"/>
    </xf>
    <xf numFmtId="0" fontId="37" fillId="0" borderId="53" xfId="0" applyFont="1" applyBorder="1" applyAlignment="1" applyProtection="1">
      <alignment horizontal="center"/>
      <protection locked="0" hidden="1"/>
    </xf>
    <xf numFmtId="0" fontId="37" fillId="0" borderId="66" xfId="0" applyFont="1" applyBorder="1" applyAlignment="1" applyProtection="1">
      <alignment horizontal="center"/>
      <protection locked="0" hidden="1"/>
    </xf>
    <xf numFmtId="0" fontId="36" fillId="0" borderId="0" xfId="0" applyFont="1" applyProtection="1">
      <protection locked="0"/>
    </xf>
    <xf numFmtId="0" fontId="40" fillId="0" borderId="0" xfId="0" applyFont="1" applyProtection="1">
      <protection locked="0"/>
    </xf>
    <xf numFmtId="0" fontId="37" fillId="2" borderId="3" xfId="0" applyFont="1" applyFill="1" applyBorder="1" applyAlignment="1" applyProtection="1">
      <alignment horizontal="right" wrapText="1"/>
      <protection locked="0"/>
    </xf>
    <xf numFmtId="1" fontId="37" fillId="2" borderId="2" xfId="0" applyNumberFormat="1" applyFont="1" applyFill="1" applyBorder="1" applyProtection="1">
      <protection locked="0"/>
    </xf>
    <xf numFmtId="2" fontId="37" fillId="2" borderId="2" xfId="0" applyNumberFormat="1" applyFont="1" applyFill="1" applyBorder="1" applyProtection="1">
      <protection locked="0"/>
    </xf>
    <xf numFmtId="0" fontId="37" fillId="2" borderId="2" xfId="0" applyFont="1" applyFill="1" applyBorder="1" applyProtection="1">
      <protection locked="0"/>
    </xf>
    <xf numFmtId="0" fontId="42" fillId="0" borderId="57" xfId="1" applyFont="1" applyBorder="1" applyAlignment="1">
      <alignment horizontal="center" wrapText="1"/>
    </xf>
    <xf numFmtId="10" fontId="37" fillId="3" borderId="59" xfId="0" applyNumberFormat="1" applyFont="1" applyFill="1" applyBorder="1"/>
    <xf numFmtId="0" fontId="37" fillId="3" borderId="59" xfId="0" applyFont="1" applyFill="1" applyBorder="1"/>
    <xf numFmtId="9" fontId="37" fillId="2" borderId="2" xfId="3" applyFont="1" applyFill="1" applyBorder="1" applyProtection="1">
      <protection locked="0"/>
    </xf>
    <xf numFmtId="9" fontId="37" fillId="2" borderId="2" xfId="3" applyFont="1" applyFill="1" applyBorder="1" applyAlignment="1" applyProtection="1">
      <alignment horizontal="right"/>
      <protection locked="0"/>
    </xf>
    <xf numFmtId="9" fontId="37" fillId="2" borderId="55" xfId="3" applyFont="1" applyFill="1" applyBorder="1" applyProtection="1">
      <protection locked="0"/>
    </xf>
    <xf numFmtId="9" fontId="37" fillId="2" borderId="59" xfId="3" applyFont="1" applyFill="1" applyBorder="1" applyProtection="1">
      <protection locked="0"/>
    </xf>
    <xf numFmtId="9" fontId="37" fillId="2" borderId="59" xfId="3" applyFont="1" applyFill="1" applyBorder="1" applyAlignment="1" applyProtection="1">
      <alignment horizontal="right"/>
      <protection locked="0"/>
    </xf>
    <xf numFmtId="9" fontId="37" fillId="2" borderId="58" xfId="3" applyFont="1" applyFill="1" applyBorder="1" applyProtection="1">
      <protection locked="0"/>
    </xf>
    <xf numFmtId="168" fontId="34" fillId="9" borderId="68" xfId="4" applyNumberFormat="1" applyFont="1" applyFill="1" applyBorder="1" applyAlignment="1">
      <alignment horizontal="center" vertical="center"/>
    </xf>
    <xf numFmtId="168" fontId="58" fillId="9" borderId="68" xfId="4" applyNumberFormat="1" applyFont="1" applyFill="1" applyBorder="1" applyAlignment="1">
      <alignment horizontal="center" vertical="center"/>
    </xf>
    <xf numFmtId="0" fontId="54" fillId="0" borderId="0" xfId="4" applyFont="1" applyAlignment="1">
      <alignment horizontal="left" vertical="center" wrapText="1"/>
    </xf>
    <xf numFmtId="0" fontId="51" fillId="0" borderId="0" xfId="4" applyFont="1" applyAlignment="1">
      <alignment horizontal="left" vertical="center" wrapText="1"/>
    </xf>
    <xf numFmtId="0" fontId="34" fillId="0" borderId="0" xfId="4" applyFont="1" applyAlignment="1">
      <alignment horizontal="left" vertical="center" wrapText="1"/>
    </xf>
    <xf numFmtId="0" fontId="35" fillId="0" borderId="0" xfId="4" applyFont="1" applyAlignment="1">
      <alignment horizontal="left" vertical="center" wrapText="1"/>
    </xf>
    <xf numFmtId="0" fontId="46" fillId="0" borderId="0" xfId="4" applyAlignment="1">
      <alignment horizontal="left" vertical="center" wrapText="1"/>
    </xf>
    <xf numFmtId="0" fontId="52" fillId="0" borderId="0" xfId="4" applyFont="1" applyAlignment="1">
      <alignment horizontal="center" wrapText="1"/>
    </xf>
    <xf numFmtId="0" fontId="34" fillId="0" borderId="0" xfId="4" applyFont="1" applyAlignment="1">
      <alignment wrapText="1"/>
    </xf>
    <xf numFmtId="0" fontId="35" fillId="0" borderId="4" xfId="4" applyFont="1" applyBorder="1" applyAlignment="1">
      <alignment horizontal="left" wrapText="1"/>
    </xf>
    <xf numFmtId="0" fontId="35" fillId="0" borderId="5" xfId="4" applyFont="1" applyBorder="1" applyAlignment="1">
      <alignment horizontal="left" wrapText="1"/>
    </xf>
    <xf numFmtId="0" fontId="35" fillId="0" borderId="6" xfId="4" applyFont="1" applyBorder="1" applyAlignment="1">
      <alignment horizontal="left" wrapText="1"/>
    </xf>
    <xf numFmtId="0" fontId="48" fillId="8" borderId="4" xfId="4" applyFont="1" applyFill="1" applyBorder="1" applyAlignment="1" applyProtection="1">
      <alignment horizontal="left" wrapText="1"/>
      <protection locked="0"/>
    </xf>
    <xf numFmtId="0" fontId="48" fillId="8" borderId="5" xfId="4" applyFont="1" applyFill="1" applyBorder="1" applyAlignment="1" applyProtection="1">
      <alignment horizontal="left" wrapText="1"/>
      <protection locked="0"/>
    </xf>
    <xf numFmtId="0" fontId="48" fillId="8" borderId="6" xfId="4" applyFont="1" applyFill="1" applyBorder="1" applyAlignment="1" applyProtection="1">
      <alignment horizontal="left" wrapText="1"/>
      <protection locked="0"/>
    </xf>
    <xf numFmtId="0" fontId="46" fillId="0" borderId="5" xfId="4" applyBorder="1" applyAlignment="1">
      <alignment horizontal="left" wrapText="1"/>
    </xf>
    <xf numFmtId="0" fontId="48" fillId="8" borderId="4" xfId="4" applyFont="1" applyFill="1" applyBorder="1" applyAlignment="1" applyProtection="1">
      <alignment horizontal="center" wrapText="1"/>
      <protection locked="0"/>
    </xf>
    <xf numFmtId="0" fontId="48" fillId="8" borderId="5" xfId="4" applyFont="1" applyFill="1" applyBorder="1" applyAlignment="1" applyProtection="1">
      <alignment horizontal="center" wrapText="1"/>
      <protection locked="0"/>
    </xf>
    <xf numFmtId="0" fontId="48" fillId="8" borderId="6" xfId="4" applyFont="1" applyFill="1" applyBorder="1" applyAlignment="1" applyProtection="1">
      <alignment horizontal="center" wrapText="1"/>
      <protection locked="0"/>
    </xf>
    <xf numFmtId="0" fontId="48" fillId="0" borderId="5" xfId="4" applyFont="1" applyBorder="1" applyAlignment="1" applyProtection="1">
      <alignment horizontal="center" wrapText="1"/>
      <protection locked="0"/>
    </xf>
    <xf numFmtId="0" fontId="48" fillId="0" borderId="6" xfId="4" applyFont="1" applyBorder="1" applyAlignment="1" applyProtection="1">
      <alignment horizontal="center" wrapText="1"/>
      <protection locked="0"/>
    </xf>
    <xf numFmtId="0" fontId="47" fillId="0" borderId="4" xfId="4" applyFont="1" applyBorder="1" applyAlignment="1">
      <alignment horizontal="center" wrapText="1"/>
    </xf>
    <xf numFmtId="0" fontId="46" fillId="0" borderId="5" xfId="4" applyBorder="1" applyAlignment="1">
      <alignment horizontal="center" wrapText="1"/>
    </xf>
    <xf numFmtId="0" fontId="46" fillId="0" borderId="6" xfId="4" applyBorder="1" applyAlignment="1">
      <alignment horizontal="center" wrapText="1"/>
    </xf>
    <xf numFmtId="0" fontId="51" fillId="0" borderId="4" xfId="4" applyFont="1" applyBorder="1" applyAlignment="1">
      <alignment horizontal="left" wrapText="1"/>
    </xf>
    <xf numFmtId="0" fontId="51" fillId="0" borderId="5" xfId="4" applyFont="1" applyBorder="1" applyAlignment="1">
      <alignment horizontal="left" wrapText="1"/>
    </xf>
    <xf numFmtId="0" fontId="51" fillId="0" borderId="6" xfId="4" applyFont="1" applyBorder="1" applyAlignment="1">
      <alignment horizontal="left" wrapText="1"/>
    </xf>
    <xf numFmtId="0" fontId="46" fillId="0" borderId="6" xfId="4" applyBorder="1" applyAlignment="1">
      <alignment horizontal="left" wrapText="1"/>
    </xf>
    <xf numFmtId="0" fontId="50" fillId="8" borderId="4" xfId="5" applyFont="1" applyFill="1" applyBorder="1" applyAlignment="1" applyProtection="1">
      <alignment horizontal="left" wrapText="1"/>
      <protection locked="0"/>
    </xf>
    <xf numFmtId="0" fontId="35" fillId="0" borderId="4" xfId="4" applyFont="1" applyBorder="1" applyAlignment="1">
      <alignment wrapText="1"/>
    </xf>
    <xf numFmtId="0" fontId="35" fillId="0" borderId="5" xfId="4" applyFont="1" applyBorder="1" applyAlignment="1">
      <alignment wrapText="1"/>
    </xf>
    <xf numFmtId="0" fontId="35" fillId="0" borderId="6" xfId="4" applyFont="1" applyBorder="1" applyAlignment="1">
      <alignment wrapText="1"/>
    </xf>
    <xf numFmtId="0" fontId="48" fillId="8" borderId="4" xfId="4" quotePrefix="1" applyFont="1" applyFill="1" applyBorder="1" applyAlignment="1" applyProtection="1">
      <alignment horizontal="left" wrapText="1"/>
      <protection locked="0"/>
    </xf>
    <xf numFmtId="0" fontId="48" fillId="8" borderId="5" xfId="4" quotePrefix="1" applyFont="1" applyFill="1" applyBorder="1" applyAlignment="1" applyProtection="1">
      <alignment horizontal="left" wrapText="1"/>
      <protection locked="0"/>
    </xf>
    <xf numFmtId="0" fontId="48" fillId="8" borderId="6" xfId="4" quotePrefix="1" applyFont="1" applyFill="1" applyBorder="1" applyAlignment="1" applyProtection="1">
      <alignment horizontal="left" wrapText="1"/>
      <protection locked="0"/>
    </xf>
    <xf numFmtId="0" fontId="47" fillId="0" borderId="15" xfId="4" applyFont="1" applyBorder="1" applyAlignment="1">
      <alignment horizontal="center" vertical="center" wrapText="1"/>
    </xf>
    <xf numFmtId="0" fontId="46" fillId="0" borderId="5" xfId="4" applyBorder="1" applyAlignment="1">
      <alignment wrapText="1"/>
    </xf>
    <xf numFmtId="0" fontId="46" fillId="0" borderId="6" xfId="4" applyBorder="1" applyAlignment="1">
      <alignment wrapText="1"/>
    </xf>
    <xf numFmtId="14" fontId="48" fillId="8" borderId="4" xfId="4" applyNumberFormat="1" applyFont="1" applyFill="1" applyBorder="1" applyAlignment="1" applyProtection="1">
      <alignment horizontal="left" wrapText="1"/>
      <protection locked="0"/>
    </xf>
    <xf numFmtId="0" fontId="46" fillId="16" borderId="0" xfId="4" applyFill="1" applyAlignment="1" applyProtection="1">
      <alignment horizontal="center"/>
      <protection locked="0"/>
    </xf>
    <xf numFmtId="0" fontId="44" fillId="0" borderId="0" xfId="4" applyFont="1" applyAlignment="1">
      <alignment horizontal="center"/>
    </xf>
    <xf numFmtId="0" fontId="58" fillId="0" borderId="4" xfId="4" applyFont="1" applyBorder="1" applyAlignment="1">
      <alignment horizontal="left" vertical="center" wrapText="1"/>
    </xf>
    <xf numFmtId="0" fontId="59" fillId="0" borderId="5" xfId="4" applyFont="1" applyBorder="1" applyAlignment="1">
      <alignment horizontal="left" vertical="center" wrapText="1"/>
    </xf>
    <xf numFmtId="0" fontId="59" fillId="0" borderId="6" xfId="4" applyFont="1" applyBorder="1" applyAlignment="1">
      <alignment horizontal="left" vertical="center" wrapText="1"/>
    </xf>
    <xf numFmtId="0" fontId="57" fillId="0" borderId="4" xfId="4" applyFont="1" applyBorder="1" applyAlignment="1">
      <alignment horizontal="left" vertical="center" wrapText="1"/>
    </xf>
    <xf numFmtId="0" fontId="57" fillId="0" borderId="5" xfId="4" applyFont="1" applyBorder="1" applyAlignment="1">
      <alignment horizontal="left" vertical="center" wrapText="1"/>
    </xf>
    <xf numFmtId="0" fontId="57" fillId="0" borderId="6" xfId="4" applyFont="1" applyBorder="1" applyAlignment="1">
      <alignment horizontal="left" vertical="center" wrapText="1"/>
    </xf>
    <xf numFmtId="168" fontId="48" fillId="8" borderId="4" xfId="4" applyNumberFormat="1" applyFont="1" applyFill="1" applyBorder="1" applyAlignment="1" applyProtection="1">
      <alignment horizontal="left" vertical="center" wrapText="1"/>
      <protection locked="0"/>
    </xf>
    <xf numFmtId="168" fontId="48" fillId="8" borderId="5" xfId="4" applyNumberFormat="1" applyFont="1" applyFill="1" applyBorder="1" applyAlignment="1" applyProtection="1">
      <alignment horizontal="left" vertical="center" wrapText="1"/>
      <protection locked="0"/>
    </xf>
    <xf numFmtId="168" fontId="48" fillId="8" borderId="6" xfId="4" applyNumberFormat="1" applyFont="1" applyFill="1" applyBorder="1" applyAlignment="1" applyProtection="1">
      <alignment horizontal="left" vertical="center" wrapText="1"/>
      <protection locked="0"/>
    </xf>
    <xf numFmtId="0" fontId="48" fillId="8" borderId="4" xfId="4" applyFont="1" applyFill="1" applyBorder="1" applyAlignment="1" applyProtection="1">
      <alignment horizontal="left" vertical="center" wrapText="1"/>
      <protection locked="0"/>
    </xf>
    <xf numFmtId="0" fontId="48" fillId="8" borderId="5" xfId="4" applyFont="1" applyFill="1" applyBorder="1" applyAlignment="1" applyProtection="1">
      <alignment horizontal="left" vertical="center" wrapText="1"/>
      <protection locked="0"/>
    </xf>
    <xf numFmtId="0" fontId="48" fillId="8" borderId="6" xfId="4" applyFont="1" applyFill="1" applyBorder="1" applyAlignment="1" applyProtection="1">
      <alignment horizontal="left" vertical="center" wrapText="1"/>
      <protection locked="0"/>
    </xf>
    <xf numFmtId="0" fontId="35" fillId="0" borderId="4" xfId="4" applyFont="1" applyBorder="1" applyAlignment="1">
      <alignment horizontal="center" vertical="center" wrapText="1"/>
    </xf>
    <xf numFmtId="0" fontId="35" fillId="0" borderId="6" xfId="4" applyFont="1" applyBorder="1" applyAlignment="1">
      <alignment horizontal="center" vertical="center" wrapText="1"/>
    </xf>
    <xf numFmtId="0" fontId="35" fillId="8" borderId="4" xfId="4" applyFont="1" applyFill="1" applyBorder="1" applyAlignment="1" applyProtection="1">
      <alignment horizontal="center" vertical="center" wrapText="1"/>
      <protection locked="0"/>
    </xf>
    <xf numFmtId="0" fontId="35" fillId="8" borderId="5" xfId="4" applyFont="1" applyFill="1" applyBorder="1" applyAlignment="1" applyProtection="1">
      <alignment horizontal="center" vertical="center" wrapText="1"/>
      <protection locked="0"/>
    </xf>
    <xf numFmtId="0" fontId="35" fillId="8" borderId="6" xfId="4" applyFont="1" applyFill="1" applyBorder="1" applyAlignment="1" applyProtection="1">
      <alignment horizontal="center" vertical="center" wrapText="1"/>
      <protection locked="0"/>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0" fontId="35" fillId="0" borderId="4" xfId="4" applyFont="1" applyBorder="1" applyAlignment="1">
      <alignment horizontal="left" vertical="center" wrapText="1"/>
    </xf>
    <xf numFmtId="0" fontId="35" fillId="0" borderId="5" xfId="4" applyFont="1" applyBorder="1" applyAlignment="1">
      <alignment horizontal="left" vertical="center" wrapText="1"/>
    </xf>
    <xf numFmtId="0" fontId="35" fillId="0" borderId="6" xfId="4" applyFont="1" applyBorder="1" applyAlignment="1">
      <alignment horizontal="left" vertical="center" wrapText="1"/>
    </xf>
    <xf numFmtId="14" fontId="48" fillId="8" borderId="4" xfId="4" applyNumberFormat="1" applyFont="1" applyFill="1" applyBorder="1" applyAlignment="1" applyProtection="1">
      <alignment horizontal="left" vertical="center" wrapText="1"/>
      <protection locked="0"/>
    </xf>
    <xf numFmtId="14" fontId="48" fillId="8" borderId="5" xfId="4" applyNumberFormat="1" applyFont="1" applyFill="1" applyBorder="1" applyAlignment="1" applyProtection="1">
      <alignment horizontal="left" vertical="center" wrapText="1"/>
      <protection locked="0"/>
    </xf>
    <xf numFmtId="14" fontId="48" fillId="8" borderId="6" xfId="4" applyNumberFormat="1" applyFont="1" applyFill="1" applyBorder="1" applyAlignment="1" applyProtection="1">
      <alignment horizontal="left" vertical="center" wrapText="1"/>
      <protection locked="0"/>
    </xf>
    <xf numFmtId="0" fontId="50" fillId="8" borderId="4" xfId="5" applyFont="1" applyFill="1" applyBorder="1" applyAlignment="1" applyProtection="1">
      <alignment horizontal="left" vertical="center" wrapText="1"/>
      <protection locked="0"/>
    </xf>
    <xf numFmtId="0" fontId="47" fillId="0" borderId="4" xfId="4" applyFont="1" applyBorder="1" applyAlignment="1">
      <alignment horizontal="center" vertical="center" wrapText="1"/>
    </xf>
    <xf numFmtId="0" fontId="55" fillId="0" borderId="5" xfId="4" applyFont="1" applyBorder="1" applyAlignment="1">
      <alignment horizontal="center" vertical="center" wrapText="1"/>
    </xf>
    <xf numFmtId="0" fontId="55" fillId="0" borderId="6" xfId="4" applyFont="1" applyBorder="1" applyAlignment="1">
      <alignment horizontal="center" vertical="center" wrapText="1"/>
    </xf>
    <xf numFmtId="0" fontId="35" fillId="0" borderId="4" xfId="4" applyFont="1" applyBorder="1" applyAlignment="1">
      <alignment vertical="center" wrapText="1"/>
    </xf>
    <xf numFmtId="0" fontId="35" fillId="0" borderId="5" xfId="4" applyFont="1" applyBorder="1" applyAlignment="1">
      <alignment vertical="center" wrapText="1"/>
    </xf>
    <xf numFmtId="0" fontId="35" fillId="0" borderId="6" xfId="4" applyFont="1" applyBorder="1" applyAlignment="1">
      <alignment vertical="center" wrapText="1"/>
    </xf>
    <xf numFmtId="0" fontId="48" fillId="8" borderId="4" xfId="4" applyFont="1" applyFill="1" applyBorder="1" applyAlignment="1">
      <alignment horizontal="left" vertical="center" wrapText="1"/>
    </xf>
    <xf numFmtId="0" fontId="48" fillId="8" borderId="5" xfId="4" applyFont="1" applyFill="1" applyBorder="1" applyAlignment="1">
      <alignment horizontal="left" vertical="center" wrapText="1"/>
    </xf>
    <xf numFmtId="0" fontId="48" fillId="8" borderId="6" xfId="4" applyFont="1" applyFill="1" applyBorder="1" applyAlignment="1">
      <alignment horizontal="left" vertical="center" wrapText="1"/>
    </xf>
    <xf numFmtId="0" fontId="46" fillId="0" borderId="5" xfId="4" applyBorder="1" applyAlignment="1">
      <alignment vertical="center" wrapText="1"/>
    </xf>
    <xf numFmtId="0" fontId="46" fillId="0" borderId="6" xfId="4" applyBorder="1" applyAlignment="1">
      <alignment vertical="center" wrapText="1"/>
    </xf>
    <xf numFmtId="0" fontId="46" fillId="0" borderId="69" xfId="4" applyBorder="1" applyAlignment="1">
      <alignment horizontal="center" wrapText="1"/>
    </xf>
    <xf numFmtId="0" fontId="46" fillId="0" borderId="70" xfId="4" applyBorder="1" applyAlignment="1">
      <alignment horizontal="center" wrapText="1"/>
    </xf>
    <xf numFmtId="0" fontId="46" fillId="0" borderId="71" xfId="4" applyBorder="1" applyAlignment="1">
      <alignment horizontal="center" wrapText="1"/>
    </xf>
    <xf numFmtId="0" fontId="46" fillId="0" borderId="29" xfId="4" applyBorder="1" applyAlignment="1">
      <alignment horizontal="center" wrapText="1"/>
    </xf>
    <xf numFmtId="0" fontId="58" fillId="0" borderId="4" xfId="4" applyFont="1" applyBorder="1" applyAlignment="1">
      <alignment vertical="center" wrapText="1"/>
    </xf>
    <xf numFmtId="0" fontId="58" fillId="0" borderId="5" xfId="4" applyFont="1" applyBorder="1" applyAlignment="1">
      <alignment vertical="center" wrapText="1"/>
    </xf>
    <xf numFmtId="0" fontId="58" fillId="0" borderId="6" xfId="4" applyFont="1" applyBorder="1" applyAlignment="1">
      <alignment vertical="center" wrapText="1"/>
    </xf>
    <xf numFmtId="0" fontId="47" fillId="0" borderId="0" xfId="4" applyFont="1" applyAlignment="1">
      <alignment horizontal="center" wrapText="1"/>
    </xf>
    <xf numFmtId="0" fontId="46" fillId="0" borderId="0" xfId="4" applyAlignment="1">
      <alignment wrapText="1"/>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35" fillId="8" borderId="4" xfId="4" applyFont="1" applyFill="1" applyBorder="1" applyAlignment="1">
      <alignment horizontal="left" wrapText="1"/>
    </xf>
    <xf numFmtId="0" fontId="35" fillId="8" borderId="5" xfId="4" applyFont="1" applyFill="1" applyBorder="1" applyAlignment="1">
      <alignment horizontal="left" wrapText="1"/>
    </xf>
    <xf numFmtId="0" fontId="35" fillId="8" borderId="6" xfId="4" applyFont="1" applyFill="1" applyBorder="1" applyAlignment="1">
      <alignment horizontal="lef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14" fontId="35" fillId="8" borderId="4" xfId="4" applyNumberFormat="1" applyFont="1" applyFill="1" applyBorder="1" applyAlignment="1" applyProtection="1">
      <alignment horizontal="left" wrapText="1"/>
      <protection locked="0"/>
    </xf>
    <xf numFmtId="14" fontId="35" fillId="8" borderId="5" xfId="4" applyNumberFormat="1" applyFont="1" applyFill="1" applyBorder="1" applyAlignment="1" applyProtection="1">
      <alignment horizontal="left" wrapText="1"/>
      <protection locked="0"/>
    </xf>
    <xf numFmtId="14" fontId="35" fillId="8" borderId="6" xfId="4" applyNumberFormat="1" applyFont="1" applyFill="1" applyBorder="1" applyAlignment="1" applyProtection="1">
      <alignment horizontal="left" wrapText="1"/>
      <protection locked="0"/>
    </xf>
    <xf numFmtId="0" fontId="35" fillId="8" borderId="4" xfId="4" applyFont="1" applyFill="1" applyBorder="1" applyAlignment="1" applyProtection="1">
      <alignment horizontal="left" wrapText="1"/>
      <protection locked="0"/>
    </xf>
    <xf numFmtId="0" fontId="35" fillId="8" borderId="5" xfId="4" applyFont="1" applyFill="1" applyBorder="1" applyAlignment="1" applyProtection="1">
      <alignment horizontal="left" wrapText="1"/>
      <protection locked="0"/>
    </xf>
    <xf numFmtId="0" fontId="35" fillId="8" borderId="6" xfId="4" applyFont="1" applyFill="1" applyBorder="1" applyAlignment="1" applyProtection="1">
      <alignment horizontal="left" wrapText="1"/>
      <protection locked="0"/>
    </xf>
    <xf numFmtId="0" fontId="34" fillId="0" borderId="2" xfId="4" applyFont="1" applyBorder="1" applyAlignment="1">
      <alignment horizontal="center" vertical="center" wrapText="1"/>
    </xf>
    <xf numFmtId="0" fontId="54" fillId="0" borderId="1" xfId="4" applyFont="1" applyBorder="1" applyAlignment="1">
      <alignment horizontal="center"/>
    </xf>
    <xf numFmtId="0" fontId="54" fillId="0" borderId="15" xfId="4" applyFont="1" applyBorder="1" applyAlignment="1">
      <alignment horizontal="center"/>
    </xf>
    <xf numFmtId="0" fontId="58" fillId="8" borderId="4" xfId="4" applyFont="1" applyFill="1" applyBorder="1" applyAlignment="1" applyProtection="1">
      <alignment horizontal="left" vertical="center"/>
      <protection locked="0"/>
    </xf>
    <xf numFmtId="0" fontId="58" fillId="8" borderId="5" xfId="4" applyFont="1" applyFill="1" applyBorder="1" applyAlignment="1" applyProtection="1">
      <alignment horizontal="left" vertical="center"/>
      <protection locked="0"/>
    </xf>
    <xf numFmtId="0" fontId="58"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34" fillId="8" borderId="5" xfId="4" applyFont="1" applyFill="1" applyBorder="1" applyAlignment="1" applyProtection="1">
      <alignment horizontal="left" vertical="center"/>
      <protection locked="0"/>
    </xf>
    <xf numFmtId="0" fontId="34" fillId="8" borderId="6" xfId="4" applyFont="1" applyFill="1" applyBorder="1" applyAlignment="1" applyProtection="1">
      <alignment horizontal="left" vertical="center"/>
      <protection locked="0"/>
    </xf>
    <xf numFmtId="0" fontId="35" fillId="8" borderId="4" xfId="4" applyFont="1" applyFill="1" applyBorder="1" applyAlignment="1" applyProtection="1">
      <alignment horizontal="left" vertical="center"/>
      <protection locked="0"/>
    </xf>
    <xf numFmtId="0" fontId="62" fillId="8" borderId="5" xfId="4" applyFont="1" applyFill="1" applyBorder="1" applyAlignment="1" applyProtection="1">
      <alignment horizontal="left" vertical="center"/>
      <protection locked="0"/>
    </xf>
    <xf numFmtId="0" fontId="62" fillId="8" borderId="6" xfId="4" applyFont="1" applyFill="1" applyBorder="1" applyAlignment="1" applyProtection="1">
      <alignment horizontal="left" vertical="center"/>
      <protection locked="0"/>
    </xf>
    <xf numFmtId="0" fontId="65" fillId="8" borderId="4" xfId="4" applyFont="1" applyFill="1" applyBorder="1" applyAlignment="1" applyProtection="1">
      <alignment horizontal="left" vertical="center" wrapText="1"/>
      <protection locked="0"/>
    </xf>
    <xf numFmtId="0" fontId="65" fillId="8" borderId="5" xfId="4" applyFont="1" applyFill="1" applyBorder="1" applyAlignment="1" applyProtection="1">
      <alignment horizontal="left" vertical="center" wrapText="1"/>
      <protection locked="0"/>
    </xf>
    <xf numFmtId="0" fontId="65" fillId="8" borderId="6" xfId="4" applyFont="1" applyFill="1" applyBorder="1" applyAlignment="1" applyProtection="1">
      <alignment horizontal="left" vertical="center" wrapText="1"/>
      <protection locked="0"/>
    </xf>
    <xf numFmtId="1" fontId="46" fillId="0" borderId="1" xfId="4" applyNumberFormat="1" applyBorder="1" applyAlignment="1">
      <alignment horizontal="left" vertical="center"/>
    </xf>
    <xf numFmtId="0" fontId="46" fillId="0" borderId="1" xfId="4" applyBorder="1" applyAlignment="1">
      <alignment horizontal="left"/>
    </xf>
    <xf numFmtId="0" fontId="46" fillId="0" borderId="1" xfId="4" applyBorder="1"/>
    <xf numFmtId="0" fontId="46" fillId="0" borderId="15" xfId="4" applyBorder="1" applyAlignment="1">
      <alignment horizontal="left" vertical="center"/>
    </xf>
    <xf numFmtId="0" fontId="46" fillId="0" borderId="15" xfId="4" applyBorder="1" applyAlignment="1">
      <alignment horizontal="left"/>
    </xf>
    <xf numFmtId="0" fontId="46" fillId="0" borderId="15" xfId="4" applyBorder="1"/>
    <xf numFmtId="0" fontId="48" fillId="0" borderId="2" xfId="4" applyFont="1" applyBorder="1" applyAlignment="1">
      <alignment horizontal="center" vertical="center" wrapText="1"/>
    </xf>
    <xf numFmtId="0" fontId="34" fillId="0" borderId="18" xfId="4" applyFont="1" applyBorder="1" applyAlignment="1">
      <alignment horizontal="left" vertical="center" wrapText="1"/>
    </xf>
    <xf numFmtId="0" fontId="34" fillId="0" borderId="29" xfId="4" applyFont="1" applyBorder="1" applyAlignment="1">
      <alignment horizontal="left" vertical="center" wrapText="1"/>
    </xf>
    <xf numFmtId="0" fontId="34" fillId="0" borderId="19" xfId="4" applyFont="1" applyBorder="1" applyAlignment="1">
      <alignment horizontal="left" vertical="center" wrapText="1"/>
    </xf>
    <xf numFmtId="0" fontId="34" fillId="0" borderId="18" xfId="4" applyFont="1" applyBorder="1" applyAlignment="1">
      <alignment horizontal="center" vertical="center" wrapText="1"/>
    </xf>
    <xf numFmtId="0" fontId="35" fillId="0" borderId="29" xfId="4" applyFont="1" applyBorder="1" applyAlignment="1">
      <alignment horizontal="center" vertical="center"/>
    </xf>
    <xf numFmtId="0" fontId="35" fillId="0" borderId="19" xfId="4" applyFont="1" applyBorder="1" applyAlignment="1">
      <alignment horizontal="center" vertical="center"/>
    </xf>
    <xf numFmtId="49" fontId="35" fillId="0" borderId="24" xfId="4" applyNumberFormat="1" applyFont="1" applyBorder="1" applyAlignment="1">
      <alignment horizontal="left"/>
    </xf>
    <xf numFmtId="49" fontId="35" fillId="0" borderId="25" xfId="4" applyNumberFormat="1" applyFont="1" applyBorder="1" applyAlignment="1">
      <alignment horizontal="left"/>
    </xf>
    <xf numFmtId="49" fontId="35" fillId="0" borderId="26" xfId="4" applyNumberFormat="1" applyFont="1" applyBorder="1" applyAlignment="1">
      <alignment horizontal="left"/>
    </xf>
    <xf numFmtId="0" fontId="62" fillId="0" borderId="0" xfId="4" applyFont="1" applyAlignment="1">
      <alignment horizontal="center"/>
    </xf>
    <xf numFmtId="0" fontId="71" fillId="0" borderId="0" xfId="4" applyFont="1" applyAlignment="1">
      <alignment wrapText="1"/>
    </xf>
    <xf numFmtId="0" fontId="48" fillId="0" borderId="67" xfId="4" applyFont="1" applyBorder="1" applyAlignment="1">
      <alignment horizontal="center" vertical="center" wrapText="1"/>
    </xf>
    <xf numFmtId="0" fontId="68" fillId="17" borderId="68" xfId="4" applyFont="1" applyFill="1" applyBorder="1" applyAlignment="1">
      <alignment horizontal="center" wrapText="1"/>
    </xf>
    <xf numFmtId="0" fontId="69" fillId="13" borderId="68" xfId="4" applyFont="1" applyFill="1" applyBorder="1" applyAlignment="1">
      <alignment horizontal="center" vertical="center" wrapText="1"/>
    </xf>
    <xf numFmtId="0" fontId="46" fillId="0" borderId="68" xfId="4" applyBorder="1" applyAlignment="1">
      <alignment horizontal="center" vertical="center" wrapText="1"/>
    </xf>
    <xf numFmtId="0" fontId="68" fillId="13" borderId="68" xfId="4" applyFont="1" applyFill="1" applyBorder="1" applyAlignment="1">
      <alignment horizontal="center" vertical="center" wrapText="1"/>
    </xf>
    <xf numFmtId="0" fontId="35" fillId="0" borderId="0" xfId="4" applyFont="1" applyAlignment="1">
      <alignment horizontal="left"/>
    </xf>
    <xf numFmtId="0" fontId="38" fillId="0" borderId="29" xfId="0" applyFont="1" applyBorder="1" applyAlignment="1">
      <alignment horizontal="center"/>
    </xf>
    <xf numFmtId="0" fontId="75" fillId="2" borderId="29" xfId="0" applyFont="1" applyFill="1" applyBorder="1" applyAlignment="1">
      <alignment horizontal="center"/>
    </xf>
    <xf numFmtId="0" fontId="38" fillId="0" borderId="0" xfId="0" applyFont="1" applyAlignment="1" applyProtection="1">
      <alignment horizontal="right"/>
      <protection hidden="1"/>
    </xf>
    <xf numFmtId="0" fontId="43" fillId="0" borderId="0" xfId="0" applyFont="1" applyAlignment="1" applyProtection="1">
      <alignment horizontal="right"/>
      <protection hidden="1"/>
    </xf>
    <xf numFmtId="0" fontId="37" fillId="2" borderId="4" xfId="0" applyFont="1" applyFill="1" applyBorder="1" applyAlignment="1" applyProtection="1">
      <alignment horizontal="center"/>
      <protection locked="0"/>
    </xf>
    <xf numFmtId="0" fontId="37" fillId="2" borderId="6" xfId="0" applyFont="1" applyFill="1" applyBorder="1" applyAlignment="1" applyProtection="1">
      <alignment horizontal="center"/>
      <protection locked="0"/>
    </xf>
    <xf numFmtId="0" fontId="38" fillId="0" borderId="63" xfId="0" applyFont="1" applyBorder="1" applyAlignment="1">
      <alignment horizontal="center" wrapText="1"/>
    </xf>
    <xf numFmtId="0" fontId="38" fillId="0" borderId="64" xfId="0" applyFont="1" applyBorder="1" applyAlignment="1">
      <alignment horizontal="center" wrapText="1"/>
    </xf>
    <xf numFmtId="0" fontId="37" fillId="2" borderId="4" xfId="0" applyFont="1" applyFill="1" applyBorder="1" applyAlignment="1" applyProtection="1">
      <alignment horizontal="center" wrapText="1"/>
      <protection locked="0"/>
    </xf>
    <xf numFmtId="0" fontId="37" fillId="2" borderId="6" xfId="0" applyFont="1" applyFill="1" applyBorder="1" applyAlignment="1" applyProtection="1">
      <alignment horizontal="center" wrapText="1"/>
      <protection locked="0"/>
    </xf>
    <xf numFmtId="10" fontId="37" fillId="2" borderId="61" xfId="0" applyNumberFormat="1" applyFont="1" applyFill="1" applyBorder="1" applyAlignment="1" applyProtection="1">
      <alignment horizontal="center"/>
      <protection locked="0"/>
    </xf>
    <xf numFmtId="10" fontId="37" fillId="2" borderId="62" xfId="0" applyNumberFormat="1" applyFont="1" applyFill="1" applyBorder="1" applyAlignment="1" applyProtection="1">
      <alignment horizontal="center"/>
      <protection locked="0"/>
    </xf>
    <xf numFmtId="0" fontId="38" fillId="0" borderId="60" xfId="0" applyFont="1" applyBorder="1" applyAlignment="1">
      <alignment horizontal="center"/>
    </xf>
    <xf numFmtId="0" fontId="0" fillId="2" borderId="2" xfId="0" applyFill="1" applyBorder="1" applyAlignment="1" applyProtection="1">
      <alignment horizontal="center"/>
      <protection locked="0"/>
    </xf>
    <xf numFmtId="0" fontId="38" fillId="2" borderId="29" xfId="0" applyFont="1" applyFill="1" applyBorder="1" applyAlignment="1">
      <alignment horizontal="center" wrapText="1"/>
    </xf>
    <xf numFmtId="0" fontId="43" fillId="0" borderId="0" xfId="0" applyFont="1" applyAlignment="1" applyProtection="1">
      <alignment horizontal="center" wrapText="1"/>
      <protection hidden="1"/>
    </xf>
    <xf numFmtId="0" fontId="43" fillId="0" borderId="0" xfId="0" applyFont="1" applyAlignment="1" applyProtection="1">
      <alignment horizontal="center"/>
      <protection hidden="1"/>
    </xf>
    <xf numFmtId="0" fontId="38"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6.jpeg"/><Relationship Id="rId13" Type="http://schemas.openxmlformats.org/officeDocument/2006/relationships/image" Target="../media/image21.jpeg"/><Relationship Id="rId18" Type="http://schemas.openxmlformats.org/officeDocument/2006/relationships/chart" Target="../charts/chart25.xml"/><Relationship Id="rId3" Type="http://schemas.openxmlformats.org/officeDocument/2006/relationships/image" Target="../media/image11.jpeg"/><Relationship Id="rId7" Type="http://schemas.openxmlformats.org/officeDocument/2006/relationships/image" Target="../media/image15.jpeg"/><Relationship Id="rId12" Type="http://schemas.openxmlformats.org/officeDocument/2006/relationships/image" Target="../media/image20.jpeg"/><Relationship Id="rId17" Type="http://schemas.openxmlformats.org/officeDocument/2006/relationships/chart" Target="../charts/chart24.xml"/><Relationship Id="rId2" Type="http://schemas.openxmlformats.org/officeDocument/2006/relationships/image" Target="../media/image10.jpeg"/><Relationship Id="rId16" Type="http://schemas.openxmlformats.org/officeDocument/2006/relationships/chart" Target="../charts/chart23.xml"/><Relationship Id="rId1" Type="http://schemas.openxmlformats.org/officeDocument/2006/relationships/image" Target="../media/image9.emf"/><Relationship Id="rId6" Type="http://schemas.openxmlformats.org/officeDocument/2006/relationships/image" Target="../media/image14.jpeg"/><Relationship Id="rId11" Type="http://schemas.openxmlformats.org/officeDocument/2006/relationships/image" Target="../media/image19.jpeg"/><Relationship Id="rId5" Type="http://schemas.openxmlformats.org/officeDocument/2006/relationships/image" Target="../media/image13.jpeg"/><Relationship Id="rId15" Type="http://schemas.openxmlformats.org/officeDocument/2006/relationships/chart" Target="../charts/chart22.xml"/><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jpeg"/><Relationship Id="rId1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186333" cy="6279444"/>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baseColWidth="10" defaultColWidth="8.83203125" defaultRowHeight="13"/>
  <cols>
    <col min="1" max="3" width="8.83203125" style="402"/>
    <col min="4" max="4" width="9.6640625" style="402" customWidth="1"/>
    <col min="5" max="259" width="8.83203125" style="402"/>
    <col min="260" max="260" width="9.6640625" style="402" customWidth="1"/>
    <col min="261" max="515" width="8.83203125" style="402"/>
    <col min="516" max="516" width="9.6640625" style="402" customWidth="1"/>
    <col min="517" max="771" width="8.83203125" style="402"/>
    <col min="772" max="772" width="9.6640625" style="402" customWidth="1"/>
    <col min="773" max="1027" width="8.83203125" style="402"/>
    <col min="1028" max="1028" width="9.6640625" style="402" customWidth="1"/>
    <col min="1029" max="1283" width="8.83203125" style="402"/>
    <col min="1284" max="1284" width="9.6640625" style="402" customWidth="1"/>
    <col min="1285" max="1539" width="8.83203125" style="402"/>
    <col min="1540" max="1540" width="9.6640625" style="402" customWidth="1"/>
    <col min="1541" max="1795" width="8.83203125" style="402"/>
    <col min="1796" max="1796" width="9.6640625" style="402" customWidth="1"/>
    <col min="1797" max="2051" width="8.83203125" style="402"/>
    <col min="2052" max="2052" width="9.6640625" style="402" customWidth="1"/>
    <col min="2053" max="2307" width="8.83203125" style="402"/>
    <col min="2308" max="2308" width="9.6640625" style="402" customWidth="1"/>
    <col min="2309" max="2563" width="8.83203125" style="402"/>
    <col min="2564" max="2564" width="9.6640625" style="402" customWidth="1"/>
    <col min="2565" max="2819" width="8.83203125" style="402"/>
    <col min="2820" max="2820" width="9.6640625" style="402" customWidth="1"/>
    <col min="2821" max="3075" width="8.83203125" style="402"/>
    <col min="3076" max="3076" width="9.6640625" style="402" customWidth="1"/>
    <col min="3077" max="3331" width="8.83203125" style="402"/>
    <col min="3332" max="3332" width="9.6640625" style="402" customWidth="1"/>
    <col min="3333" max="3587" width="8.83203125" style="402"/>
    <col min="3588" max="3588" width="9.6640625" style="402" customWidth="1"/>
    <col min="3589" max="3843" width="8.83203125" style="402"/>
    <col min="3844" max="3844" width="9.6640625" style="402" customWidth="1"/>
    <col min="3845" max="4099" width="8.83203125" style="402"/>
    <col min="4100" max="4100" width="9.6640625" style="402" customWidth="1"/>
    <col min="4101" max="4355" width="8.83203125" style="402"/>
    <col min="4356" max="4356" width="9.6640625" style="402" customWidth="1"/>
    <col min="4357" max="4611" width="8.83203125" style="402"/>
    <col min="4612" max="4612" width="9.6640625" style="402" customWidth="1"/>
    <col min="4613" max="4867" width="8.83203125" style="402"/>
    <col min="4868" max="4868" width="9.6640625" style="402" customWidth="1"/>
    <col min="4869" max="5123" width="8.83203125" style="402"/>
    <col min="5124" max="5124" width="9.6640625" style="402" customWidth="1"/>
    <col min="5125" max="5379" width="8.83203125" style="402"/>
    <col min="5380" max="5380" width="9.6640625" style="402" customWidth="1"/>
    <col min="5381" max="5635" width="8.83203125" style="402"/>
    <col min="5636" max="5636" width="9.6640625" style="402" customWidth="1"/>
    <col min="5637" max="5891" width="8.83203125" style="402"/>
    <col min="5892" max="5892" width="9.6640625" style="402" customWidth="1"/>
    <col min="5893" max="6147" width="8.83203125" style="402"/>
    <col min="6148" max="6148" width="9.6640625" style="402" customWidth="1"/>
    <col min="6149" max="6403" width="8.83203125" style="402"/>
    <col min="6404" max="6404" width="9.6640625" style="402" customWidth="1"/>
    <col min="6405" max="6659" width="8.83203125" style="402"/>
    <col min="6660" max="6660" width="9.6640625" style="402" customWidth="1"/>
    <col min="6661" max="6915" width="8.83203125" style="402"/>
    <col min="6916" max="6916" width="9.6640625" style="402" customWidth="1"/>
    <col min="6917" max="7171" width="8.83203125" style="402"/>
    <col min="7172" max="7172" width="9.6640625" style="402" customWidth="1"/>
    <col min="7173" max="7427" width="8.83203125" style="402"/>
    <col min="7428" max="7428" width="9.6640625" style="402" customWidth="1"/>
    <col min="7429" max="7683" width="8.83203125" style="402"/>
    <col min="7684" max="7684" width="9.6640625" style="402" customWidth="1"/>
    <col min="7685" max="7939" width="8.83203125" style="402"/>
    <col min="7940" max="7940" width="9.6640625" style="402" customWidth="1"/>
    <col min="7941" max="8195" width="8.83203125" style="402"/>
    <col min="8196" max="8196" width="9.6640625" style="402" customWidth="1"/>
    <col min="8197" max="8451" width="8.83203125" style="402"/>
    <col min="8452" max="8452" width="9.6640625" style="402" customWidth="1"/>
    <col min="8453" max="8707" width="8.83203125" style="402"/>
    <col min="8708" max="8708" width="9.6640625" style="402" customWidth="1"/>
    <col min="8709" max="8963" width="8.83203125" style="402"/>
    <col min="8964" max="8964" width="9.6640625" style="402" customWidth="1"/>
    <col min="8965" max="9219" width="8.83203125" style="402"/>
    <col min="9220" max="9220" width="9.6640625" style="402" customWidth="1"/>
    <col min="9221" max="9475" width="8.83203125" style="402"/>
    <col min="9476" max="9476" width="9.6640625" style="402" customWidth="1"/>
    <col min="9477" max="9731" width="8.83203125" style="402"/>
    <col min="9732" max="9732" width="9.6640625" style="402" customWidth="1"/>
    <col min="9733" max="9987" width="8.83203125" style="402"/>
    <col min="9988" max="9988" width="9.6640625" style="402" customWidth="1"/>
    <col min="9989" max="10243" width="8.83203125" style="402"/>
    <col min="10244" max="10244" width="9.6640625" style="402" customWidth="1"/>
    <col min="10245" max="10499" width="8.83203125" style="402"/>
    <col min="10500" max="10500" width="9.6640625" style="402" customWidth="1"/>
    <col min="10501" max="10755" width="8.83203125" style="402"/>
    <col min="10756" max="10756" width="9.6640625" style="402" customWidth="1"/>
    <col min="10757" max="11011" width="8.83203125" style="402"/>
    <col min="11012" max="11012" width="9.6640625" style="402" customWidth="1"/>
    <col min="11013" max="11267" width="8.83203125" style="402"/>
    <col min="11268" max="11268" width="9.6640625" style="402" customWidth="1"/>
    <col min="11269" max="11523" width="8.83203125" style="402"/>
    <col min="11524" max="11524" width="9.6640625" style="402" customWidth="1"/>
    <col min="11525" max="11779" width="8.83203125" style="402"/>
    <col min="11780" max="11780" width="9.6640625" style="402" customWidth="1"/>
    <col min="11781" max="12035" width="8.83203125" style="402"/>
    <col min="12036" max="12036" width="9.6640625" style="402" customWidth="1"/>
    <col min="12037" max="12291" width="8.83203125" style="402"/>
    <col min="12292" max="12292" width="9.6640625" style="402" customWidth="1"/>
    <col min="12293" max="12547" width="8.83203125" style="402"/>
    <col min="12548" max="12548" width="9.6640625" style="402" customWidth="1"/>
    <col min="12549" max="12803" width="8.83203125" style="402"/>
    <col min="12804" max="12804" width="9.6640625" style="402" customWidth="1"/>
    <col min="12805" max="13059" width="8.83203125" style="402"/>
    <col min="13060" max="13060" width="9.6640625" style="402" customWidth="1"/>
    <col min="13061" max="13315" width="8.83203125" style="402"/>
    <col min="13316" max="13316" width="9.6640625" style="402" customWidth="1"/>
    <col min="13317" max="13571" width="8.83203125" style="402"/>
    <col min="13572" max="13572" width="9.6640625" style="402" customWidth="1"/>
    <col min="13573" max="13827" width="8.83203125" style="402"/>
    <col min="13828" max="13828" width="9.6640625" style="402" customWidth="1"/>
    <col min="13829" max="14083" width="8.83203125" style="402"/>
    <col min="14084" max="14084" width="9.6640625" style="402" customWidth="1"/>
    <col min="14085" max="14339" width="8.83203125" style="402"/>
    <col min="14340" max="14340" width="9.6640625" style="402" customWidth="1"/>
    <col min="14341" max="14595" width="8.83203125" style="402"/>
    <col min="14596" max="14596" width="9.6640625" style="402" customWidth="1"/>
    <col min="14597" max="14851" width="8.83203125" style="402"/>
    <col min="14852" max="14852" width="9.6640625" style="402" customWidth="1"/>
    <col min="14853" max="15107" width="8.83203125" style="402"/>
    <col min="15108" max="15108" width="9.6640625" style="402" customWidth="1"/>
    <col min="15109" max="15363" width="8.83203125" style="402"/>
    <col min="15364" max="15364" width="9.6640625" style="402" customWidth="1"/>
    <col min="15365" max="15619" width="8.83203125" style="402"/>
    <col min="15620" max="15620" width="9.6640625" style="402" customWidth="1"/>
    <col min="15621" max="15875" width="8.83203125" style="402"/>
    <col min="15876" max="15876" width="9.6640625" style="402" customWidth="1"/>
    <col min="15877" max="16131" width="8.83203125" style="402"/>
    <col min="16132" max="16132" width="9.6640625" style="402" customWidth="1"/>
    <col min="16133" max="16384" width="8.83203125" style="402"/>
  </cols>
  <sheetData>
    <row r="1" spans="1:15" ht="14">
      <c r="A1" s="563" t="s">
        <v>0</v>
      </c>
      <c r="B1" s="563"/>
      <c r="C1" s="563"/>
      <c r="D1" s="563"/>
      <c r="E1" s="563"/>
      <c r="F1" s="563"/>
      <c r="G1" s="563"/>
      <c r="H1" s="563"/>
      <c r="I1" s="563"/>
      <c r="J1" s="563"/>
      <c r="K1" s="563"/>
      <c r="L1" s="563"/>
      <c r="M1" s="563"/>
      <c r="N1" s="563"/>
      <c r="O1" s="563"/>
    </row>
    <row r="2" spans="1:15" ht="14">
      <c r="A2" s="563" t="s">
        <v>1</v>
      </c>
      <c r="B2" s="563"/>
      <c r="C2" s="563"/>
      <c r="D2" s="563"/>
      <c r="E2" s="563"/>
      <c r="F2" s="563"/>
      <c r="G2" s="563"/>
      <c r="H2" s="563"/>
      <c r="I2" s="563"/>
      <c r="J2" s="563"/>
      <c r="K2" s="563"/>
      <c r="L2" s="563"/>
      <c r="M2" s="563"/>
      <c r="N2" s="563"/>
      <c r="O2" s="563"/>
    </row>
    <row r="3" spans="1:15" ht="14">
      <c r="A3" s="563" t="s">
        <v>2</v>
      </c>
      <c r="B3" s="563"/>
      <c r="C3" s="563"/>
      <c r="D3" s="563"/>
      <c r="E3" s="563"/>
      <c r="F3" s="563"/>
      <c r="G3" s="563"/>
      <c r="H3" s="563"/>
      <c r="I3" s="563"/>
      <c r="J3" s="563"/>
      <c r="K3" s="563"/>
      <c r="L3" s="563"/>
      <c r="M3" s="563"/>
      <c r="N3" s="563"/>
      <c r="O3" s="563"/>
    </row>
    <row r="4" spans="1:15" ht="14">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8">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8">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8">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
      <c r="B30" s="411"/>
      <c r="C30" s="411"/>
      <c r="D30" s="411"/>
      <c r="E30" s="411"/>
      <c r="F30" s="411"/>
      <c r="G30" s="411"/>
      <c r="H30" s="411"/>
      <c r="I30" s="411"/>
      <c r="J30" s="411"/>
      <c r="K30" s="411"/>
      <c r="L30" s="411"/>
      <c r="M30" s="411"/>
      <c r="N30" s="411"/>
      <c r="O30" s="411"/>
    </row>
    <row r="31" spans="1:15" ht="14">
      <c r="B31" s="411"/>
      <c r="C31" s="411"/>
      <c r="D31" s="411"/>
      <c r="E31" s="411"/>
      <c r="F31" s="411"/>
      <c r="G31" s="411"/>
      <c r="H31" s="411"/>
      <c r="I31" s="411"/>
      <c r="J31" s="411"/>
      <c r="K31" s="411"/>
      <c r="L31" s="411"/>
      <c r="M31" s="411"/>
      <c r="N31" s="411"/>
      <c r="O31" s="411"/>
    </row>
    <row r="32" spans="1:15" ht="14">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zoomScale="90" zoomScaleNormal="90" workbookViewId="0">
      <selection activeCell="D4" sqref="D4:P4"/>
    </sheetView>
  </sheetViews>
  <sheetFormatPr baseColWidth="10" defaultColWidth="8.83203125" defaultRowHeight="13"/>
  <cols>
    <col min="1" max="2" width="8.83203125" style="402"/>
    <col min="3" max="3" width="28.83203125" style="402" customWidth="1"/>
    <col min="4" max="11" width="8.83203125" style="402"/>
    <col min="12" max="12" width="11.83203125" style="402" customWidth="1"/>
    <col min="13" max="258" width="8.83203125" style="402"/>
    <col min="259" max="259" width="28.83203125" style="402" customWidth="1"/>
    <col min="260" max="267" width="8.83203125" style="402"/>
    <col min="268" max="268" width="11.83203125" style="402" customWidth="1"/>
    <col min="269" max="514" width="8.83203125" style="402"/>
    <col min="515" max="515" width="28.83203125" style="402" customWidth="1"/>
    <col min="516" max="523" width="8.83203125" style="402"/>
    <col min="524" max="524" width="11.83203125" style="402" customWidth="1"/>
    <col min="525" max="770" width="8.83203125" style="402"/>
    <col min="771" max="771" width="28.83203125" style="402" customWidth="1"/>
    <col min="772" max="779" width="8.83203125" style="402"/>
    <col min="780" max="780" width="11.83203125" style="402" customWidth="1"/>
    <col min="781" max="1026" width="8.83203125" style="402"/>
    <col min="1027" max="1027" width="28.83203125" style="402" customWidth="1"/>
    <col min="1028" max="1035" width="8.83203125" style="402"/>
    <col min="1036" max="1036" width="11.83203125" style="402" customWidth="1"/>
    <col min="1037" max="1282" width="8.83203125" style="402"/>
    <col min="1283" max="1283" width="28.83203125" style="402" customWidth="1"/>
    <col min="1284" max="1291" width="8.83203125" style="402"/>
    <col min="1292" max="1292" width="11.83203125" style="402" customWidth="1"/>
    <col min="1293" max="1538" width="8.83203125" style="402"/>
    <col min="1539" max="1539" width="28.83203125" style="402" customWidth="1"/>
    <col min="1540" max="1547" width="8.83203125" style="402"/>
    <col min="1548" max="1548" width="11.83203125" style="402" customWidth="1"/>
    <col min="1549" max="1794" width="8.83203125" style="402"/>
    <col min="1795" max="1795" width="28.83203125" style="402" customWidth="1"/>
    <col min="1796" max="1803" width="8.83203125" style="402"/>
    <col min="1804" max="1804" width="11.83203125" style="402" customWidth="1"/>
    <col min="1805" max="2050" width="8.83203125" style="402"/>
    <col min="2051" max="2051" width="28.83203125" style="402" customWidth="1"/>
    <col min="2052" max="2059" width="8.83203125" style="402"/>
    <col min="2060" max="2060" width="11.83203125" style="402" customWidth="1"/>
    <col min="2061" max="2306" width="8.83203125" style="402"/>
    <col min="2307" max="2307" width="28.83203125" style="402" customWidth="1"/>
    <col min="2308" max="2315" width="8.83203125" style="402"/>
    <col min="2316" max="2316" width="11.83203125" style="402" customWidth="1"/>
    <col min="2317" max="2562" width="8.83203125" style="402"/>
    <col min="2563" max="2563" width="28.83203125" style="402" customWidth="1"/>
    <col min="2564" max="2571" width="8.83203125" style="402"/>
    <col min="2572" max="2572" width="11.83203125" style="402" customWidth="1"/>
    <col min="2573" max="2818" width="8.83203125" style="402"/>
    <col min="2819" max="2819" width="28.83203125" style="402" customWidth="1"/>
    <col min="2820" max="2827" width="8.83203125" style="402"/>
    <col min="2828" max="2828" width="11.83203125" style="402" customWidth="1"/>
    <col min="2829" max="3074" width="8.83203125" style="402"/>
    <col min="3075" max="3075" width="28.83203125" style="402" customWidth="1"/>
    <col min="3076" max="3083" width="8.83203125" style="402"/>
    <col min="3084" max="3084" width="11.83203125" style="402" customWidth="1"/>
    <col min="3085" max="3330" width="8.83203125" style="402"/>
    <col min="3331" max="3331" width="28.83203125" style="402" customWidth="1"/>
    <col min="3332" max="3339" width="8.83203125" style="402"/>
    <col min="3340" max="3340" width="11.83203125" style="402" customWidth="1"/>
    <col min="3341" max="3586" width="8.83203125" style="402"/>
    <col min="3587" max="3587" width="28.83203125" style="402" customWidth="1"/>
    <col min="3588" max="3595" width="8.83203125" style="402"/>
    <col min="3596" max="3596" width="11.83203125" style="402" customWidth="1"/>
    <col min="3597" max="3842" width="8.83203125" style="402"/>
    <col min="3843" max="3843" width="28.83203125" style="402" customWidth="1"/>
    <col min="3844" max="3851" width="8.83203125" style="402"/>
    <col min="3852" max="3852" width="11.83203125" style="402" customWidth="1"/>
    <col min="3853" max="4098" width="8.83203125" style="402"/>
    <col min="4099" max="4099" width="28.83203125" style="402" customWidth="1"/>
    <col min="4100" max="4107" width="8.83203125" style="402"/>
    <col min="4108" max="4108" width="11.83203125" style="402" customWidth="1"/>
    <col min="4109" max="4354" width="8.83203125" style="402"/>
    <col min="4355" max="4355" width="28.83203125" style="402" customWidth="1"/>
    <col min="4356" max="4363" width="8.83203125" style="402"/>
    <col min="4364" max="4364" width="11.83203125" style="402" customWidth="1"/>
    <col min="4365" max="4610" width="8.83203125" style="402"/>
    <col min="4611" max="4611" width="28.83203125" style="402" customWidth="1"/>
    <col min="4612" max="4619" width="8.83203125" style="402"/>
    <col min="4620" max="4620" width="11.83203125" style="402" customWidth="1"/>
    <col min="4621" max="4866" width="8.83203125" style="402"/>
    <col min="4867" max="4867" width="28.83203125" style="402" customWidth="1"/>
    <col min="4868" max="4875" width="8.83203125" style="402"/>
    <col min="4876" max="4876" width="11.83203125" style="402" customWidth="1"/>
    <col min="4877" max="5122" width="8.83203125" style="402"/>
    <col min="5123" max="5123" width="28.83203125" style="402" customWidth="1"/>
    <col min="5124" max="5131" width="8.83203125" style="402"/>
    <col min="5132" max="5132" width="11.83203125" style="402" customWidth="1"/>
    <col min="5133" max="5378" width="8.83203125" style="402"/>
    <col min="5379" max="5379" width="28.83203125" style="402" customWidth="1"/>
    <col min="5380" max="5387" width="8.83203125" style="402"/>
    <col min="5388" max="5388" width="11.83203125" style="402" customWidth="1"/>
    <col min="5389" max="5634" width="8.83203125" style="402"/>
    <col min="5635" max="5635" width="28.83203125" style="402" customWidth="1"/>
    <col min="5636" max="5643" width="8.83203125" style="402"/>
    <col min="5644" max="5644" width="11.83203125" style="402" customWidth="1"/>
    <col min="5645" max="5890" width="8.83203125" style="402"/>
    <col min="5891" max="5891" width="28.83203125" style="402" customWidth="1"/>
    <col min="5892" max="5899" width="8.83203125" style="402"/>
    <col min="5900" max="5900" width="11.83203125" style="402" customWidth="1"/>
    <col min="5901" max="6146" width="8.83203125" style="402"/>
    <col min="6147" max="6147" width="28.83203125" style="402" customWidth="1"/>
    <col min="6148" max="6155" width="8.83203125" style="402"/>
    <col min="6156" max="6156" width="11.83203125" style="402" customWidth="1"/>
    <col min="6157" max="6402" width="8.83203125" style="402"/>
    <col min="6403" max="6403" width="28.83203125" style="402" customWidth="1"/>
    <col min="6404" max="6411" width="8.83203125" style="402"/>
    <col min="6412" max="6412" width="11.83203125" style="402" customWidth="1"/>
    <col min="6413" max="6658" width="8.83203125" style="402"/>
    <col min="6659" max="6659" width="28.83203125" style="402" customWidth="1"/>
    <col min="6660" max="6667" width="8.83203125" style="402"/>
    <col min="6668" max="6668" width="11.83203125" style="402" customWidth="1"/>
    <col min="6669" max="6914" width="8.83203125" style="402"/>
    <col min="6915" max="6915" width="28.83203125" style="402" customWidth="1"/>
    <col min="6916" max="6923" width="8.83203125" style="402"/>
    <col min="6924" max="6924" width="11.83203125" style="402" customWidth="1"/>
    <col min="6925" max="7170" width="8.83203125" style="402"/>
    <col min="7171" max="7171" width="28.83203125" style="402" customWidth="1"/>
    <col min="7172" max="7179" width="8.83203125" style="402"/>
    <col min="7180" max="7180" width="11.83203125" style="402" customWidth="1"/>
    <col min="7181" max="7426" width="8.83203125" style="402"/>
    <col min="7427" max="7427" width="28.83203125" style="402" customWidth="1"/>
    <col min="7428" max="7435" width="8.83203125" style="402"/>
    <col min="7436" max="7436" width="11.83203125" style="402" customWidth="1"/>
    <col min="7437" max="7682" width="8.83203125" style="402"/>
    <col min="7683" max="7683" width="28.83203125" style="402" customWidth="1"/>
    <col min="7684" max="7691" width="8.83203125" style="402"/>
    <col min="7692" max="7692" width="11.83203125" style="402" customWidth="1"/>
    <col min="7693" max="7938" width="8.83203125" style="402"/>
    <col min="7939" max="7939" width="28.83203125" style="402" customWidth="1"/>
    <col min="7940" max="7947" width="8.83203125" style="402"/>
    <col min="7948" max="7948" width="11.83203125" style="402" customWidth="1"/>
    <col min="7949" max="8194" width="8.83203125" style="402"/>
    <col min="8195" max="8195" width="28.83203125" style="402" customWidth="1"/>
    <col min="8196" max="8203" width="8.83203125" style="402"/>
    <col min="8204" max="8204" width="11.83203125" style="402" customWidth="1"/>
    <col min="8205" max="8450" width="8.83203125" style="402"/>
    <col min="8451" max="8451" width="28.83203125" style="402" customWidth="1"/>
    <col min="8452" max="8459" width="8.83203125" style="402"/>
    <col min="8460" max="8460" width="11.83203125" style="402" customWidth="1"/>
    <col min="8461" max="8706" width="8.83203125" style="402"/>
    <col min="8707" max="8707" width="28.83203125" style="402" customWidth="1"/>
    <col min="8708" max="8715" width="8.83203125" style="402"/>
    <col min="8716" max="8716" width="11.83203125" style="402" customWidth="1"/>
    <col min="8717" max="8962" width="8.83203125" style="402"/>
    <col min="8963" max="8963" width="28.83203125" style="402" customWidth="1"/>
    <col min="8964" max="8971" width="8.83203125" style="402"/>
    <col min="8972" max="8972" width="11.83203125" style="402" customWidth="1"/>
    <col min="8973" max="9218" width="8.83203125" style="402"/>
    <col min="9219" max="9219" width="28.83203125" style="402" customWidth="1"/>
    <col min="9220" max="9227" width="8.83203125" style="402"/>
    <col min="9228" max="9228" width="11.83203125" style="402" customWidth="1"/>
    <col min="9229" max="9474" width="8.83203125" style="402"/>
    <col min="9475" max="9475" width="28.83203125" style="402" customWidth="1"/>
    <col min="9476" max="9483" width="8.83203125" style="402"/>
    <col min="9484" max="9484" width="11.83203125" style="402" customWidth="1"/>
    <col min="9485" max="9730" width="8.83203125" style="402"/>
    <col min="9731" max="9731" width="28.83203125" style="402" customWidth="1"/>
    <col min="9732" max="9739" width="8.83203125" style="402"/>
    <col min="9740" max="9740" width="11.83203125" style="402" customWidth="1"/>
    <col min="9741" max="9986" width="8.83203125" style="402"/>
    <col min="9987" max="9987" width="28.83203125" style="402" customWidth="1"/>
    <col min="9988" max="9995" width="8.83203125" style="402"/>
    <col min="9996" max="9996" width="11.83203125" style="402" customWidth="1"/>
    <col min="9997" max="10242" width="8.83203125" style="402"/>
    <col min="10243" max="10243" width="28.83203125" style="402" customWidth="1"/>
    <col min="10244" max="10251" width="8.83203125" style="402"/>
    <col min="10252" max="10252" width="11.83203125" style="402" customWidth="1"/>
    <col min="10253" max="10498" width="8.83203125" style="402"/>
    <col min="10499" max="10499" width="28.83203125" style="402" customWidth="1"/>
    <col min="10500" max="10507" width="8.83203125" style="402"/>
    <col min="10508" max="10508" width="11.83203125" style="402" customWidth="1"/>
    <col min="10509" max="10754" width="8.83203125" style="402"/>
    <col min="10755" max="10755" width="28.83203125" style="402" customWidth="1"/>
    <col min="10756" max="10763" width="8.83203125" style="402"/>
    <col min="10764" max="10764" width="11.83203125" style="402" customWidth="1"/>
    <col min="10765" max="11010" width="8.83203125" style="402"/>
    <col min="11011" max="11011" width="28.83203125" style="402" customWidth="1"/>
    <col min="11012" max="11019" width="8.83203125" style="402"/>
    <col min="11020" max="11020" width="11.83203125" style="402" customWidth="1"/>
    <col min="11021" max="11266" width="8.83203125" style="402"/>
    <col min="11267" max="11267" width="28.83203125" style="402" customWidth="1"/>
    <col min="11268" max="11275" width="8.83203125" style="402"/>
    <col min="11276" max="11276" width="11.83203125" style="402" customWidth="1"/>
    <col min="11277" max="11522" width="8.83203125" style="402"/>
    <col min="11523" max="11523" width="28.83203125" style="402" customWidth="1"/>
    <col min="11524" max="11531" width="8.83203125" style="402"/>
    <col min="11532" max="11532" width="11.83203125" style="402" customWidth="1"/>
    <col min="11533" max="11778" width="8.83203125" style="402"/>
    <col min="11779" max="11779" width="28.83203125" style="402" customWidth="1"/>
    <col min="11780" max="11787" width="8.83203125" style="402"/>
    <col min="11788" max="11788" width="11.83203125" style="402" customWidth="1"/>
    <col min="11789" max="12034" width="8.83203125" style="402"/>
    <col min="12035" max="12035" width="28.83203125" style="402" customWidth="1"/>
    <col min="12036" max="12043" width="8.83203125" style="402"/>
    <col min="12044" max="12044" width="11.83203125" style="402" customWidth="1"/>
    <col min="12045" max="12290" width="8.83203125" style="402"/>
    <col min="12291" max="12291" width="28.83203125" style="402" customWidth="1"/>
    <col min="12292" max="12299" width="8.83203125" style="402"/>
    <col min="12300" max="12300" width="11.83203125" style="402" customWidth="1"/>
    <col min="12301" max="12546" width="8.83203125" style="402"/>
    <col min="12547" max="12547" width="28.83203125" style="402" customWidth="1"/>
    <col min="12548" max="12555" width="8.83203125" style="402"/>
    <col min="12556" max="12556" width="11.83203125" style="402" customWidth="1"/>
    <col min="12557" max="12802" width="8.83203125" style="402"/>
    <col min="12803" max="12803" width="28.83203125" style="402" customWidth="1"/>
    <col min="12804" max="12811" width="8.83203125" style="402"/>
    <col min="12812" max="12812" width="11.83203125" style="402" customWidth="1"/>
    <col min="12813" max="13058" width="8.83203125" style="402"/>
    <col min="13059" max="13059" width="28.83203125" style="402" customWidth="1"/>
    <col min="13060" max="13067" width="8.83203125" style="402"/>
    <col min="13068" max="13068" width="11.83203125" style="402" customWidth="1"/>
    <col min="13069" max="13314" width="8.83203125" style="402"/>
    <col min="13315" max="13315" width="28.83203125" style="402" customWidth="1"/>
    <col min="13316" max="13323" width="8.83203125" style="402"/>
    <col min="13324" max="13324" width="11.83203125" style="402" customWidth="1"/>
    <col min="13325" max="13570" width="8.83203125" style="402"/>
    <col min="13571" max="13571" width="28.83203125" style="402" customWidth="1"/>
    <col min="13572" max="13579" width="8.83203125" style="402"/>
    <col min="13580" max="13580" width="11.83203125" style="402" customWidth="1"/>
    <col min="13581" max="13826" width="8.83203125" style="402"/>
    <col min="13827" max="13827" width="28.83203125" style="402" customWidth="1"/>
    <col min="13828" max="13835" width="8.83203125" style="402"/>
    <col min="13836" max="13836" width="11.83203125" style="402" customWidth="1"/>
    <col min="13837" max="14082" width="8.83203125" style="402"/>
    <col min="14083" max="14083" width="28.83203125" style="402" customWidth="1"/>
    <col min="14084" max="14091" width="8.83203125" style="402"/>
    <col min="14092" max="14092" width="11.83203125" style="402" customWidth="1"/>
    <col min="14093" max="14338" width="8.83203125" style="402"/>
    <col min="14339" max="14339" width="28.83203125" style="402" customWidth="1"/>
    <col min="14340" max="14347" width="8.83203125" style="402"/>
    <col min="14348" max="14348" width="11.83203125" style="402" customWidth="1"/>
    <col min="14349" max="14594" width="8.83203125" style="402"/>
    <col min="14595" max="14595" width="28.83203125" style="402" customWidth="1"/>
    <col min="14596" max="14603" width="8.83203125" style="402"/>
    <col min="14604" max="14604" width="11.83203125" style="402" customWidth="1"/>
    <col min="14605" max="14850" width="8.83203125" style="402"/>
    <col min="14851" max="14851" width="28.83203125" style="402" customWidth="1"/>
    <col min="14852" max="14859" width="8.83203125" style="402"/>
    <col min="14860" max="14860" width="11.83203125" style="402" customWidth="1"/>
    <col min="14861" max="15106" width="8.83203125" style="402"/>
    <col min="15107" max="15107" width="28.83203125" style="402" customWidth="1"/>
    <col min="15108" max="15115" width="8.83203125" style="402"/>
    <col min="15116" max="15116" width="11.83203125" style="402" customWidth="1"/>
    <col min="15117" max="15362" width="8.83203125" style="402"/>
    <col min="15363" max="15363" width="28.83203125" style="402" customWidth="1"/>
    <col min="15364" max="15371" width="8.83203125" style="402"/>
    <col min="15372" max="15372" width="11.83203125" style="402" customWidth="1"/>
    <col min="15373" max="15618" width="8.83203125" style="402"/>
    <col min="15619" max="15619" width="28.83203125" style="402" customWidth="1"/>
    <col min="15620" max="15627" width="8.83203125" style="402"/>
    <col min="15628" max="15628" width="11.83203125" style="402" customWidth="1"/>
    <col min="15629" max="15874" width="8.83203125" style="402"/>
    <col min="15875" max="15875" width="28.83203125" style="402" customWidth="1"/>
    <col min="15876" max="15883" width="8.83203125" style="402"/>
    <col min="15884" max="15884" width="11.83203125" style="402" customWidth="1"/>
    <col min="15885" max="16130" width="8.83203125" style="402"/>
    <col min="16131" max="16131" width="28.83203125" style="402" customWidth="1"/>
    <col min="16132" max="16139" width="8.83203125" style="402"/>
    <col min="16140" max="16140" width="11.83203125" style="402" customWidth="1"/>
    <col min="16141" max="16384" width="8.83203125" style="402"/>
  </cols>
  <sheetData>
    <row r="1" spans="1:16" ht="55.5" customHeight="1">
      <c r="A1" s="591" t="s">
        <v>18</v>
      </c>
      <c r="B1" s="591"/>
      <c r="C1" s="591"/>
      <c r="D1" s="591"/>
      <c r="E1" s="591"/>
      <c r="F1" s="591"/>
      <c r="G1" s="591"/>
      <c r="H1" s="591"/>
      <c r="I1" s="591"/>
      <c r="J1" s="591"/>
      <c r="K1" s="591"/>
      <c r="L1" s="591"/>
      <c r="M1" s="591"/>
      <c r="N1" s="591"/>
      <c r="O1" s="591"/>
      <c r="P1" s="591"/>
    </row>
    <row r="2" spans="1:16" ht="18">
      <c r="A2" s="585" t="s">
        <v>19</v>
      </c>
      <c r="B2" s="586"/>
      <c r="C2" s="587"/>
      <c r="D2" s="568" t="s">
        <v>20</v>
      </c>
      <c r="E2" s="569"/>
      <c r="F2" s="569"/>
      <c r="G2" s="569"/>
      <c r="H2" s="569"/>
      <c r="I2" s="569"/>
      <c r="J2" s="569"/>
      <c r="K2" s="569"/>
      <c r="L2" s="569"/>
      <c r="M2" s="569"/>
      <c r="N2" s="569"/>
      <c r="O2" s="569"/>
      <c r="P2" s="570"/>
    </row>
    <row r="3" spans="1:16" ht="16">
      <c r="A3" s="585" t="s">
        <v>21</v>
      </c>
      <c r="B3" s="592"/>
      <c r="C3" s="593"/>
      <c r="D3" s="568" t="s">
        <v>22</v>
      </c>
      <c r="E3" s="569"/>
      <c r="F3" s="569"/>
      <c r="G3" s="569"/>
      <c r="H3" s="569"/>
      <c r="I3" s="569"/>
      <c r="J3" s="569"/>
      <c r="K3" s="569"/>
      <c r="L3" s="569"/>
      <c r="M3" s="569"/>
      <c r="N3" s="569"/>
      <c r="O3" s="569"/>
      <c r="P3" s="570"/>
    </row>
    <row r="4" spans="1:16" ht="18">
      <c r="A4" s="585" t="s">
        <v>23</v>
      </c>
      <c r="B4" s="586"/>
      <c r="C4" s="587"/>
      <c r="D4" s="588" t="s">
        <v>24</v>
      </c>
      <c r="E4" s="589"/>
      <c r="F4" s="589"/>
      <c r="G4" s="589"/>
      <c r="H4" s="589"/>
      <c r="I4" s="589"/>
      <c r="J4" s="589"/>
      <c r="K4" s="589"/>
      <c r="L4" s="589"/>
      <c r="M4" s="589"/>
      <c r="N4" s="589"/>
      <c r="O4" s="589"/>
      <c r="P4" s="590"/>
    </row>
    <row r="5" spans="1:16" ht="18">
      <c r="A5" s="565" t="s">
        <v>25</v>
      </c>
      <c r="B5" s="566"/>
      <c r="C5" s="567"/>
      <c r="D5" s="594"/>
      <c r="E5" s="569"/>
      <c r="F5" s="569"/>
      <c r="G5" s="569"/>
      <c r="H5" s="569"/>
      <c r="I5" s="569"/>
      <c r="J5" s="569"/>
      <c r="K5" s="569"/>
      <c r="L5" s="569"/>
      <c r="M5" s="569"/>
      <c r="N5" s="569"/>
      <c r="O5" s="569"/>
      <c r="P5" s="570"/>
    </row>
    <row r="6" spans="1:16" ht="18">
      <c r="A6" s="565" t="s">
        <v>26</v>
      </c>
      <c r="B6" s="566"/>
      <c r="C6" s="567"/>
      <c r="D6" s="568"/>
      <c r="E6" s="569"/>
      <c r="F6" s="569"/>
      <c r="G6" s="569"/>
      <c r="H6" s="569"/>
      <c r="I6" s="569"/>
      <c r="J6" s="569"/>
      <c r="K6" s="569"/>
      <c r="L6" s="569"/>
      <c r="M6" s="569"/>
      <c r="N6" s="569"/>
      <c r="O6" s="569"/>
      <c r="P6" s="570"/>
    </row>
    <row r="7" spans="1:16" ht="18">
      <c r="A7" s="565" t="s">
        <v>27</v>
      </c>
      <c r="B7" s="566"/>
      <c r="C7" s="567"/>
      <c r="D7" s="568"/>
      <c r="E7" s="569"/>
      <c r="F7" s="569"/>
      <c r="G7" s="569"/>
      <c r="H7" s="569"/>
      <c r="I7" s="569"/>
      <c r="J7" s="569"/>
      <c r="K7" s="569"/>
      <c r="L7" s="569"/>
      <c r="M7" s="569"/>
      <c r="N7" s="569"/>
      <c r="O7" s="569"/>
      <c r="P7" s="570"/>
    </row>
    <row r="8" spans="1:16" ht="18">
      <c r="A8" s="565" t="s">
        <v>28</v>
      </c>
      <c r="B8" s="566"/>
      <c r="C8" s="567"/>
      <c r="D8" s="584"/>
      <c r="E8" s="569"/>
      <c r="F8" s="569"/>
      <c r="G8" s="569"/>
      <c r="H8" s="569"/>
      <c r="I8" s="569"/>
      <c r="J8" s="569"/>
      <c r="K8" s="569"/>
      <c r="L8" s="569"/>
      <c r="M8" s="569"/>
      <c r="N8" s="569"/>
      <c r="O8" s="569"/>
      <c r="P8" s="570"/>
    </row>
    <row r="9" spans="1:16" ht="18">
      <c r="A9" s="565" t="s">
        <v>29</v>
      </c>
      <c r="B9" s="566"/>
      <c r="C9" s="567"/>
      <c r="D9" s="568"/>
      <c r="E9" s="569"/>
      <c r="F9" s="569"/>
      <c r="G9" s="569"/>
      <c r="H9" s="569"/>
      <c r="I9" s="569"/>
      <c r="J9" s="569"/>
      <c r="K9" s="569"/>
      <c r="L9" s="569"/>
      <c r="M9" s="569"/>
      <c r="N9" s="569"/>
      <c r="O9" s="569"/>
      <c r="P9" s="570"/>
    </row>
    <row r="10" spans="1:16" ht="22.5" customHeight="1">
      <c r="A10" s="565" t="s">
        <v>30</v>
      </c>
      <c r="B10" s="566"/>
      <c r="C10" s="567"/>
      <c r="D10" s="568"/>
      <c r="E10" s="569"/>
      <c r="F10" s="569"/>
      <c r="G10" s="569"/>
      <c r="H10" s="569"/>
      <c r="I10" s="569"/>
      <c r="J10" s="569"/>
      <c r="K10" s="569"/>
      <c r="L10" s="569"/>
      <c r="M10" s="569"/>
      <c r="N10" s="569"/>
      <c r="O10" s="569"/>
      <c r="P10" s="570"/>
    </row>
    <row r="11" spans="1:16" ht="17.25" customHeight="1">
      <c r="A11" s="577" t="s">
        <v>31</v>
      </c>
      <c r="B11" s="578"/>
      <c r="C11" s="578"/>
      <c r="D11" s="578"/>
      <c r="E11" s="578"/>
      <c r="F11" s="578"/>
      <c r="G11" s="578"/>
      <c r="H11" s="578"/>
      <c r="I11" s="578"/>
      <c r="J11" s="578"/>
      <c r="K11" s="578"/>
      <c r="L11" s="578"/>
      <c r="M11" s="578"/>
      <c r="N11" s="578"/>
      <c r="O11" s="578"/>
      <c r="P11" s="579"/>
    </row>
    <row r="12" spans="1:16" ht="18">
      <c r="A12" s="565" t="s">
        <v>32</v>
      </c>
      <c r="B12" s="566"/>
      <c r="C12" s="567"/>
      <c r="D12" s="568"/>
      <c r="E12" s="569"/>
      <c r="F12" s="569"/>
      <c r="G12" s="569"/>
      <c r="H12" s="569"/>
      <c r="I12" s="569"/>
      <c r="J12" s="569"/>
      <c r="K12" s="569"/>
      <c r="L12" s="569"/>
      <c r="M12" s="569"/>
      <c r="N12" s="569"/>
      <c r="O12" s="569"/>
      <c r="P12" s="570"/>
    </row>
    <row r="13" spans="1:16" ht="19.5" customHeight="1">
      <c r="A13" s="565" t="s">
        <v>33</v>
      </c>
      <c r="B13" s="566"/>
      <c r="C13" s="567"/>
      <c r="D13" s="568"/>
      <c r="E13" s="569"/>
      <c r="F13" s="569"/>
      <c r="G13" s="569"/>
      <c r="H13" s="569"/>
      <c r="I13" s="569"/>
      <c r="J13" s="569"/>
      <c r="K13" s="569"/>
      <c r="L13" s="569"/>
      <c r="M13" s="569"/>
      <c r="N13" s="569"/>
      <c r="O13" s="569"/>
      <c r="P13" s="570"/>
    </row>
    <row r="14" spans="1:16" ht="18">
      <c r="A14" s="565" t="s">
        <v>34</v>
      </c>
      <c r="B14" s="566"/>
      <c r="C14" s="567"/>
      <c r="D14" s="568"/>
      <c r="E14" s="569"/>
      <c r="F14" s="569"/>
      <c r="G14" s="569"/>
      <c r="H14" s="569"/>
      <c r="I14" s="569"/>
      <c r="J14" s="569"/>
      <c r="K14" s="569"/>
      <c r="L14" s="569"/>
      <c r="M14" s="569"/>
      <c r="N14" s="569"/>
      <c r="O14" s="569"/>
      <c r="P14" s="570"/>
    </row>
    <row r="15" spans="1:16" ht="18">
      <c r="A15" s="565" t="s">
        <v>35</v>
      </c>
      <c r="B15" s="566"/>
      <c r="C15" s="567"/>
      <c r="D15" s="572"/>
      <c r="E15" s="573"/>
      <c r="F15" s="573"/>
      <c r="G15" s="573"/>
      <c r="H15" s="573"/>
      <c r="I15" s="573"/>
      <c r="J15" s="573"/>
      <c r="K15" s="573"/>
      <c r="L15" s="573"/>
      <c r="M15" s="573"/>
      <c r="N15" s="573"/>
      <c r="O15" s="573"/>
      <c r="P15" s="574"/>
    </row>
    <row r="16" spans="1:16" ht="18">
      <c r="A16" s="565" t="s">
        <v>36</v>
      </c>
      <c r="B16" s="566"/>
      <c r="C16" s="567"/>
      <c r="D16" s="572"/>
      <c r="E16" s="573"/>
      <c r="F16" s="573"/>
      <c r="G16" s="573"/>
      <c r="H16" s="573"/>
      <c r="I16" s="573"/>
      <c r="J16" s="573"/>
      <c r="K16" s="573"/>
      <c r="L16" s="573"/>
      <c r="M16" s="573"/>
      <c r="N16" s="573"/>
      <c r="O16" s="573"/>
      <c r="P16" s="574"/>
    </row>
    <row r="17" spans="1:16" ht="18">
      <c r="A17" s="565" t="s">
        <v>36</v>
      </c>
      <c r="B17" s="566"/>
      <c r="C17" s="567"/>
      <c r="D17" s="568"/>
      <c r="E17" s="569"/>
      <c r="F17" s="569"/>
      <c r="G17" s="569"/>
      <c r="H17" s="569"/>
      <c r="I17" s="569"/>
      <c r="J17" s="569"/>
      <c r="K17" s="569"/>
      <c r="L17" s="569"/>
      <c r="M17" s="569"/>
      <c r="N17" s="569"/>
      <c r="O17" s="569"/>
      <c r="P17" s="570"/>
    </row>
    <row r="18" spans="1:16" ht="21" customHeight="1">
      <c r="A18" s="577" t="s">
        <v>37</v>
      </c>
      <c r="B18" s="578"/>
      <c r="C18" s="578"/>
      <c r="D18" s="578"/>
      <c r="E18" s="578"/>
      <c r="F18" s="578"/>
      <c r="G18" s="578"/>
      <c r="H18" s="578"/>
      <c r="I18" s="578"/>
      <c r="J18" s="578"/>
      <c r="K18" s="578"/>
      <c r="L18" s="578"/>
      <c r="M18" s="578"/>
      <c r="N18" s="578"/>
      <c r="O18" s="578"/>
      <c r="P18" s="579"/>
    </row>
    <row r="19" spans="1:16" ht="18">
      <c r="A19" s="580" t="s">
        <v>38</v>
      </c>
      <c r="B19" s="581"/>
      <c r="C19" s="582"/>
      <c r="D19" s="568"/>
      <c r="E19" s="569"/>
      <c r="F19" s="569"/>
      <c r="G19" s="569"/>
      <c r="H19" s="569"/>
      <c r="I19" s="569"/>
      <c r="J19" s="569"/>
      <c r="K19" s="569"/>
      <c r="L19" s="569"/>
      <c r="M19" s="569"/>
      <c r="N19" s="569"/>
      <c r="O19" s="569"/>
      <c r="P19" s="570"/>
    </row>
    <row r="20" spans="1:16" ht="18" customHeight="1">
      <c r="A20" s="565" t="s">
        <v>39</v>
      </c>
      <c r="B20" s="566"/>
      <c r="C20" s="567"/>
      <c r="D20" s="568"/>
      <c r="E20" s="571"/>
      <c r="F20" s="571"/>
      <c r="G20" s="571"/>
      <c r="H20" s="571"/>
      <c r="I20" s="571"/>
      <c r="J20" s="571"/>
      <c r="K20" s="571"/>
      <c r="L20" s="571"/>
      <c r="M20" s="571"/>
      <c r="N20" s="571"/>
      <c r="O20" s="571"/>
      <c r="P20" s="583"/>
    </row>
    <row r="21" spans="1:16" ht="18" customHeight="1">
      <c r="A21" s="565" t="s">
        <v>40</v>
      </c>
      <c r="B21" s="566"/>
      <c r="C21" s="567"/>
      <c r="D21" s="565" t="s">
        <v>41</v>
      </c>
      <c r="E21" s="566"/>
      <c r="F21" s="572"/>
      <c r="G21" s="573"/>
      <c r="H21" s="573"/>
      <c r="I21" s="573"/>
      <c r="J21" s="574"/>
      <c r="K21" s="566" t="s">
        <v>42</v>
      </c>
      <c r="L21" s="566"/>
      <c r="M21" s="572"/>
      <c r="N21" s="573"/>
      <c r="O21" s="573"/>
      <c r="P21" s="574"/>
    </row>
    <row r="22" spans="1:16" ht="18">
      <c r="A22" s="565" t="s">
        <v>43</v>
      </c>
      <c r="B22" s="566"/>
      <c r="C22" s="567"/>
      <c r="D22" s="572"/>
      <c r="E22" s="575"/>
      <c r="F22" s="575"/>
      <c r="G22" s="575"/>
      <c r="H22" s="575"/>
      <c r="I22" s="575"/>
      <c r="J22" s="575"/>
      <c r="K22" s="575"/>
      <c r="L22" s="575"/>
      <c r="M22" s="575"/>
      <c r="N22" s="575"/>
      <c r="O22" s="575"/>
      <c r="P22" s="576"/>
    </row>
    <row r="23" spans="1:16" ht="18">
      <c r="A23" s="565" t="s">
        <v>44</v>
      </c>
      <c r="B23" s="566"/>
      <c r="C23" s="567"/>
      <c r="D23" s="568"/>
      <c r="E23" s="569"/>
      <c r="F23" s="569"/>
      <c r="G23" s="569"/>
      <c r="H23" s="569"/>
      <c r="I23" s="569"/>
      <c r="J23" s="569"/>
      <c r="K23" s="569"/>
      <c r="L23" s="569"/>
      <c r="M23" s="569"/>
      <c r="N23" s="569"/>
      <c r="O23" s="569"/>
      <c r="P23" s="570"/>
    </row>
    <row r="24" spans="1:16" ht="18" customHeight="1">
      <c r="A24" s="565" t="s">
        <v>45</v>
      </c>
      <c r="B24" s="566"/>
      <c r="C24" s="567"/>
      <c r="D24" s="565" t="s">
        <v>41</v>
      </c>
      <c r="E24" s="571"/>
      <c r="F24" s="572"/>
      <c r="G24" s="573"/>
      <c r="H24" s="573"/>
      <c r="I24" s="573"/>
      <c r="J24" s="574"/>
      <c r="K24" s="566" t="s">
        <v>42</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opLeftCell="B1" workbookViewId="0">
      <selection activeCell="E15" sqref="E15"/>
    </sheetView>
  </sheetViews>
  <sheetFormatPr baseColWidth="10" defaultColWidth="9.1640625" defaultRowHeight="13"/>
  <cols>
    <col min="1" max="1" width="2.5" style="402" customWidth="1"/>
    <col min="2" max="2" width="9.1640625" style="402" customWidth="1"/>
    <col min="3" max="3" width="9.1640625" style="402"/>
    <col min="4" max="5" width="10.6640625" style="402" customWidth="1"/>
    <col min="6" max="6" width="4.6640625" style="402" customWidth="1"/>
    <col min="7" max="7" width="10.6640625" style="402" customWidth="1"/>
    <col min="8" max="9" width="4.6640625" style="402" customWidth="1"/>
    <col min="10" max="10" width="9.1640625" style="402" customWidth="1"/>
    <col min="11" max="11" width="4.6640625" style="402" customWidth="1"/>
    <col min="12" max="12" width="8.6640625" style="402" customWidth="1"/>
    <col min="13" max="15" width="9.1640625" style="402"/>
    <col min="16" max="18" width="15.6640625" style="402" customWidth="1"/>
    <col min="19" max="256" width="9.1640625" style="402"/>
    <col min="257" max="257" width="2.5" style="402" customWidth="1"/>
    <col min="258" max="258" width="9.1640625" style="402" customWidth="1"/>
    <col min="259" max="259" width="9.1640625" style="402"/>
    <col min="260" max="261" width="10.6640625" style="402" customWidth="1"/>
    <col min="262" max="262" width="4.6640625" style="402" customWidth="1"/>
    <col min="263" max="263" width="10.6640625" style="402" customWidth="1"/>
    <col min="264" max="265" width="4.6640625" style="402" customWidth="1"/>
    <col min="266" max="266" width="9.1640625" style="402" customWidth="1"/>
    <col min="267" max="267" width="4.6640625" style="402" customWidth="1"/>
    <col min="268" max="268" width="8.6640625" style="402" customWidth="1"/>
    <col min="269" max="271" width="9.1640625" style="402"/>
    <col min="272" max="274" width="15.6640625" style="402" customWidth="1"/>
    <col min="275" max="512" width="9.1640625" style="402"/>
    <col min="513" max="513" width="2.5" style="402" customWidth="1"/>
    <col min="514" max="514" width="9.1640625" style="402" customWidth="1"/>
    <col min="515" max="515" width="9.1640625" style="402"/>
    <col min="516" max="517" width="10.6640625" style="402" customWidth="1"/>
    <col min="518" max="518" width="4.6640625" style="402" customWidth="1"/>
    <col min="519" max="519" width="10.6640625" style="402" customWidth="1"/>
    <col min="520" max="521" width="4.6640625" style="402" customWidth="1"/>
    <col min="522" max="522" width="9.1640625" style="402" customWidth="1"/>
    <col min="523" max="523" width="4.6640625" style="402" customWidth="1"/>
    <col min="524" max="524" width="8.6640625" style="402" customWidth="1"/>
    <col min="525" max="527" width="9.1640625" style="402"/>
    <col min="528" max="530" width="15.6640625" style="402" customWidth="1"/>
    <col min="531" max="768" width="9.1640625" style="402"/>
    <col min="769" max="769" width="2.5" style="402" customWidth="1"/>
    <col min="770" max="770" width="9.1640625" style="402" customWidth="1"/>
    <col min="771" max="771" width="9.1640625" style="402"/>
    <col min="772" max="773" width="10.6640625" style="402" customWidth="1"/>
    <col min="774" max="774" width="4.6640625" style="402" customWidth="1"/>
    <col min="775" max="775" width="10.6640625" style="402" customWidth="1"/>
    <col min="776" max="777" width="4.6640625" style="402" customWidth="1"/>
    <col min="778" max="778" width="9.1640625" style="402" customWidth="1"/>
    <col min="779" max="779" width="4.6640625" style="402" customWidth="1"/>
    <col min="780" max="780" width="8.6640625" style="402" customWidth="1"/>
    <col min="781" max="783" width="9.1640625" style="402"/>
    <col min="784" max="786" width="15.6640625" style="402" customWidth="1"/>
    <col min="787" max="1024" width="9.1640625" style="402"/>
    <col min="1025" max="1025" width="2.5" style="402" customWidth="1"/>
    <col min="1026" max="1026" width="9.1640625" style="402" customWidth="1"/>
    <col min="1027" max="1027" width="9.1640625" style="402"/>
    <col min="1028" max="1029" width="10.6640625" style="402" customWidth="1"/>
    <col min="1030" max="1030" width="4.6640625" style="402" customWidth="1"/>
    <col min="1031" max="1031" width="10.6640625" style="402" customWidth="1"/>
    <col min="1032" max="1033" width="4.6640625" style="402" customWidth="1"/>
    <col min="1034" max="1034" width="9.1640625" style="402" customWidth="1"/>
    <col min="1035" max="1035" width="4.6640625" style="402" customWidth="1"/>
    <col min="1036" max="1036" width="8.6640625" style="402" customWidth="1"/>
    <col min="1037" max="1039" width="9.1640625" style="402"/>
    <col min="1040" max="1042" width="15.6640625" style="402" customWidth="1"/>
    <col min="1043" max="1280" width="9.1640625" style="402"/>
    <col min="1281" max="1281" width="2.5" style="402" customWidth="1"/>
    <col min="1282" max="1282" width="9.1640625" style="402" customWidth="1"/>
    <col min="1283" max="1283" width="9.1640625" style="402"/>
    <col min="1284" max="1285" width="10.6640625" style="402" customWidth="1"/>
    <col min="1286" max="1286" width="4.6640625" style="402" customWidth="1"/>
    <col min="1287" max="1287" width="10.6640625" style="402" customWidth="1"/>
    <col min="1288" max="1289" width="4.6640625" style="402" customWidth="1"/>
    <col min="1290" max="1290" width="9.1640625" style="402" customWidth="1"/>
    <col min="1291" max="1291" width="4.6640625" style="402" customWidth="1"/>
    <col min="1292" max="1292" width="8.6640625" style="402" customWidth="1"/>
    <col min="1293" max="1295" width="9.1640625" style="402"/>
    <col min="1296" max="1298" width="15.6640625" style="402" customWidth="1"/>
    <col min="1299" max="1536" width="9.1640625" style="402"/>
    <col min="1537" max="1537" width="2.5" style="402" customWidth="1"/>
    <col min="1538" max="1538" width="9.1640625" style="402" customWidth="1"/>
    <col min="1539" max="1539" width="9.1640625" style="402"/>
    <col min="1540" max="1541" width="10.6640625" style="402" customWidth="1"/>
    <col min="1542" max="1542" width="4.6640625" style="402" customWidth="1"/>
    <col min="1543" max="1543" width="10.6640625" style="402" customWidth="1"/>
    <col min="1544" max="1545" width="4.6640625" style="402" customWidth="1"/>
    <col min="1546" max="1546" width="9.1640625" style="402" customWidth="1"/>
    <col min="1547" max="1547" width="4.6640625" style="402" customWidth="1"/>
    <col min="1548" max="1548" width="8.6640625" style="402" customWidth="1"/>
    <col min="1549" max="1551" width="9.1640625" style="402"/>
    <col min="1552" max="1554" width="15.6640625" style="402" customWidth="1"/>
    <col min="1555" max="1792" width="9.1640625" style="402"/>
    <col min="1793" max="1793" width="2.5" style="402" customWidth="1"/>
    <col min="1794" max="1794" width="9.1640625" style="402" customWidth="1"/>
    <col min="1795" max="1795" width="9.1640625" style="402"/>
    <col min="1796" max="1797" width="10.6640625" style="402" customWidth="1"/>
    <col min="1798" max="1798" width="4.6640625" style="402" customWidth="1"/>
    <col min="1799" max="1799" width="10.6640625" style="402" customWidth="1"/>
    <col min="1800" max="1801" width="4.6640625" style="402" customWidth="1"/>
    <col min="1802" max="1802" width="9.1640625" style="402" customWidth="1"/>
    <col min="1803" max="1803" width="4.6640625" style="402" customWidth="1"/>
    <col min="1804" max="1804" width="8.6640625" style="402" customWidth="1"/>
    <col min="1805" max="1807" width="9.1640625" style="402"/>
    <col min="1808" max="1810" width="15.6640625" style="402" customWidth="1"/>
    <col min="1811" max="2048" width="9.1640625" style="402"/>
    <col min="2049" max="2049" width="2.5" style="402" customWidth="1"/>
    <col min="2050" max="2050" width="9.1640625" style="402" customWidth="1"/>
    <col min="2051" max="2051" width="9.1640625" style="402"/>
    <col min="2052" max="2053" width="10.6640625" style="402" customWidth="1"/>
    <col min="2054" max="2054" width="4.6640625" style="402" customWidth="1"/>
    <col min="2055" max="2055" width="10.6640625" style="402" customWidth="1"/>
    <col min="2056" max="2057" width="4.6640625" style="402" customWidth="1"/>
    <col min="2058" max="2058" width="9.1640625" style="402" customWidth="1"/>
    <col min="2059" max="2059" width="4.6640625" style="402" customWidth="1"/>
    <col min="2060" max="2060" width="8.6640625" style="402" customWidth="1"/>
    <col min="2061" max="2063" width="9.1640625" style="402"/>
    <col min="2064" max="2066" width="15.6640625" style="402" customWidth="1"/>
    <col min="2067" max="2304" width="9.1640625" style="402"/>
    <col min="2305" max="2305" width="2.5" style="402" customWidth="1"/>
    <col min="2306" max="2306" width="9.1640625" style="402" customWidth="1"/>
    <col min="2307" max="2307" width="9.1640625" style="402"/>
    <col min="2308" max="2309" width="10.6640625" style="402" customWidth="1"/>
    <col min="2310" max="2310" width="4.6640625" style="402" customWidth="1"/>
    <col min="2311" max="2311" width="10.6640625" style="402" customWidth="1"/>
    <col min="2312" max="2313" width="4.6640625" style="402" customWidth="1"/>
    <col min="2314" max="2314" width="9.1640625" style="402" customWidth="1"/>
    <col min="2315" max="2315" width="4.6640625" style="402" customWidth="1"/>
    <col min="2316" max="2316" width="8.6640625" style="402" customWidth="1"/>
    <col min="2317" max="2319" width="9.1640625" style="402"/>
    <col min="2320" max="2322" width="15.6640625" style="402" customWidth="1"/>
    <col min="2323" max="2560" width="9.1640625" style="402"/>
    <col min="2561" max="2561" width="2.5" style="402" customWidth="1"/>
    <col min="2562" max="2562" width="9.1640625" style="402" customWidth="1"/>
    <col min="2563" max="2563" width="9.1640625" style="402"/>
    <col min="2564" max="2565" width="10.6640625" style="402" customWidth="1"/>
    <col min="2566" max="2566" width="4.6640625" style="402" customWidth="1"/>
    <col min="2567" max="2567" width="10.6640625" style="402" customWidth="1"/>
    <col min="2568" max="2569" width="4.6640625" style="402" customWidth="1"/>
    <col min="2570" max="2570" width="9.1640625" style="402" customWidth="1"/>
    <col min="2571" max="2571" width="4.6640625" style="402" customWidth="1"/>
    <col min="2572" max="2572" width="8.6640625" style="402" customWidth="1"/>
    <col min="2573" max="2575" width="9.1640625" style="402"/>
    <col min="2576" max="2578" width="15.6640625" style="402" customWidth="1"/>
    <col min="2579" max="2816" width="9.1640625" style="402"/>
    <col min="2817" max="2817" width="2.5" style="402" customWidth="1"/>
    <col min="2818" max="2818" width="9.1640625" style="402" customWidth="1"/>
    <col min="2819" max="2819" width="9.1640625" style="402"/>
    <col min="2820" max="2821" width="10.6640625" style="402" customWidth="1"/>
    <col min="2822" max="2822" width="4.6640625" style="402" customWidth="1"/>
    <col min="2823" max="2823" width="10.6640625" style="402" customWidth="1"/>
    <col min="2824" max="2825" width="4.6640625" style="402" customWidth="1"/>
    <col min="2826" max="2826" width="9.1640625" style="402" customWidth="1"/>
    <col min="2827" max="2827" width="4.6640625" style="402" customWidth="1"/>
    <col min="2828" max="2828" width="8.6640625" style="402" customWidth="1"/>
    <col min="2829" max="2831" width="9.1640625" style="402"/>
    <col min="2832" max="2834" width="15.6640625" style="402" customWidth="1"/>
    <col min="2835" max="3072" width="9.1640625" style="402"/>
    <col min="3073" max="3073" width="2.5" style="402" customWidth="1"/>
    <col min="3074" max="3074" width="9.1640625" style="402" customWidth="1"/>
    <col min="3075" max="3075" width="9.1640625" style="402"/>
    <col min="3076" max="3077" width="10.6640625" style="402" customWidth="1"/>
    <col min="3078" max="3078" width="4.6640625" style="402" customWidth="1"/>
    <col min="3079" max="3079" width="10.6640625" style="402" customWidth="1"/>
    <col min="3080" max="3081" width="4.6640625" style="402" customWidth="1"/>
    <col min="3082" max="3082" width="9.1640625" style="402" customWidth="1"/>
    <col min="3083" max="3083" width="4.6640625" style="402" customWidth="1"/>
    <col min="3084" max="3084" width="8.6640625" style="402" customWidth="1"/>
    <col min="3085" max="3087" width="9.1640625" style="402"/>
    <col min="3088" max="3090" width="15.6640625" style="402" customWidth="1"/>
    <col min="3091" max="3328" width="9.1640625" style="402"/>
    <col min="3329" max="3329" width="2.5" style="402" customWidth="1"/>
    <col min="3330" max="3330" width="9.1640625" style="402" customWidth="1"/>
    <col min="3331" max="3331" width="9.1640625" style="402"/>
    <col min="3332" max="3333" width="10.6640625" style="402" customWidth="1"/>
    <col min="3334" max="3334" width="4.6640625" style="402" customWidth="1"/>
    <col min="3335" max="3335" width="10.6640625" style="402" customWidth="1"/>
    <col min="3336" max="3337" width="4.6640625" style="402" customWidth="1"/>
    <col min="3338" max="3338" width="9.1640625" style="402" customWidth="1"/>
    <col min="3339" max="3339" width="4.6640625" style="402" customWidth="1"/>
    <col min="3340" max="3340" width="8.6640625" style="402" customWidth="1"/>
    <col min="3341" max="3343" width="9.1640625" style="402"/>
    <col min="3344" max="3346" width="15.6640625" style="402" customWidth="1"/>
    <col min="3347" max="3584" width="9.1640625" style="402"/>
    <col min="3585" max="3585" width="2.5" style="402" customWidth="1"/>
    <col min="3586" max="3586" width="9.1640625" style="402" customWidth="1"/>
    <col min="3587" max="3587" width="9.1640625" style="402"/>
    <col min="3588" max="3589" width="10.6640625" style="402" customWidth="1"/>
    <col min="3590" max="3590" width="4.6640625" style="402" customWidth="1"/>
    <col min="3591" max="3591" width="10.6640625" style="402" customWidth="1"/>
    <col min="3592" max="3593" width="4.6640625" style="402" customWidth="1"/>
    <col min="3594" max="3594" width="9.1640625" style="402" customWidth="1"/>
    <col min="3595" max="3595" width="4.6640625" style="402" customWidth="1"/>
    <col min="3596" max="3596" width="8.6640625" style="402" customWidth="1"/>
    <col min="3597" max="3599" width="9.1640625" style="402"/>
    <col min="3600" max="3602" width="15.6640625" style="402" customWidth="1"/>
    <col min="3603" max="3840" width="9.1640625" style="402"/>
    <col min="3841" max="3841" width="2.5" style="402" customWidth="1"/>
    <col min="3842" max="3842" width="9.1640625" style="402" customWidth="1"/>
    <col min="3843" max="3843" width="9.1640625" style="402"/>
    <col min="3844" max="3845" width="10.6640625" style="402" customWidth="1"/>
    <col min="3846" max="3846" width="4.6640625" style="402" customWidth="1"/>
    <col min="3847" max="3847" width="10.6640625" style="402" customWidth="1"/>
    <col min="3848" max="3849" width="4.6640625" style="402" customWidth="1"/>
    <col min="3850" max="3850" width="9.1640625" style="402" customWidth="1"/>
    <col min="3851" max="3851" width="4.6640625" style="402" customWidth="1"/>
    <col min="3852" max="3852" width="8.6640625" style="402" customWidth="1"/>
    <col min="3853" max="3855" width="9.1640625" style="402"/>
    <col min="3856" max="3858" width="15.6640625" style="402" customWidth="1"/>
    <col min="3859" max="4096" width="9.1640625" style="402"/>
    <col min="4097" max="4097" width="2.5" style="402" customWidth="1"/>
    <col min="4098" max="4098" width="9.1640625" style="402" customWidth="1"/>
    <col min="4099" max="4099" width="9.1640625" style="402"/>
    <col min="4100" max="4101" width="10.6640625" style="402" customWidth="1"/>
    <col min="4102" max="4102" width="4.6640625" style="402" customWidth="1"/>
    <col min="4103" max="4103" width="10.6640625" style="402" customWidth="1"/>
    <col min="4104" max="4105" width="4.6640625" style="402" customWidth="1"/>
    <col min="4106" max="4106" width="9.1640625" style="402" customWidth="1"/>
    <col min="4107" max="4107" width="4.6640625" style="402" customWidth="1"/>
    <col min="4108" max="4108" width="8.6640625" style="402" customWidth="1"/>
    <col min="4109" max="4111" width="9.1640625" style="402"/>
    <col min="4112" max="4114" width="15.6640625" style="402" customWidth="1"/>
    <col min="4115" max="4352" width="9.1640625" style="402"/>
    <col min="4353" max="4353" width="2.5" style="402" customWidth="1"/>
    <col min="4354" max="4354" width="9.1640625" style="402" customWidth="1"/>
    <col min="4355" max="4355" width="9.1640625" style="402"/>
    <col min="4356" max="4357" width="10.6640625" style="402" customWidth="1"/>
    <col min="4358" max="4358" width="4.6640625" style="402" customWidth="1"/>
    <col min="4359" max="4359" width="10.6640625" style="402" customWidth="1"/>
    <col min="4360" max="4361" width="4.6640625" style="402" customWidth="1"/>
    <col min="4362" max="4362" width="9.1640625" style="402" customWidth="1"/>
    <col min="4363" max="4363" width="4.6640625" style="402" customWidth="1"/>
    <col min="4364" max="4364" width="8.6640625" style="402" customWidth="1"/>
    <col min="4365" max="4367" width="9.1640625" style="402"/>
    <col min="4368" max="4370" width="15.6640625" style="402" customWidth="1"/>
    <col min="4371" max="4608" width="9.1640625" style="402"/>
    <col min="4609" max="4609" width="2.5" style="402" customWidth="1"/>
    <col min="4610" max="4610" width="9.1640625" style="402" customWidth="1"/>
    <col min="4611" max="4611" width="9.1640625" style="402"/>
    <col min="4612" max="4613" width="10.6640625" style="402" customWidth="1"/>
    <col min="4614" max="4614" width="4.6640625" style="402" customWidth="1"/>
    <col min="4615" max="4615" width="10.6640625" style="402" customWidth="1"/>
    <col min="4616" max="4617" width="4.6640625" style="402" customWidth="1"/>
    <col min="4618" max="4618" width="9.1640625" style="402" customWidth="1"/>
    <col min="4619" max="4619" width="4.6640625" style="402" customWidth="1"/>
    <col min="4620" max="4620" width="8.6640625" style="402" customWidth="1"/>
    <col min="4621" max="4623" width="9.1640625" style="402"/>
    <col min="4624" max="4626" width="15.6640625" style="402" customWidth="1"/>
    <col min="4627" max="4864" width="9.1640625" style="402"/>
    <col min="4865" max="4865" width="2.5" style="402" customWidth="1"/>
    <col min="4866" max="4866" width="9.1640625" style="402" customWidth="1"/>
    <col min="4867" max="4867" width="9.1640625" style="402"/>
    <col min="4868" max="4869" width="10.6640625" style="402" customWidth="1"/>
    <col min="4870" max="4870" width="4.6640625" style="402" customWidth="1"/>
    <col min="4871" max="4871" width="10.6640625" style="402" customWidth="1"/>
    <col min="4872" max="4873" width="4.6640625" style="402" customWidth="1"/>
    <col min="4874" max="4874" width="9.1640625" style="402" customWidth="1"/>
    <col min="4875" max="4875" width="4.6640625" style="402" customWidth="1"/>
    <col min="4876" max="4876" width="8.6640625" style="402" customWidth="1"/>
    <col min="4877" max="4879" width="9.1640625" style="402"/>
    <col min="4880" max="4882" width="15.6640625" style="402" customWidth="1"/>
    <col min="4883" max="5120" width="9.1640625" style="402"/>
    <col min="5121" max="5121" width="2.5" style="402" customWidth="1"/>
    <col min="5122" max="5122" width="9.1640625" style="402" customWidth="1"/>
    <col min="5123" max="5123" width="9.1640625" style="402"/>
    <col min="5124" max="5125" width="10.6640625" style="402" customWidth="1"/>
    <col min="5126" max="5126" width="4.6640625" style="402" customWidth="1"/>
    <col min="5127" max="5127" width="10.6640625" style="402" customWidth="1"/>
    <col min="5128" max="5129" width="4.6640625" style="402" customWidth="1"/>
    <col min="5130" max="5130" width="9.1640625" style="402" customWidth="1"/>
    <col min="5131" max="5131" width="4.6640625" style="402" customWidth="1"/>
    <col min="5132" max="5132" width="8.6640625" style="402" customWidth="1"/>
    <col min="5133" max="5135" width="9.1640625" style="402"/>
    <col min="5136" max="5138" width="15.6640625" style="402" customWidth="1"/>
    <col min="5139" max="5376" width="9.1640625" style="402"/>
    <col min="5377" max="5377" width="2.5" style="402" customWidth="1"/>
    <col min="5378" max="5378" width="9.1640625" style="402" customWidth="1"/>
    <col min="5379" max="5379" width="9.1640625" style="402"/>
    <col min="5380" max="5381" width="10.6640625" style="402" customWidth="1"/>
    <col min="5382" max="5382" width="4.6640625" style="402" customWidth="1"/>
    <col min="5383" max="5383" width="10.6640625" style="402" customWidth="1"/>
    <col min="5384" max="5385" width="4.6640625" style="402" customWidth="1"/>
    <col min="5386" max="5386" width="9.1640625" style="402" customWidth="1"/>
    <col min="5387" max="5387" width="4.6640625" style="402" customWidth="1"/>
    <col min="5388" max="5388" width="8.6640625" style="402" customWidth="1"/>
    <col min="5389" max="5391" width="9.1640625" style="402"/>
    <col min="5392" max="5394" width="15.6640625" style="402" customWidth="1"/>
    <col min="5395" max="5632" width="9.1640625" style="402"/>
    <col min="5633" max="5633" width="2.5" style="402" customWidth="1"/>
    <col min="5634" max="5634" width="9.1640625" style="402" customWidth="1"/>
    <col min="5635" max="5635" width="9.1640625" style="402"/>
    <col min="5636" max="5637" width="10.6640625" style="402" customWidth="1"/>
    <col min="5638" max="5638" width="4.6640625" style="402" customWidth="1"/>
    <col min="5639" max="5639" width="10.6640625" style="402" customWidth="1"/>
    <col min="5640" max="5641" width="4.6640625" style="402" customWidth="1"/>
    <col min="5642" max="5642" width="9.1640625" style="402" customWidth="1"/>
    <col min="5643" max="5643" width="4.6640625" style="402" customWidth="1"/>
    <col min="5644" max="5644" width="8.6640625" style="402" customWidth="1"/>
    <col min="5645" max="5647" width="9.1640625" style="402"/>
    <col min="5648" max="5650" width="15.6640625" style="402" customWidth="1"/>
    <col min="5651" max="5888" width="9.1640625" style="402"/>
    <col min="5889" max="5889" width="2.5" style="402" customWidth="1"/>
    <col min="5890" max="5890" width="9.1640625" style="402" customWidth="1"/>
    <col min="5891" max="5891" width="9.1640625" style="402"/>
    <col min="5892" max="5893" width="10.6640625" style="402" customWidth="1"/>
    <col min="5894" max="5894" width="4.6640625" style="402" customWidth="1"/>
    <col min="5895" max="5895" width="10.6640625" style="402" customWidth="1"/>
    <col min="5896" max="5897" width="4.6640625" style="402" customWidth="1"/>
    <col min="5898" max="5898" width="9.1640625" style="402" customWidth="1"/>
    <col min="5899" max="5899" width="4.6640625" style="402" customWidth="1"/>
    <col min="5900" max="5900" width="8.6640625" style="402" customWidth="1"/>
    <col min="5901" max="5903" width="9.1640625" style="402"/>
    <col min="5904" max="5906" width="15.6640625" style="402" customWidth="1"/>
    <col min="5907" max="6144" width="9.1640625" style="402"/>
    <col min="6145" max="6145" width="2.5" style="402" customWidth="1"/>
    <col min="6146" max="6146" width="9.1640625" style="402" customWidth="1"/>
    <col min="6147" max="6147" width="9.1640625" style="402"/>
    <col min="6148" max="6149" width="10.6640625" style="402" customWidth="1"/>
    <col min="6150" max="6150" width="4.6640625" style="402" customWidth="1"/>
    <col min="6151" max="6151" width="10.6640625" style="402" customWidth="1"/>
    <col min="6152" max="6153" width="4.6640625" style="402" customWidth="1"/>
    <col min="6154" max="6154" width="9.1640625" style="402" customWidth="1"/>
    <col min="6155" max="6155" width="4.6640625" style="402" customWidth="1"/>
    <col min="6156" max="6156" width="8.6640625" style="402" customWidth="1"/>
    <col min="6157" max="6159" width="9.1640625" style="402"/>
    <col min="6160" max="6162" width="15.6640625" style="402" customWidth="1"/>
    <col min="6163" max="6400" width="9.1640625" style="402"/>
    <col min="6401" max="6401" width="2.5" style="402" customWidth="1"/>
    <col min="6402" max="6402" width="9.1640625" style="402" customWidth="1"/>
    <col min="6403" max="6403" width="9.1640625" style="402"/>
    <col min="6404" max="6405" width="10.6640625" style="402" customWidth="1"/>
    <col min="6406" max="6406" width="4.6640625" style="402" customWidth="1"/>
    <col min="6407" max="6407" width="10.6640625" style="402" customWidth="1"/>
    <col min="6408" max="6409" width="4.6640625" style="402" customWidth="1"/>
    <col min="6410" max="6410" width="9.1640625" style="402" customWidth="1"/>
    <col min="6411" max="6411" width="4.6640625" style="402" customWidth="1"/>
    <col min="6412" max="6412" width="8.6640625" style="402" customWidth="1"/>
    <col min="6413" max="6415" width="9.1640625" style="402"/>
    <col min="6416" max="6418" width="15.6640625" style="402" customWidth="1"/>
    <col min="6419" max="6656" width="9.1640625" style="402"/>
    <col min="6657" max="6657" width="2.5" style="402" customWidth="1"/>
    <col min="6658" max="6658" width="9.1640625" style="402" customWidth="1"/>
    <col min="6659" max="6659" width="9.1640625" style="402"/>
    <col min="6660" max="6661" width="10.6640625" style="402" customWidth="1"/>
    <col min="6662" max="6662" width="4.6640625" style="402" customWidth="1"/>
    <col min="6663" max="6663" width="10.6640625" style="402" customWidth="1"/>
    <col min="6664" max="6665" width="4.6640625" style="402" customWidth="1"/>
    <col min="6666" max="6666" width="9.1640625" style="402" customWidth="1"/>
    <col min="6667" max="6667" width="4.6640625" style="402" customWidth="1"/>
    <col min="6668" max="6668" width="8.6640625" style="402" customWidth="1"/>
    <col min="6669" max="6671" width="9.1640625" style="402"/>
    <col min="6672" max="6674" width="15.6640625" style="402" customWidth="1"/>
    <col min="6675" max="6912" width="9.1640625" style="402"/>
    <col min="6913" max="6913" width="2.5" style="402" customWidth="1"/>
    <col min="6914" max="6914" width="9.1640625" style="402" customWidth="1"/>
    <col min="6915" max="6915" width="9.1640625" style="402"/>
    <col min="6916" max="6917" width="10.6640625" style="402" customWidth="1"/>
    <col min="6918" max="6918" width="4.6640625" style="402" customWidth="1"/>
    <col min="6919" max="6919" width="10.6640625" style="402" customWidth="1"/>
    <col min="6920" max="6921" width="4.6640625" style="402" customWidth="1"/>
    <col min="6922" max="6922" width="9.1640625" style="402" customWidth="1"/>
    <col min="6923" max="6923" width="4.6640625" style="402" customWidth="1"/>
    <col min="6924" max="6924" width="8.6640625" style="402" customWidth="1"/>
    <col min="6925" max="6927" width="9.1640625" style="402"/>
    <col min="6928" max="6930" width="15.6640625" style="402" customWidth="1"/>
    <col min="6931" max="7168" width="9.1640625" style="402"/>
    <col min="7169" max="7169" width="2.5" style="402" customWidth="1"/>
    <col min="7170" max="7170" width="9.1640625" style="402" customWidth="1"/>
    <col min="7171" max="7171" width="9.1640625" style="402"/>
    <col min="7172" max="7173" width="10.6640625" style="402" customWidth="1"/>
    <col min="7174" max="7174" width="4.6640625" style="402" customWidth="1"/>
    <col min="7175" max="7175" width="10.6640625" style="402" customWidth="1"/>
    <col min="7176" max="7177" width="4.6640625" style="402" customWidth="1"/>
    <col min="7178" max="7178" width="9.1640625" style="402" customWidth="1"/>
    <col min="7179" max="7179" width="4.6640625" style="402" customWidth="1"/>
    <col min="7180" max="7180" width="8.6640625" style="402" customWidth="1"/>
    <col min="7181" max="7183" width="9.1640625" style="402"/>
    <col min="7184" max="7186" width="15.6640625" style="402" customWidth="1"/>
    <col min="7187" max="7424" width="9.1640625" style="402"/>
    <col min="7425" max="7425" width="2.5" style="402" customWidth="1"/>
    <col min="7426" max="7426" width="9.1640625" style="402" customWidth="1"/>
    <col min="7427" max="7427" width="9.1640625" style="402"/>
    <col min="7428" max="7429" width="10.6640625" style="402" customWidth="1"/>
    <col min="7430" max="7430" width="4.6640625" style="402" customWidth="1"/>
    <col min="7431" max="7431" width="10.6640625" style="402" customWidth="1"/>
    <col min="7432" max="7433" width="4.6640625" style="402" customWidth="1"/>
    <col min="7434" max="7434" width="9.1640625" style="402" customWidth="1"/>
    <col min="7435" max="7435" width="4.6640625" style="402" customWidth="1"/>
    <col min="7436" max="7436" width="8.6640625" style="402" customWidth="1"/>
    <col min="7437" max="7439" width="9.1640625" style="402"/>
    <col min="7440" max="7442" width="15.6640625" style="402" customWidth="1"/>
    <col min="7443" max="7680" width="9.1640625" style="402"/>
    <col min="7681" max="7681" width="2.5" style="402" customWidth="1"/>
    <col min="7682" max="7682" width="9.1640625" style="402" customWidth="1"/>
    <col min="7683" max="7683" width="9.1640625" style="402"/>
    <col min="7684" max="7685" width="10.6640625" style="402" customWidth="1"/>
    <col min="7686" max="7686" width="4.6640625" style="402" customWidth="1"/>
    <col min="7687" max="7687" width="10.6640625" style="402" customWidth="1"/>
    <col min="7688" max="7689" width="4.6640625" style="402" customWidth="1"/>
    <col min="7690" max="7690" width="9.1640625" style="402" customWidth="1"/>
    <col min="7691" max="7691" width="4.6640625" style="402" customWidth="1"/>
    <col min="7692" max="7692" width="8.6640625" style="402" customWidth="1"/>
    <col min="7693" max="7695" width="9.1640625" style="402"/>
    <col min="7696" max="7698" width="15.6640625" style="402" customWidth="1"/>
    <col min="7699" max="7936" width="9.1640625" style="402"/>
    <col min="7937" max="7937" width="2.5" style="402" customWidth="1"/>
    <col min="7938" max="7938" width="9.1640625" style="402" customWidth="1"/>
    <col min="7939" max="7939" width="9.1640625" style="402"/>
    <col min="7940" max="7941" width="10.6640625" style="402" customWidth="1"/>
    <col min="7942" max="7942" width="4.6640625" style="402" customWidth="1"/>
    <col min="7943" max="7943" width="10.6640625" style="402" customWidth="1"/>
    <col min="7944" max="7945" width="4.6640625" style="402" customWidth="1"/>
    <col min="7946" max="7946" width="9.1640625" style="402" customWidth="1"/>
    <col min="7947" max="7947" width="4.6640625" style="402" customWidth="1"/>
    <col min="7948" max="7948" width="8.6640625" style="402" customWidth="1"/>
    <col min="7949" max="7951" width="9.1640625" style="402"/>
    <col min="7952" max="7954" width="15.6640625" style="402" customWidth="1"/>
    <col min="7955" max="8192" width="9.1640625" style="402"/>
    <col min="8193" max="8193" width="2.5" style="402" customWidth="1"/>
    <col min="8194" max="8194" width="9.1640625" style="402" customWidth="1"/>
    <col min="8195" max="8195" width="9.1640625" style="402"/>
    <col min="8196" max="8197" width="10.6640625" style="402" customWidth="1"/>
    <col min="8198" max="8198" width="4.6640625" style="402" customWidth="1"/>
    <col min="8199" max="8199" width="10.6640625" style="402" customWidth="1"/>
    <col min="8200" max="8201" width="4.6640625" style="402" customWidth="1"/>
    <col min="8202" max="8202" width="9.1640625" style="402" customWidth="1"/>
    <col min="8203" max="8203" width="4.6640625" style="402" customWidth="1"/>
    <col min="8204" max="8204" width="8.6640625" style="402" customWidth="1"/>
    <col min="8205" max="8207" width="9.1640625" style="402"/>
    <col min="8208" max="8210" width="15.6640625" style="402" customWidth="1"/>
    <col min="8211" max="8448" width="9.1640625" style="402"/>
    <col min="8449" max="8449" width="2.5" style="402" customWidth="1"/>
    <col min="8450" max="8450" width="9.1640625" style="402" customWidth="1"/>
    <col min="8451" max="8451" width="9.1640625" style="402"/>
    <col min="8452" max="8453" width="10.6640625" style="402" customWidth="1"/>
    <col min="8454" max="8454" width="4.6640625" style="402" customWidth="1"/>
    <col min="8455" max="8455" width="10.6640625" style="402" customWidth="1"/>
    <col min="8456" max="8457" width="4.6640625" style="402" customWidth="1"/>
    <col min="8458" max="8458" width="9.1640625" style="402" customWidth="1"/>
    <col min="8459" max="8459" width="4.6640625" style="402" customWidth="1"/>
    <col min="8460" max="8460" width="8.6640625" style="402" customWidth="1"/>
    <col min="8461" max="8463" width="9.1640625" style="402"/>
    <col min="8464" max="8466" width="15.6640625" style="402" customWidth="1"/>
    <col min="8467" max="8704" width="9.1640625" style="402"/>
    <col min="8705" max="8705" width="2.5" style="402" customWidth="1"/>
    <col min="8706" max="8706" width="9.1640625" style="402" customWidth="1"/>
    <col min="8707" max="8707" width="9.1640625" style="402"/>
    <col min="8708" max="8709" width="10.6640625" style="402" customWidth="1"/>
    <col min="8710" max="8710" width="4.6640625" style="402" customWidth="1"/>
    <col min="8711" max="8711" width="10.6640625" style="402" customWidth="1"/>
    <col min="8712" max="8713" width="4.6640625" style="402" customWidth="1"/>
    <col min="8714" max="8714" width="9.1640625" style="402" customWidth="1"/>
    <col min="8715" max="8715" width="4.6640625" style="402" customWidth="1"/>
    <col min="8716" max="8716" width="8.6640625" style="402" customWidth="1"/>
    <col min="8717" max="8719" width="9.1640625" style="402"/>
    <col min="8720" max="8722" width="15.6640625" style="402" customWidth="1"/>
    <col min="8723" max="8960" width="9.1640625" style="402"/>
    <col min="8961" max="8961" width="2.5" style="402" customWidth="1"/>
    <col min="8962" max="8962" width="9.1640625" style="402" customWidth="1"/>
    <col min="8963" max="8963" width="9.1640625" style="402"/>
    <col min="8964" max="8965" width="10.6640625" style="402" customWidth="1"/>
    <col min="8966" max="8966" width="4.6640625" style="402" customWidth="1"/>
    <col min="8967" max="8967" width="10.6640625" style="402" customWidth="1"/>
    <col min="8968" max="8969" width="4.6640625" style="402" customWidth="1"/>
    <col min="8970" max="8970" width="9.1640625" style="402" customWidth="1"/>
    <col min="8971" max="8971" width="4.6640625" style="402" customWidth="1"/>
    <col min="8972" max="8972" width="8.6640625" style="402" customWidth="1"/>
    <col min="8973" max="8975" width="9.1640625" style="402"/>
    <col min="8976" max="8978" width="15.6640625" style="402" customWidth="1"/>
    <col min="8979" max="9216" width="9.1640625" style="402"/>
    <col min="9217" max="9217" width="2.5" style="402" customWidth="1"/>
    <col min="9218" max="9218" width="9.1640625" style="402" customWidth="1"/>
    <col min="9219" max="9219" width="9.1640625" style="402"/>
    <col min="9220" max="9221" width="10.6640625" style="402" customWidth="1"/>
    <col min="9222" max="9222" width="4.6640625" style="402" customWidth="1"/>
    <col min="9223" max="9223" width="10.6640625" style="402" customWidth="1"/>
    <col min="9224" max="9225" width="4.6640625" style="402" customWidth="1"/>
    <col min="9226" max="9226" width="9.1640625" style="402" customWidth="1"/>
    <col min="9227" max="9227" width="4.6640625" style="402" customWidth="1"/>
    <col min="9228" max="9228" width="8.6640625" style="402" customWidth="1"/>
    <col min="9229" max="9231" width="9.1640625" style="402"/>
    <col min="9232" max="9234" width="15.6640625" style="402" customWidth="1"/>
    <col min="9235" max="9472" width="9.1640625" style="402"/>
    <col min="9473" max="9473" width="2.5" style="402" customWidth="1"/>
    <col min="9474" max="9474" width="9.1640625" style="402" customWidth="1"/>
    <col min="9475" max="9475" width="9.1640625" style="402"/>
    <col min="9476" max="9477" width="10.6640625" style="402" customWidth="1"/>
    <col min="9478" max="9478" width="4.6640625" style="402" customWidth="1"/>
    <col min="9479" max="9479" width="10.6640625" style="402" customWidth="1"/>
    <col min="9480" max="9481" width="4.6640625" style="402" customWidth="1"/>
    <col min="9482" max="9482" width="9.1640625" style="402" customWidth="1"/>
    <col min="9483" max="9483" width="4.6640625" style="402" customWidth="1"/>
    <col min="9484" max="9484" width="8.6640625" style="402" customWidth="1"/>
    <col min="9485" max="9487" width="9.1640625" style="402"/>
    <col min="9488" max="9490" width="15.6640625" style="402" customWidth="1"/>
    <col min="9491" max="9728" width="9.1640625" style="402"/>
    <col min="9729" max="9729" width="2.5" style="402" customWidth="1"/>
    <col min="9730" max="9730" width="9.1640625" style="402" customWidth="1"/>
    <col min="9731" max="9731" width="9.1640625" style="402"/>
    <col min="9732" max="9733" width="10.6640625" style="402" customWidth="1"/>
    <col min="9734" max="9734" width="4.6640625" style="402" customWidth="1"/>
    <col min="9735" max="9735" width="10.6640625" style="402" customWidth="1"/>
    <col min="9736" max="9737" width="4.6640625" style="402" customWidth="1"/>
    <col min="9738" max="9738" width="9.1640625" style="402" customWidth="1"/>
    <col min="9739" max="9739" width="4.6640625" style="402" customWidth="1"/>
    <col min="9740" max="9740" width="8.6640625" style="402" customWidth="1"/>
    <col min="9741" max="9743" width="9.1640625" style="402"/>
    <col min="9744" max="9746" width="15.6640625" style="402" customWidth="1"/>
    <col min="9747" max="9984" width="9.1640625" style="402"/>
    <col min="9985" max="9985" width="2.5" style="402" customWidth="1"/>
    <col min="9986" max="9986" width="9.1640625" style="402" customWidth="1"/>
    <col min="9987" max="9987" width="9.1640625" style="402"/>
    <col min="9988" max="9989" width="10.6640625" style="402" customWidth="1"/>
    <col min="9990" max="9990" width="4.6640625" style="402" customWidth="1"/>
    <col min="9991" max="9991" width="10.6640625" style="402" customWidth="1"/>
    <col min="9992" max="9993" width="4.6640625" style="402" customWidth="1"/>
    <col min="9994" max="9994" width="9.1640625" style="402" customWidth="1"/>
    <col min="9995" max="9995" width="4.6640625" style="402" customWidth="1"/>
    <col min="9996" max="9996" width="8.6640625" style="402" customWidth="1"/>
    <col min="9997" max="9999" width="9.1640625" style="402"/>
    <col min="10000" max="10002" width="15.6640625" style="402" customWidth="1"/>
    <col min="10003" max="10240" width="9.1640625" style="402"/>
    <col min="10241" max="10241" width="2.5" style="402" customWidth="1"/>
    <col min="10242" max="10242" width="9.1640625" style="402" customWidth="1"/>
    <col min="10243" max="10243" width="9.1640625" style="402"/>
    <col min="10244" max="10245" width="10.6640625" style="402" customWidth="1"/>
    <col min="10246" max="10246" width="4.6640625" style="402" customWidth="1"/>
    <col min="10247" max="10247" width="10.6640625" style="402" customWidth="1"/>
    <col min="10248" max="10249" width="4.6640625" style="402" customWidth="1"/>
    <col min="10250" max="10250" width="9.1640625" style="402" customWidth="1"/>
    <col min="10251" max="10251" width="4.6640625" style="402" customWidth="1"/>
    <col min="10252" max="10252" width="8.6640625" style="402" customWidth="1"/>
    <col min="10253" max="10255" width="9.1640625" style="402"/>
    <col min="10256" max="10258" width="15.6640625" style="402" customWidth="1"/>
    <col min="10259" max="10496" width="9.1640625" style="402"/>
    <col min="10497" max="10497" width="2.5" style="402" customWidth="1"/>
    <col min="10498" max="10498" width="9.1640625" style="402" customWidth="1"/>
    <col min="10499" max="10499" width="9.1640625" style="402"/>
    <col min="10500" max="10501" width="10.6640625" style="402" customWidth="1"/>
    <col min="10502" max="10502" width="4.6640625" style="402" customWidth="1"/>
    <col min="10503" max="10503" width="10.6640625" style="402" customWidth="1"/>
    <col min="10504" max="10505" width="4.6640625" style="402" customWidth="1"/>
    <col min="10506" max="10506" width="9.1640625" style="402" customWidth="1"/>
    <col min="10507" max="10507" width="4.6640625" style="402" customWidth="1"/>
    <col min="10508" max="10508" width="8.6640625" style="402" customWidth="1"/>
    <col min="10509" max="10511" width="9.1640625" style="402"/>
    <col min="10512" max="10514" width="15.6640625" style="402" customWidth="1"/>
    <col min="10515" max="10752" width="9.1640625" style="402"/>
    <col min="10753" max="10753" width="2.5" style="402" customWidth="1"/>
    <col min="10754" max="10754" width="9.1640625" style="402" customWidth="1"/>
    <col min="10755" max="10755" width="9.1640625" style="402"/>
    <col min="10756" max="10757" width="10.6640625" style="402" customWidth="1"/>
    <col min="10758" max="10758" width="4.6640625" style="402" customWidth="1"/>
    <col min="10759" max="10759" width="10.6640625" style="402" customWidth="1"/>
    <col min="10760" max="10761" width="4.6640625" style="402" customWidth="1"/>
    <col min="10762" max="10762" width="9.1640625" style="402" customWidth="1"/>
    <col min="10763" max="10763" width="4.6640625" style="402" customWidth="1"/>
    <col min="10764" max="10764" width="8.6640625" style="402" customWidth="1"/>
    <col min="10765" max="10767" width="9.1640625" style="402"/>
    <col min="10768" max="10770" width="15.6640625" style="402" customWidth="1"/>
    <col min="10771" max="11008" width="9.1640625" style="402"/>
    <col min="11009" max="11009" width="2.5" style="402" customWidth="1"/>
    <col min="11010" max="11010" width="9.1640625" style="402" customWidth="1"/>
    <col min="11011" max="11011" width="9.1640625" style="402"/>
    <col min="11012" max="11013" width="10.6640625" style="402" customWidth="1"/>
    <col min="11014" max="11014" width="4.6640625" style="402" customWidth="1"/>
    <col min="11015" max="11015" width="10.6640625" style="402" customWidth="1"/>
    <col min="11016" max="11017" width="4.6640625" style="402" customWidth="1"/>
    <col min="11018" max="11018" width="9.1640625" style="402" customWidth="1"/>
    <col min="11019" max="11019" width="4.6640625" style="402" customWidth="1"/>
    <col min="11020" max="11020" width="8.6640625" style="402" customWidth="1"/>
    <col min="11021" max="11023" width="9.1640625" style="402"/>
    <col min="11024" max="11026" width="15.6640625" style="402" customWidth="1"/>
    <col min="11027" max="11264" width="9.1640625" style="402"/>
    <col min="11265" max="11265" width="2.5" style="402" customWidth="1"/>
    <col min="11266" max="11266" width="9.1640625" style="402" customWidth="1"/>
    <col min="11267" max="11267" width="9.1640625" style="402"/>
    <col min="11268" max="11269" width="10.6640625" style="402" customWidth="1"/>
    <col min="11270" max="11270" width="4.6640625" style="402" customWidth="1"/>
    <col min="11271" max="11271" width="10.6640625" style="402" customWidth="1"/>
    <col min="11272" max="11273" width="4.6640625" style="402" customWidth="1"/>
    <col min="11274" max="11274" width="9.1640625" style="402" customWidth="1"/>
    <col min="11275" max="11275" width="4.6640625" style="402" customWidth="1"/>
    <col min="11276" max="11276" width="8.6640625" style="402" customWidth="1"/>
    <col min="11277" max="11279" width="9.1640625" style="402"/>
    <col min="11280" max="11282" width="15.6640625" style="402" customWidth="1"/>
    <col min="11283" max="11520" width="9.1640625" style="402"/>
    <col min="11521" max="11521" width="2.5" style="402" customWidth="1"/>
    <col min="11522" max="11522" width="9.1640625" style="402" customWidth="1"/>
    <col min="11523" max="11523" width="9.1640625" style="402"/>
    <col min="11524" max="11525" width="10.6640625" style="402" customWidth="1"/>
    <col min="11526" max="11526" width="4.6640625" style="402" customWidth="1"/>
    <col min="11527" max="11527" width="10.6640625" style="402" customWidth="1"/>
    <col min="11528" max="11529" width="4.6640625" style="402" customWidth="1"/>
    <col min="11530" max="11530" width="9.1640625" style="402" customWidth="1"/>
    <col min="11531" max="11531" width="4.6640625" style="402" customWidth="1"/>
    <col min="11532" max="11532" width="8.6640625" style="402" customWidth="1"/>
    <col min="11533" max="11535" width="9.1640625" style="402"/>
    <col min="11536" max="11538" width="15.6640625" style="402" customWidth="1"/>
    <col min="11539" max="11776" width="9.1640625" style="402"/>
    <col min="11777" max="11777" width="2.5" style="402" customWidth="1"/>
    <col min="11778" max="11778" width="9.1640625" style="402" customWidth="1"/>
    <col min="11779" max="11779" width="9.1640625" style="402"/>
    <col min="11780" max="11781" width="10.6640625" style="402" customWidth="1"/>
    <col min="11782" max="11782" width="4.6640625" style="402" customWidth="1"/>
    <col min="11783" max="11783" width="10.6640625" style="402" customWidth="1"/>
    <col min="11784" max="11785" width="4.6640625" style="402" customWidth="1"/>
    <col min="11786" max="11786" width="9.1640625" style="402" customWidth="1"/>
    <col min="11787" max="11787" width="4.6640625" style="402" customWidth="1"/>
    <col min="11788" max="11788" width="8.6640625" style="402" customWidth="1"/>
    <col min="11789" max="11791" width="9.1640625" style="402"/>
    <col min="11792" max="11794" width="15.6640625" style="402" customWidth="1"/>
    <col min="11795" max="12032" width="9.1640625" style="402"/>
    <col min="12033" max="12033" width="2.5" style="402" customWidth="1"/>
    <col min="12034" max="12034" width="9.1640625" style="402" customWidth="1"/>
    <col min="12035" max="12035" width="9.1640625" style="402"/>
    <col min="12036" max="12037" width="10.6640625" style="402" customWidth="1"/>
    <col min="12038" max="12038" width="4.6640625" style="402" customWidth="1"/>
    <col min="12039" max="12039" width="10.6640625" style="402" customWidth="1"/>
    <col min="12040" max="12041" width="4.6640625" style="402" customWidth="1"/>
    <col min="12042" max="12042" width="9.1640625" style="402" customWidth="1"/>
    <col min="12043" max="12043" width="4.6640625" style="402" customWidth="1"/>
    <col min="12044" max="12044" width="8.6640625" style="402" customWidth="1"/>
    <col min="12045" max="12047" width="9.1640625" style="402"/>
    <col min="12048" max="12050" width="15.6640625" style="402" customWidth="1"/>
    <col min="12051" max="12288" width="9.1640625" style="402"/>
    <col min="12289" max="12289" width="2.5" style="402" customWidth="1"/>
    <col min="12290" max="12290" width="9.1640625" style="402" customWidth="1"/>
    <col min="12291" max="12291" width="9.1640625" style="402"/>
    <col min="12292" max="12293" width="10.6640625" style="402" customWidth="1"/>
    <col min="12294" max="12294" width="4.6640625" style="402" customWidth="1"/>
    <col min="12295" max="12295" width="10.6640625" style="402" customWidth="1"/>
    <col min="12296" max="12297" width="4.6640625" style="402" customWidth="1"/>
    <col min="12298" max="12298" width="9.1640625" style="402" customWidth="1"/>
    <col min="12299" max="12299" width="4.6640625" style="402" customWidth="1"/>
    <col min="12300" max="12300" width="8.6640625" style="402" customWidth="1"/>
    <col min="12301" max="12303" width="9.1640625" style="402"/>
    <col min="12304" max="12306" width="15.6640625" style="402" customWidth="1"/>
    <col min="12307" max="12544" width="9.1640625" style="402"/>
    <col min="12545" max="12545" width="2.5" style="402" customWidth="1"/>
    <col min="12546" max="12546" width="9.1640625" style="402" customWidth="1"/>
    <col min="12547" max="12547" width="9.1640625" style="402"/>
    <col min="12548" max="12549" width="10.6640625" style="402" customWidth="1"/>
    <col min="12550" max="12550" width="4.6640625" style="402" customWidth="1"/>
    <col min="12551" max="12551" width="10.6640625" style="402" customWidth="1"/>
    <col min="12552" max="12553" width="4.6640625" style="402" customWidth="1"/>
    <col min="12554" max="12554" width="9.1640625" style="402" customWidth="1"/>
    <col min="12555" max="12555" width="4.6640625" style="402" customWidth="1"/>
    <col min="12556" max="12556" width="8.6640625" style="402" customWidth="1"/>
    <col min="12557" max="12559" width="9.1640625" style="402"/>
    <col min="12560" max="12562" width="15.6640625" style="402" customWidth="1"/>
    <col min="12563" max="12800" width="9.1640625" style="402"/>
    <col min="12801" max="12801" width="2.5" style="402" customWidth="1"/>
    <col min="12802" max="12802" width="9.1640625" style="402" customWidth="1"/>
    <col min="12803" max="12803" width="9.1640625" style="402"/>
    <col min="12804" max="12805" width="10.6640625" style="402" customWidth="1"/>
    <col min="12806" max="12806" width="4.6640625" style="402" customWidth="1"/>
    <col min="12807" max="12807" width="10.6640625" style="402" customWidth="1"/>
    <col min="12808" max="12809" width="4.6640625" style="402" customWidth="1"/>
    <col min="12810" max="12810" width="9.1640625" style="402" customWidth="1"/>
    <col min="12811" max="12811" width="4.6640625" style="402" customWidth="1"/>
    <col min="12812" max="12812" width="8.6640625" style="402" customWidth="1"/>
    <col min="12813" max="12815" width="9.1640625" style="402"/>
    <col min="12816" max="12818" width="15.6640625" style="402" customWidth="1"/>
    <col min="12819" max="13056" width="9.1640625" style="402"/>
    <col min="13057" max="13057" width="2.5" style="402" customWidth="1"/>
    <col min="13058" max="13058" width="9.1640625" style="402" customWidth="1"/>
    <col min="13059" max="13059" width="9.1640625" style="402"/>
    <col min="13060" max="13061" width="10.6640625" style="402" customWidth="1"/>
    <col min="13062" max="13062" width="4.6640625" style="402" customWidth="1"/>
    <col min="13063" max="13063" width="10.6640625" style="402" customWidth="1"/>
    <col min="13064" max="13065" width="4.6640625" style="402" customWidth="1"/>
    <col min="13066" max="13066" width="9.1640625" style="402" customWidth="1"/>
    <col min="13067" max="13067" width="4.6640625" style="402" customWidth="1"/>
    <col min="13068" max="13068" width="8.6640625" style="402" customWidth="1"/>
    <col min="13069" max="13071" width="9.1640625" style="402"/>
    <col min="13072" max="13074" width="15.6640625" style="402" customWidth="1"/>
    <col min="13075" max="13312" width="9.1640625" style="402"/>
    <col min="13313" max="13313" width="2.5" style="402" customWidth="1"/>
    <col min="13314" max="13314" width="9.1640625" style="402" customWidth="1"/>
    <col min="13315" max="13315" width="9.1640625" style="402"/>
    <col min="13316" max="13317" width="10.6640625" style="402" customWidth="1"/>
    <col min="13318" max="13318" width="4.6640625" style="402" customWidth="1"/>
    <col min="13319" max="13319" width="10.6640625" style="402" customWidth="1"/>
    <col min="13320" max="13321" width="4.6640625" style="402" customWidth="1"/>
    <col min="13322" max="13322" width="9.1640625" style="402" customWidth="1"/>
    <col min="13323" max="13323" width="4.6640625" style="402" customWidth="1"/>
    <col min="13324" max="13324" width="8.6640625" style="402" customWidth="1"/>
    <col min="13325" max="13327" width="9.1640625" style="402"/>
    <col min="13328" max="13330" width="15.6640625" style="402" customWidth="1"/>
    <col min="13331" max="13568" width="9.1640625" style="402"/>
    <col min="13569" max="13569" width="2.5" style="402" customWidth="1"/>
    <col min="13570" max="13570" width="9.1640625" style="402" customWidth="1"/>
    <col min="13571" max="13571" width="9.1640625" style="402"/>
    <col min="13572" max="13573" width="10.6640625" style="402" customWidth="1"/>
    <col min="13574" max="13574" width="4.6640625" style="402" customWidth="1"/>
    <col min="13575" max="13575" width="10.6640625" style="402" customWidth="1"/>
    <col min="13576" max="13577" width="4.6640625" style="402" customWidth="1"/>
    <col min="13578" max="13578" width="9.1640625" style="402" customWidth="1"/>
    <col min="13579" max="13579" width="4.6640625" style="402" customWidth="1"/>
    <col min="13580" max="13580" width="8.6640625" style="402" customWidth="1"/>
    <col min="13581" max="13583" width="9.1640625" style="402"/>
    <col min="13584" max="13586" width="15.6640625" style="402" customWidth="1"/>
    <col min="13587" max="13824" width="9.1640625" style="402"/>
    <col min="13825" max="13825" width="2.5" style="402" customWidth="1"/>
    <col min="13826" max="13826" width="9.1640625" style="402" customWidth="1"/>
    <col min="13827" max="13827" width="9.1640625" style="402"/>
    <col min="13828" max="13829" width="10.6640625" style="402" customWidth="1"/>
    <col min="13830" max="13830" width="4.6640625" style="402" customWidth="1"/>
    <col min="13831" max="13831" width="10.6640625" style="402" customWidth="1"/>
    <col min="13832" max="13833" width="4.6640625" style="402" customWidth="1"/>
    <col min="13834" max="13834" width="9.1640625" style="402" customWidth="1"/>
    <col min="13835" max="13835" width="4.6640625" style="402" customWidth="1"/>
    <col min="13836" max="13836" width="8.6640625" style="402" customWidth="1"/>
    <col min="13837" max="13839" width="9.1640625" style="402"/>
    <col min="13840" max="13842" width="15.6640625" style="402" customWidth="1"/>
    <col min="13843" max="14080" width="9.1640625" style="402"/>
    <col min="14081" max="14081" width="2.5" style="402" customWidth="1"/>
    <col min="14082" max="14082" width="9.1640625" style="402" customWidth="1"/>
    <col min="14083" max="14083" width="9.1640625" style="402"/>
    <col min="14084" max="14085" width="10.6640625" style="402" customWidth="1"/>
    <col min="14086" max="14086" width="4.6640625" style="402" customWidth="1"/>
    <col min="14087" max="14087" width="10.6640625" style="402" customWidth="1"/>
    <col min="14088" max="14089" width="4.6640625" style="402" customWidth="1"/>
    <col min="14090" max="14090" width="9.1640625" style="402" customWidth="1"/>
    <col min="14091" max="14091" width="4.6640625" style="402" customWidth="1"/>
    <col min="14092" max="14092" width="8.6640625" style="402" customWidth="1"/>
    <col min="14093" max="14095" width="9.1640625" style="402"/>
    <col min="14096" max="14098" width="15.6640625" style="402" customWidth="1"/>
    <col min="14099" max="14336" width="9.1640625" style="402"/>
    <col min="14337" max="14337" width="2.5" style="402" customWidth="1"/>
    <col min="14338" max="14338" width="9.1640625" style="402" customWidth="1"/>
    <col min="14339" max="14339" width="9.1640625" style="402"/>
    <col min="14340" max="14341" width="10.6640625" style="402" customWidth="1"/>
    <col min="14342" max="14342" width="4.6640625" style="402" customWidth="1"/>
    <col min="14343" max="14343" width="10.6640625" style="402" customWidth="1"/>
    <col min="14344" max="14345" width="4.6640625" style="402" customWidth="1"/>
    <col min="14346" max="14346" width="9.1640625" style="402" customWidth="1"/>
    <col min="14347" max="14347" width="4.6640625" style="402" customWidth="1"/>
    <col min="14348" max="14348" width="8.6640625" style="402" customWidth="1"/>
    <col min="14349" max="14351" width="9.1640625" style="402"/>
    <col min="14352" max="14354" width="15.6640625" style="402" customWidth="1"/>
    <col min="14355" max="14592" width="9.1640625" style="402"/>
    <col min="14593" max="14593" width="2.5" style="402" customWidth="1"/>
    <col min="14594" max="14594" width="9.1640625" style="402" customWidth="1"/>
    <col min="14595" max="14595" width="9.1640625" style="402"/>
    <col min="14596" max="14597" width="10.6640625" style="402" customWidth="1"/>
    <col min="14598" max="14598" width="4.6640625" style="402" customWidth="1"/>
    <col min="14599" max="14599" width="10.6640625" style="402" customWidth="1"/>
    <col min="14600" max="14601" width="4.6640625" style="402" customWidth="1"/>
    <col min="14602" max="14602" width="9.1640625" style="402" customWidth="1"/>
    <col min="14603" max="14603" width="4.6640625" style="402" customWidth="1"/>
    <col min="14604" max="14604" width="8.6640625" style="402" customWidth="1"/>
    <col min="14605" max="14607" width="9.1640625" style="402"/>
    <col min="14608" max="14610" width="15.6640625" style="402" customWidth="1"/>
    <col min="14611" max="14848" width="9.1640625" style="402"/>
    <col min="14849" max="14849" width="2.5" style="402" customWidth="1"/>
    <col min="14850" max="14850" width="9.1640625" style="402" customWidth="1"/>
    <col min="14851" max="14851" width="9.1640625" style="402"/>
    <col min="14852" max="14853" width="10.6640625" style="402" customWidth="1"/>
    <col min="14854" max="14854" width="4.6640625" style="402" customWidth="1"/>
    <col min="14855" max="14855" width="10.6640625" style="402" customWidth="1"/>
    <col min="14856" max="14857" width="4.6640625" style="402" customWidth="1"/>
    <col min="14858" max="14858" width="9.1640625" style="402" customWidth="1"/>
    <col min="14859" max="14859" width="4.6640625" style="402" customWidth="1"/>
    <col min="14860" max="14860" width="8.6640625" style="402" customWidth="1"/>
    <col min="14861" max="14863" width="9.1640625" style="402"/>
    <col min="14864" max="14866" width="15.6640625" style="402" customWidth="1"/>
    <col min="14867" max="15104" width="9.1640625" style="402"/>
    <col min="15105" max="15105" width="2.5" style="402" customWidth="1"/>
    <col min="15106" max="15106" width="9.1640625" style="402" customWidth="1"/>
    <col min="15107" max="15107" width="9.1640625" style="402"/>
    <col min="15108" max="15109" width="10.6640625" style="402" customWidth="1"/>
    <col min="15110" max="15110" width="4.6640625" style="402" customWidth="1"/>
    <col min="15111" max="15111" width="10.6640625" style="402" customWidth="1"/>
    <col min="15112" max="15113" width="4.6640625" style="402" customWidth="1"/>
    <col min="15114" max="15114" width="9.1640625" style="402" customWidth="1"/>
    <col min="15115" max="15115" width="4.6640625" style="402" customWidth="1"/>
    <col min="15116" max="15116" width="8.6640625" style="402" customWidth="1"/>
    <col min="15117" max="15119" width="9.1640625" style="402"/>
    <col min="15120" max="15122" width="15.6640625" style="402" customWidth="1"/>
    <col min="15123" max="15360" width="9.1640625" style="402"/>
    <col min="15361" max="15361" width="2.5" style="402" customWidth="1"/>
    <col min="15362" max="15362" width="9.1640625" style="402" customWidth="1"/>
    <col min="15363" max="15363" width="9.1640625" style="402"/>
    <col min="15364" max="15365" width="10.6640625" style="402" customWidth="1"/>
    <col min="15366" max="15366" width="4.6640625" style="402" customWidth="1"/>
    <col min="15367" max="15367" width="10.6640625" style="402" customWidth="1"/>
    <col min="15368" max="15369" width="4.6640625" style="402" customWidth="1"/>
    <col min="15370" max="15370" width="9.1640625" style="402" customWidth="1"/>
    <col min="15371" max="15371" width="4.6640625" style="402" customWidth="1"/>
    <col min="15372" max="15372" width="8.6640625" style="402" customWidth="1"/>
    <col min="15373" max="15375" width="9.1640625" style="402"/>
    <col min="15376" max="15378" width="15.6640625" style="402" customWidth="1"/>
    <col min="15379" max="15616" width="9.1640625" style="402"/>
    <col min="15617" max="15617" width="2.5" style="402" customWidth="1"/>
    <col min="15618" max="15618" width="9.1640625" style="402" customWidth="1"/>
    <col min="15619" max="15619" width="9.1640625" style="402"/>
    <col min="15620" max="15621" width="10.6640625" style="402" customWidth="1"/>
    <col min="15622" max="15622" width="4.6640625" style="402" customWidth="1"/>
    <col min="15623" max="15623" width="10.6640625" style="402" customWidth="1"/>
    <col min="15624" max="15625" width="4.6640625" style="402" customWidth="1"/>
    <col min="15626" max="15626" width="9.1640625" style="402" customWidth="1"/>
    <col min="15627" max="15627" width="4.6640625" style="402" customWidth="1"/>
    <col min="15628" max="15628" width="8.6640625" style="402" customWidth="1"/>
    <col min="15629" max="15631" width="9.1640625" style="402"/>
    <col min="15632" max="15634" width="15.6640625" style="402" customWidth="1"/>
    <col min="15635" max="15872" width="9.1640625" style="402"/>
    <col min="15873" max="15873" width="2.5" style="402" customWidth="1"/>
    <col min="15874" max="15874" width="9.1640625" style="402" customWidth="1"/>
    <col min="15875" max="15875" width="9.1640625" style="402"/>
    <col min="15876" max="15877" width="10.6640625" style="402" customWidth="1"/>
    <col min="15878" max="15878" width="4.6640625" style="402" customWidth="1"/>
    <col min="15879" max="15879" width="10.6640625" style="402" customWidth="1"/>
    <col min="15880" max="15881" width="4.6640625" style="402" customWidth="1"/>
    <col min="15882" max="15882" width="9.1640625" style="402" customWidth="1"/>
    <col min="15883" max="15883" width="4.6640625" style="402" customWidth="1"/>
    <col min="15884" max="15884" width="8.6640625" style="402" customWidth="1"/>
    <col min="15885" max="15887" width="9.1640625" style="402"/>
    <col min="15888" max="15890" width="15.6640625" style="402" customWidth="1"/>
    <col min="15891" max="16128" width="9.1640625" style="402"/>
    <col min="16129" max="16129" width="2.5" style="402" customWidth="1"/>
    <col min="16130" max="16130" width="9.1640625" style="402" customWidth="1"/>
    <col min="16131" max="16131" width="9.1640625" style="402"/>
    <col min="16132" max="16133" width="10.6640625" style="402" customWidth="1"/>
    <col min="16134" max="16134" width="4.6640625" style="402" customWidth="1"/>
    <col min="16135" max="16135" width="10.6640625" style="402" customWidth="1"/>
    <col min="16136" max="16137" width="4.6640625" style="402" customWidth="1"/>
    <col min="16138" max="16138" width="9.1640625" style="402" customWidth="1"/>
    <col min="16139" max="16139" width="4.6640625" style="402" customWidth="1"/>
    <col min="16140" max="16140" width="8.6640625" style="402" customWidth="1"/>
    <col min="16141" max="16143" width="9.1640625" style="402"/>
    <col min="16144" max="16146" width="15.6640625" style="402" customWidth="1"/>
    <col min="16147" max="16384" width="9.1640625" style="402"/>
  </cols>
  <sheetData>
    <row r="1" spans="2:11">
      <c r="B1" s="412" t="s">
        <v>46</v>
      </c>
      <c r="C1" s="412"/>
      <c r="D1" s="412"/>
      <c r="E1" s="412"/>
      <c r="F1" s="412"/>
      <c r="G1" s="412"/>
    </row>
    <row r="2" spans="2:11">
      <c r="B2" s="412" t="s">
        <v>47</v>
      </c>
      <c r="C2" s="412"/>
      <c r="D2" s="412"/>
      <c r="E2" s="412"/>
      <c r="F2" s="412"/>
      <c r="G2" s="412"/>
    </row>
    <row r="5" spans="2:11">
      <c r="C5" s="413" t="s">
        <v>48</v>
      </c>
      <c r="D5" s="595">
        <v>52</v>
      </c>
      <c r="E5" s="595"/>
      <c r="I5" s="413" t="s">
        <v>49</v>
      </c>
      <c r="J5" s="414">
        <v>30</v>
      </c>
    </row>
    <row r="7" spans="2:11">
      <c r="D7" s="413" t="s">
        <v>50</v>
      </c>
      <c r="E7" s="415" t="s">
        <v>51</v>
      </c>
    </row>
    <row r="9" spans="2:11">
      <c r="C9" s="596" t="s">
        <v>52</v>
      </c>
      <c r="D9" s="596"/>
      <c r="I9" s="416" t="s">
        <v>53</v>
      </c>
      <c r="J9" s="416"/>
      <c r="K9" s="417"/>
    </row>
    <row r="10" spans="2:11">
      <c r="B10" s="402" t="s">
        <v>54</v>
      </c>
      <c r="E10" s="415">
        <v>1</v>
      </c>
      <c r="F10" s="418" t="s">
        <v>55</v>
      </c>
      <c r="J10" s="419"/>
      <c r="K10" s="418" t="s">
        <v>56</v>
      </c>
    </row>
    <row r="11" spans="2:11">
      <c r="B11" s="402" t="s">
        <v>57</v>
      </c>
      <c r="E11" s="420">
        <v>123</v>
      </c>
      <c r="F11" s="418" t="s">
        <v>58</v>
      </c>
      <c r="J11" s="421"/>
      <c r="K11" s="418" t="s">
        <v>59</v>
      </c>
    </row>
    <row r="12" spans="2:11">
      <c r="B12" s="402" t="s">
        <v>60</v>
      </c>
      <c r="E12" s="420">
        <v>3</v>
      </c>
      <c r="F12" s="418" t="s">
        <v>61</v>
      </c>
      <c r="J12" s="421"/>
      <c r="K12" s="418" t="s">
        <v>62</v>
      </c>
    </row>
    <row r="13" spans="2:11">
      <c r="B13" s="402" t="s">
        <v>63</v>
      </c>
      <c r="E13" s="420">
        <v>4</v>
      </c>
      <c r="F13" s="418" t="s">
        <v>64</v>
      </c>
      <c r="J13" s="421"/>
      <c r="K13" s="418" t="s">
        <v>65</v>
      </c>
    </row>
    <row r="14" spans="2:11">
      <c r="B14" s="402" t="s">
        <v>66</v>
      </c>
      <c r="E14" s="421">
        <v>5</v>
      </c>
      <c r="F14" s="418" t="s">
        <v>67</v>
      </c>
      <c r="K14" s="418"/>
    </row>
    <row r="15" spans="2:11">
      <c r="B15" s="402" t="s">
        <v>68</v>
      </c>
      <c r="E15" s="422"/>
      <c r="F15" s="418" t="s">
        <v>69</v>
      </c>
      <c r="K15" s="418"/>
    </row>
    <row r="16" spans="2:11">
      <c r="B16" s="402" t="s">
        <v>70</v>
      </c>
      <c r="E16" s="420"/>
      <c r="F16" s="418" t="s">
        <v>71</v>
      </c>
      <c r="J16" s="419"/>
      <c r="K16" s="418" t="s">
        <v>72</v>
      </c>
    </row>
    <row r="17" spans="2:18">
      <c r="B17" s="402" t="s">
        <v>73</v>
      </c>
      <c r="E17" s="420"/>
      <c r="F17" s="418" t="s">
        <v>74</v>
      </c>
      <c r="J17" s="421"/>
      <c r="K17" s="418" t="s">
        <v>75</v>
      </c>
    </row>
    <row r="18" spans="2:18">
      <c r="B18" s="402" t="s">
        <v>76</v>
      </c>
      <c r="E18" s="420"/>
      <c r="F18" s="418" t="s">
        <v>77</v>
      </c>
      <c r="J18" s="421"/>
      <c r="K18" s="418" t="s">
        <v>78</v>
      </c>
    </row>
    <row r="20" spans="2:18">
      <c r="B20" s="402" t="s">
        <v>79</v>
      </c>
      <c r="E20" s="423">
        <f>ROUND(SUM(E10:E13)*E14,0)</f>
        <v>655</v>
      </c>
      <c r="F20" s="418" t="s">
        <v>80</v>
      </c>
    </row>
    <row r="23" spans="2:18">
      <c r="C23" s="402" t="s">
        <v>81</v>
      </c>
      <c r="G23" s="424" t="e">
        <f>IF(E10=0,0,ROUND(E10/(J10*62.4),2))</f>
        <v>#DIV/0!</v>
      </c>
      <c r="H23" s="418" t="s">
        <v>82</v>
      </c>
      <c r="R23" s="418"/>
    </row>
    <row r="24" spans="2:18">
      <c r="C24" s="402" t="s">
        <v>83</v>
      </c>
      <c r="G24" s="425" t="e">
        <f>IF(E11=0,0,ROUND(E11/(J11*62.4),2))</f>
        <v>#DIV/0!</v>
      </c>
      <c r="H24" s="418" t="s">
        <v>84</v>
      </c>
    </row>
    <row r="25" spans="2:18">
      <c r="C25" s="402" t="s">
        <v>85</v>
      </c>
      <c r="G25" s="425" t="e">
        <f>IF(E12=0,0,ROUND(E12/(J12*62.4),2))</f>
        <v>#DIV/0!</v>
      </c>
      <c r="H25" s="418" t="s">
        <v>86</v>
      </c>
    </row>
    <row r="26" spans="2:18">
      <c r="C26" s="402" t="s">
        <v>87</v>
      </c>
      <c r="G26" s="425" t="e">
        <f>IF(E13=0,0,ROUND(E13/(J13*62.4),2))</f>
        <v>#DIV/0!</v>
      </c>
      <c r="H26" s="418" t="s">
        <v>88</v>
      </c>
    </row>
    <row r="27" spans="2:18">
      <c r="C27" s="402" t="s">
        <v>89</v>
      </c>
      <c r="G27" s="425">
        <f>ROUND((E15/100)*27,2)</f>
        <v>0</v>
      </c>
      <c r="H27" s="418" t="s">
        <v>90</v>
      </c>
    </row>
    <row r="28" spans="2:18">
      <c r="C28" s="402" t="s">
        <v>91</v>
      </c>
      <c r="G28" s="425">
        <f>ROUND(E20/62.4,2)</f>
        <v>10.5</v>
      </c>
      <c r="H28" s="418" t="s">
        <v>92</v>
      </c>
    </row>
    <row r="29" spans="2:18">
      <c r="C29" s="402" t="s">
        <v>93</v>
      </c>
      <c r="H29" s="418"/>
    </row>
    <row r="30" spans="2:18">
      <c r="C30" s="402" t="s">
        <v>94</v>
      </c>
      <c r="G30" s="424" t="e">
        <f>27-G23-G24-G25-G26-G27-G28</f>
        <v>#DIV/0!</v>
      </c>
      <c r="H30" s="418" t="s">
        <v>95</v>
      </c>
    </row>
    <row r="31" spans="2:18">
      <c r="C31" s="402" t="s">
        <v>96</v>
      </c>
      <c r="H31" s="418"/>
      <c r="Q31" s="418"/>
      <c r="R31" s="418"/>
    </row>
    <row r="32" spans="2:18">
      <c r="C32" s="402" t="s">
        <v>97</v>
      </c>
      <c r="G32" s="423">
        <f>IF(E16=0,0,ROUND((62.4*(E16/100)*J16*G30),0))</f>
        <v>0</v>
      </c>
      <c r="H32" s="418" t="s">
        <v>98</v>
      </c>
      <c r="Q32" s="426"/>
      <c r="R32" s="418"/>
    </row>
    <row r="33" spans="3:18">
      <c r="C33" s="402" t="s">
        <v>99</v>
      </c>
      <c r="H33" s="418"/>
      <c r="Q33" s="426"/>
      <c r="R33" s="418"/>
    </row>
    <row r="34" spans="3:18">
      <c r="C34" s="402" t="s">
        <v>100</v>
      </c>
      <c r="G34" s="423">
        <f>IF(E17=0,0,ROUND((62.4*(E17/100)*J17*G30),0))</f>
        <v>0</v>
      </c>
      <c r="H34" s="418" t="s">
        <v>101</v>
      </c>
      <c r="Q34" s="426"/>
      <c r="R34" s="418"/>
    </row>
    <row r="35" spans="3:18">
      <c r="C35" s="402" t="s">
        <v>102</v>
      </c>
      <c r="Q35" s="426"/>
      <c r="R35" s="418"/>
    </row>
    <row r="36" spans="3:18">
      <c r="C36" s="402" t="s">
        <v>103</v>
      </c>
      <c r="G36" s="423">
        <f>IF(E18=0,0,ROUND((62.4*(E18/100)*J18*G30),0))</f>
        <v>0</v>
      </c>
      <c r="H36" s="418" t="s">
        <v>104</v>
      </c>
      <c r="Q36" s="426"/>
      <c r="R36" s="418"/>
    </row>
    <row r="38" spans="3:18">
      <c r="D38" s="412" t="s">
        <v>105</v>
      </c>
    </row>
    <row r="40" spans="3:18">
      <c r="D40" s="402" t="s">
        <v>106</v>
      </c>
      <c r="G40" s="423">
        <f>E10</f>
        <v>1</v>
      </c>
      <c r="H40" s="427" t="s">
        <v>107</v>
      </c>
      <c r="I40" s="418" t="s">
        <v>55</v>
      </c>
    </row>
    <row r="41" spans="3:18">
      <c r="D41" s="402" t="s">
        <v>108</v>
      </c>
      <c r="G41" s="428">
        <f>E11</f>
        <v>123</v>
      </c>
      <c r="H41" s="427" t="s">
        <v>107</v>
      </c>
      <c r="I41" s="418" t="s">
        <v>58</v>
      </c>
    </row>
    <row r="42" spans="3:18">
      <c r="D42" s="402" t="s">
        <v>109</v>
      </c>
      <c r="G42" s="428">
        <f>E12</f>
        <v>3</v>
      </c>
      <c r="H42" s="427" t="s">
        <v>107</v>
      </c>
      <c r="I42" s="418" t="s">
        <v>61</v>
      </c>
    </row>
    <row r="43" spans="3:18">
      <c r="D43" s="402" t="s">
        <v>110</v>
      </c>
      <c r="G43" s="428">
        <f>E13</f>
        <v>4</v>
      </c>
      <c r="H43" s="427" t="s">
        <v>107</v>
      </c>
      <c r="I43" s="418" t="s">
        <v>64</v>
      </c>
    </row>
    <row r="44" spans="3:18">
      <c r="D44" s="402" t="s">
        <v>111</v>
      </c>
      <c r="G44" s="428">
        <f>G32</f>
        <v>0</v>
      </c>
      <c r="H44" s="427" t="s">
        <v>107</v>
      </c>
      <c r="I44" s="418" t="s">
        <v>98</v>
      </c>
    </row>
    <row r="45" spans="3:18">
      <c r="D45" s="402" t="s">
        <v>112</v>
      </c>
      <c r="G45" s="428">
        <f>G34</f>
        <v>0</v>
      </c>
      <c r="H45" s="427" t="s">
        <v>107</v>
      </c>
      <c r="I45" s="418" t="s">
        <v>101</v>
      </c>
    </row>
    <row r="46" spans="3:18">
      <c r="D46" s="402" t="s">
        <v>113</v>
      </c>
      <c r="G46" s="428">
        <f>G36</f>
        <v>0</v>
      </c>
      <c r="H46" s="427" t="s">
        <v>107</v>
      </c>
      <c r="I46" s="418" t="s">
        <v>104</v>
      </c>
    </row>
    <row r="47" spans="3:18">
      <c r="D47" s="402" t="s">
        <v>114</v>
      </c>
      <c r="G47" s="428">
        <f>E20</f>
        <v>655</v>
      </c>
      <c r="H47" s="427" t="s">
        <v>107</v>
      </c>
      <c r="I47" s="418" t="s">
        <v>80</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baseColWidth="10" defaultColWidth="8.83203125" defaultRowHeight="13"/>
  <cols>
    <col min="1" max="2" width="8.83203125" style="402"/>
    <col min="3" max="3" width="25.33203125" style="402" customWidth="1"/>
    <col min="4" max="11" width="8.83203125" style="402"/>
    <col min="12" max="12" width="11.83203125" style="402" customWidth="1"/>
    <col min="13" max="258" width="8.83203125" style="402"/>
    <col min="259" max="259" width="25.33203125" style="402" customWidth="1"/>
    <col min="260" max="267" width="8.83203125" style="402"/>
    <col min="268" max="268" width="11.83203125" style="402" customWidth="1"/>
    <col min="269" max="514" width="8.83203125" style="402"/>
    <col min="515" max="515" width="25.33203125" style="402" customWidth="1"/>
    <col min="516" max="523" width="8.83203125" style="402"/>
    <col min="524" max="524" width="11.83203125" style="402" customWidth="1"/>
    <col min="525" max="770" width="8.83203125" style="402"/>
    <col min="771" max="771" width="25.33203125" style="402" customWidth="1"/>
    <col min="772" max="779" width="8.83203125" style="402"/>
    <col min="780" max="780" width="11.83203125" style="402" customWidth="1"/>
    <col min="781" max="1026" width="8.83203125" style="402"/>
    <col min="1027" max="1027" width="25.33203125" style="402" customWidth="1"/>
    <col min="1028" max="1035" width="8.83203125" style="402"/>
    <col min="1036" max="1036" width="11.83203125" style="402" customWidth="1"/>
    <col min="1037" max="1282" width="8.83203125" style="402"/>
    <col min="1283" max="1283" width="25.33203125" style="402" customWidth="1"/>
    <col min="1284" max="1291" width="8.83203125" style="402"/>
    <col min="1292" max="1292" width="11.83203125" style="402" customWidth="1"/>
    <col min="1293" max="1538" width="8.83203125" style="402"/>
    <col min="1539" max="1539" width="25.33203125" style="402" customWidth="1"/>
    <col min="1540" max="1547" width="8.83203125" style="402"/>
    <col min="1548" max="1548" width="11.83203125" style="402" customWidth="1"/>
    <col min="1549" max="1794" width="8.83203125" style="402"/>
    <col min="1795" max="1795" width="25.33203125" style="402" customWidth="1"/>
    <col min="1796" max="1803" width="8.83203125" style="402"/>
    <col min="1804" max="1804" width="11.83203125" style="402" customWidth="1"/>
    <col min="1805" max="2050" width="8.83203125" style="402"/>
    <col min="2051" max="2051" width="25.33203125" style="402" customWidth="1"/>
    <col min="2052" max="2059" width="8.83203125" style="402"/>
    <col min="2060" max="2060" width="11.83203125" style="402" customWidth="1"/>
    <col min="2061" max="2306" width="8.83203125" style="402"/>
    <col min="2307" max="2307" width="25.33203125" style="402" customWidth="1"/>
    <col min="2308" max="2315" width="8.83203125" style="402"/>
    <col min="2316" max="2316" width="11.83203125" style="402" customWidth="1"/>
    <col min="2317" max="2562" width="8.83203125" style="402"/>
    <col min="2563" max="2563" width="25.33203125" style="402" customWidth="1"/>
    <col min="2564" max="2571" width="8.83203125" style="402"/>
    <col min="2572" max="2572" width="11.83203125" style="402" customWidth="1"/>
    <col min="2573" max="2818" width="8.83203125" style="402"/>
    <col min="2819" max="2819" width="25.33203125" style="402" customWidth="1"/>
    <col min="2820" max="2827" width="8.83203125" style="402"/>
    <col min="2828" max="2828" width="11.83203125" style="402" customWidth="1"/>
    <col min="2829" max="3074" width="8.83203125" style="402"/>
    <col min="3075" max="3075" width="25.33203125" style="402" customWidth="1"/>
    <col min="3076" max="3083" width="8.83203125" style="402"/>
    <col min="3084" max="3084" width="11.83203125" style="402" customWidth="1"/>
    <col min="3085" max="3330" width="8.83203125" style="402"/>
    <col min="3331" max="3331" width="25.33203125" style="402" customWidth="1"/>
    <col min="3332" max="3339" width="8.83203125" style="402"/>
    <col min="3340" max="3340" width="11.83203125" style="402" customWidth="1"/>
    <col min="3341" max="3586" width="8.83203125" style="402"/>
    <col min="3587" max="3587" width="25.33203125" style="402" customWidth="1"/>
    <col min="3588" max="3595" width="8.83203125" style="402"/>
    <col min="3596" max="3596" width="11.83203125" style="402" customWidth="1"/>
    <col min="3597" max="3842" width="8.83203125" style="402"/>
    <col min="3843" max="3843" width="25.33203125" style="402" customWidth="1"/>
    <col min="3844" max="3851" width="8.83203125" style="402"/>
    <col min="3852" max="3852" width="11.83203125" style="402" customWidth="1"/>
    <col min="3853" max="4098" width="8.83203125" style="402"/>
    <col min="4099" max="4099" width="25.33203125" style="402" customWidth="1"/>
    <col min="4100" max="4107" width="8.83203125" style="402"/>
    <col min="4108" max="4108" width="11.83203125" style="402" customWidth="1"/>
    <col min="4109" max="4354" width="8.83203125" style="402"/>
    <col min="4355" max="4355" width="25.33203125" style="402" customWidth="1"/>
    <col min="4356" max="4363" width="8.83203125" style="402"/>
    <col min="4364" max="4364" width="11.83203125" style="402" customWidth="1"/>
    <col min="4365" max="4610" width="8.83203125" style="402"/>
    <col min="4611" max="4611" width="25.33203125" style="402" customWidth="1"/>
    <col min="4612" max="4619" width="8.83203125" style="402"/>
    <col min="4620" max="4620" width="11.83203125" style="402" customWidth="1"/>
    <col min="4621" max="4866" width="8.83203125" style="402"/>
    <col min="4867" max="4867" width="25.33203125" style="402" customWidth="1"/>
    <col min="4868" max="4875" width="8.83203125" style="402"/>
    <col min="4876" max="4876" width="11.83203125" style="402" customWidth="1"/>
    <col min="4877" max="5122" width="8.83203125" style="402"/>
    <col min="5123" max="5123" width="25.33203125" style="402" customWidth="1"/>
    <col min="5124" max="5131" width="8.83203125" style="402"/>
    <col min="5132" max="5132" width="11.83203125" style="402" customWidth="1"/>
    <col min="5133" max="5378" width="8.83203125" style="402"/>
    <col min="5379" max="5379" width="25.33203125" style="402" customWidth="1"/>
    <col min="5380" max="5387" width="8.83203125" style="402"/>
    <col min="5388" max="5388" width="11.83203125" style="402" customWidth="1"/>
    <col min="5389" max="5634" width="8.83203125" style="402"/>
    <col min="5635" max="5635" width="25.33203125" style="402" customWidth="1"/>
    <col min="5636" max="5643" width="8.83203125" style="402"/>
    <col min="5644" max="5644" width="11.83203125" style="402" customWidth="1"/>
    <col min="5645" max="5890" width="8.83203125" style="402"/>
    <col min="5891" max="5891" width="25.33203125" style="402" customWidth="1"/>
    <col min="5892" max="5899" width="8.83203125" style="402"/>
    <col min="5900" max="5900" width="11.83203125" style="402" customWidth="1"/>
    <col min="5901" max="6146" width="8.83203125" style="402"/>
    <col min="6147" max="6147" width="25.33203125" style="402" customWidth="1"/>
    <col min="6148" max="6155" width="8.83203125" style="402"/>
    <col min="6156" max="6156" width="11.83203125" style="402" customWidth="1"/>
    <col min="6157" max="6402" width="8.83203125" style="402"/>
    <col min="6403" max="6403" width="25.33203125" style="402" customWidth="1"/>
    <col min="6404" max="6411" width="8.83203125" style="402"/>
    <col min="6412" max="6412" width="11.83203125" style="402" customWidth="1"/>
    <col min="6413" max="6658" width="8.83203125" style="402"/>
    <col min="6659" max="6659" width="25.33203125" style="402" customWidth="1"/>
    <col min="6660" max="6667" width="8.83203125" style="402"/>
    <col min="6668" max="6668" width="11.83203125" style="402" customWidth="1"/>
    <col min="6669" max="6914" width="8.83203125" style="402"/>
    <col min="6915" max="6915" width="25.33203125" style="402" customWidth="1"/>
    <col min="6916" max="6923" width="8.83203125" style="402"/>
    <col min="6924" max="6924" width="11.83203125" style="402" customWidth="1"/>
    <col min="6925" max="7170" width="8.83203125" style="402"/>
    <col min="7171" max="7171" width="25.33203125" style="402" customWidth="1"/>
    <col min="7172" max="7179" width="8.83203125" style="402"/>
    <col min="7180" max="7180" width="11.83203125" style="402" customWidth="1"/>
    <col min="7181" max="7426" width="8.83203125" style="402"/>
    <col min="7427" max="7427" width="25.33203125" style="402" customWidth="1"/>
    <col min="7428" max="7435" width="8.83203125" style="402"/>
    <col min="7436" max="7436" width="11.83203125" style="402" customWidth="1"/>
    <col min="7437" max="7682" width="8.83203125" style="402"/>
    <col min="7683" max="7683" width="25.33203125" style="402" customWidth="1"/>
    <col min="7684" max="7691" width="8.83203125" style="402"/>
    <col min="7692" max="7692" width="11.83203125" style="402" customWidth="1"/>
    <col min="7693" max="7938" width="8.83203125" style="402"/>
    <col min="7939" max="7939" width="25.33203125" style="402" customWidth="1"/>
    <col min="7940" max="7947" width="8.83203125" style="402"/>
    <col min="7948" max="7948" width="11.83203125" style="402" customWidth="1"/>
    <col min="7949" max="8194" width="8.83203125" style="402"/>
    <col min="8195" max="8195" width="25.33203125" style="402" customWidth="1"/>
    <col min="8196" max="8203" width="8.83203125" style="402"/>
    <col min="8204" max="8204" width="11.83203125" style="402" customWidth="1"/>
    <col min="8205" max="8450" width="8.83203125" style="402"/>
    <col min="8451" max="8451" width="25.33203125" style="402" customWidth="1"/>
    <col min="8452" max="8459" width="8.83203125" style="402"/>
    <col min="8460" max="8460" width="11.83203125" style="402" customWidth="1"/>
    <col min="8461" max="8706" width="8.83203125" style="402"/>
    <col min="8707" max="8707" width="25.33203125" style="402" customWidth="1"/>
    <col min="8708" max="8715" width="8.83203125" style="402"/>
    <col min="8716" max="8716" width="11.83203125" style="402" customWidth="1"/>
    <col min="8717" max="8962" width="8.83203125" style="402"/>
    <col min="8963" max="8963" width="25.33203125" style="402" customWidth="1"/>
    <col min="8964" max="8971" width="8.83203125" style="402"/>
    <col min="8972" max="8972" width="11.83203125" style="402" customWidth="1"/>
    <col min="8973" max="9218" width="8.83203125" style="402"/>
    <col min="9219" max="9219" width="25.33203125" style="402" customWidth="1"/>
    <col min="9220" max="9227" width="8.83203125" style="402"/>
    <col min="9228" max="9228" width="11.83203125" style="402" customWidth="1"/>
    <col min="9229" max="9474" width="8.83203125" style="402"/>
    <col min="9475" max="9475" width="25.33203125" style="402" customWidth="1"/>
    <col min="9476" max="9483" width="8.83203125" style="402"/>
    <col min="9484" max="9484" width="11.83203125" style="402" customWidth="1"/>
    <col min="9485" max="9730" width="8.83203125" style="402"/>
    <col min="9731" max="9731" width="25.33203125" style="402" customWidth="1"/>
    <col min="9732" max="9739" width="8.83203125" style="402"/>
    <col min="9740" max="9740" width="11.83203125" style="402" customWidth="1"/>
    <col min="9741" max="9986" width="8.83203125" style="402"/>
    <col min="9987" max="9987" width="25.33203125" style="402" customWidth="1"/>
    <col min="9988" max="9995" width="8.83203125" style="402"/>
    <col min="9996" max="9996" width="11.83203125" style="402" customWidth="1"/>
    <col min="9997" max="10242" width="8.83203125" style="402"/>
    <col min="10243" max="10243" width="25.33203125" style="402" customWidth="1"/>
    <col min="10244" max="10251" width="8.83203125" style="402"/>
    <col min="10252" max="10252" width="11.83203125" style="402" customWidth="1"/>
    <col min="10253" max="10498" width="8.83203125" style="402"/>
    <col min="10499" max="10499" width="25.33203125" style="402" customWidth="1"/>
    <col min="10500" max="10507" width="8.83203125" style="402"/>
    <col min="10508" max="10508" width="11.83203125" style="402" customWidth="1"/>
    <col min="10509" max="10754" width="8.83203125" style="402"/>
    <col min="10755" max="10755" width="25.33203125" style="402" customWidth="1"/>
    <col min="10756" max="10763" width="8.83203125" style="402"/>
    <col min="10764" max="10764" width="11.83203125" style="402" customWidth="1"/>
    <col min="10765" max="11010" width="8.83203125" style="402"/>
    <col min="11011" max="11011" width="25.33203125" style="402" customWidth="1"/>
    <col min="11012" max="11019" width="8.83203125" style="402"/>
    <col min="11020" max="11020" width="11.83203125" style="402" customWidth="1"/>
    <col min="11021" max="11266" width="8.83203125" style="402"/>
    <col min="11267" max="11267" width="25.33203125" style="402" customWidth="1"/>
    <col min="11268" max="11275" width="8.83203125" style="402"/>
    <col min="11276" max="11276" width="11.83203125" style="402" customWidth="1"/>
    <col min="11277" max="11522" width="8.83203125" style="402"/>
    <col min="11523" max="11523" width="25.33203125" style="402" customWidth="1"/>
    <col min="11524" max="11531" width="8.83203125" style="402"/>
    <col min="11532" max="11532" width="11.83203125" style="402" customWidth="1"/>
    <col min="11533" max="11778" width="8.83203125" style="402"/>
    <col min="11779" max="11779" width="25.33203125" style="402" customWidth="1"/>
    <col min="11780" max="11787" width="8.83203125" style="402"/>
    <col min="11788" max="11788" width="11.83203125" style="402" customWidth="1"/>
    <col min="11789" max="12034" width="8.83203125" style="402"/>
    <col min="12035" max="12035" width="25.33203125" style="402" customWidth="1"/>
    <col min="12036" max="12043" width="8.83203125" style="402"/>
    <col min="12044" max="12044" width="11.83203125" style="402" customWidth="1"/>
    <col min="12045" max="12290" width="8.83203125" style="402"/>
    <col min="12291" max="12291" width="25.33203125" style="402" customWidth="1"/>
    <col min="12292" max="12299" width="8.83203125" style="402"/>
    <col min="12300" max="12300" width="11.83203125" style="402" customWidth="1"/>
    <col min="12301" max="12546" width="8.83203125" style="402"/>
    <col min="12547" max="12547" width="25.33203125" style="402" customWidth="1"/>
    <col min="12548" max="12555" width="8.83203125" style="402"/>
    <col min="12556" max="12556" width="11.83203125" style="402" customWidth="1"/>
    <col min="12557" max="12802" width="8.83203125" style="402"/>
    <col min="12803" max="12803" width="25.33203125" style="402" customWidth="1"/>
    <col min="12804" max="12811" width="8.83203125" style="402"/>
    <col min="12812" max="12812" width="11.83203125" style="402" customWidth="1"/>
    <col min="12813" max="13058" width="8.83203125" style="402"/>
    <col min="13059" max="13059" width="25.33203125" style="402" customWidth="1"/>
    <col min="13060" max="13067" width="8.83203125" style="402"/>
    <col min="13068" max="13068" width="11.83203125" style="402" customWidth="1"/>
    <col min="13069" max="13314" width="8.83203125" style="402"/>
    <col min="13315" max="13315" width="25.33203125" style="402" customWidth="1"/>
    <col min="13316" max="13323" width="8.83203125" style="402"/>
    <col min="13324" max="13324" width="11.83203125" style="402" customWidth="1"/>
    <col min="13325" max="13570" width="8.83203125" style="402"/>
    <col min="13571" max="13571" width="25.33203125" style="402" customWidth="1"/>
    <col min="13572" max="13579" width="8.83203125" style="402"/>
    <col min="13580" max="13580" width="11.83203125" style="402" customWidth="1"/>
    <col min="13581" max="13826" width="8.83203125" style="402"/>
    <col min="13827" max="13827" width="25.33203125" style="402" customWidth="1"/>
    <col min="13828" max="13835" width="8.83203125" style="402"/>
    <col min="13836" max="13836" width="11.83203125" style="402" customWidth="1"/>
    <col min="13837" max="14082" width="8.83203125" style="402"/>
    <col min="14083" max="14083" width="25.33203125" style="402" customWidth="1"/>
    <col min="14084" max="14091" width="8.83203125" style="402"/>
    <col min="14092" max="14092" width="11.83203125" style="402" customWidth="1"/>
    <col min="14093" max="14338" width="8.83203125" style="402"/>
    <col min="14339" max="14339" width="25.33203125" style="402" customWidth="1"/>
    <col min="14340" max="14347" width="8.83203125" style="402"/>
    <col min="14348" max="14348" width="11.83203125" style="402" customWidth="1"/>
    <col min="14349" max="14594" width="8.83203125" style="402"/>
    <col min="14595" max="14595" width="25.33203125" style="402" customWidth="1"/>
    <col min="14596" max="14603" width="8.83203125" style="402"/>
    <col min="14604" max="14604" width="11.83203125" style="402" customWidth="1"/>
    <col min="14605" max="14850" width="8.83203125" style="402"/>
    <col min="14851" max="14851" width="25.33203125" style="402" customWidth="1"/>
    <col min="14852" max="14859" width="8.83203125" style="402"/>
    <col min="14860" max="14860" width="11.83203125" style="402" customWidth="1"/>
    <col min="14861" max="15106" width="8.83203125" style="402"/>
    <col min="15107" max="15107" width="25.33203125" style="402" customWidth="1"/>
    <col min="15108" max="15115" width="8.83203125" style="402"/>
    <col min="15116" max="15116" width="11.83203125" style="402" customWidth="1"/>
    <col min="15117" max="15362" width="8.83203125" style="402"/>
    <col min="15363" max="15363" width="25.33203125" style="402" customWidth="1"/>
    <col min="15364" max="15371" width="8.83203125" style="402"/>
    <col min="15372" max="15372" width="11.83203125" style="402" customWidth="1"/>
    <col min="15373" max="15618" width="8.83203125" style="402"/>
    <col min="15619" max="15619" width="25.33203125" style="402" customWidth="1"/>
    <col min="15620" max="15627" width="8.83203125" style="402"/>
    <col min="15628" max="15628" width="11.83203125" style="402" customWidth="1"/>
    <col min="15629" max="15874" width="8.83203125" style="402"/>
    <col min="15875" max="15875" width="25.33203125" style="402" customWidth="1"/>
    <col min="15876" max="15883" width="8.83203125" style="402"/>
    <col min="15884" max="15884" width="11.83203125" style="402" customWidth="1"/>
    <col min="15885" max="16130" width="8.83203125" style="402"/>
    <col min="16131" max="16131" width="25.33203125" style="402" customWidth="1"/>
    <col min="16132" max="16139" width="8.83203125" style="402"/>
    <col min="16140" max="16140" width="11.83203125" style="402" customWidth="1"/>
    <col min="16141" max="16384" width="8.83203125" style="402"/>
  </cols>
  <sheetData>
    <row r="1" spans="1:16" ht="55.5" customHeight="1">
      <c r="A1" s="591" t="s">
        <v>115</v>
      </c>
      <c r="B1" s="591"/>
      <c r="C1" s="591"/>
      <c r="D1" s="591"/>
      <c r="E1" s="591"/>
      <c r="F1" s="591"/>
      <c r="G1" s="591"/>
      <c r="H1" s="591"/>
      <c r="I1" s="591"/>
      <c r="J1" s="591"/>
      <c r="K1" s="591"/>
      <c r="L1" s="591"/>
      <c r="M1" s="591"/>
      <c r="N1" s="591"/>
      <c r="O1" s="591"/>
      <c r="P1" s="591"/>
    </row>
    <row r="2" spans="1:16" ht="18">
      <c r="A2" s="627" t="s">
        <v>19</v>
      </c>
      <c r="B2" s="628"/>
      <c r="C2" s="629"/>
      <c r="D2" s="630">
        <f>'[1]Mix Description'!D2:P2</f>
        <v>0</v>
      </c>
      <c r="E2" s="631"/>
      <c r="F2" s="631"/>
      <c r="G2" s="631"/>
      <c r="H2" s="631"/>
      <c r="I2" s="631"/>
      <c r="J2" s="631"/>
      <c r="K2" s="631"/>
      <c r="L2" s="631"/>
      <c r="M2" s="631"/>
      <c r="N2" s="631"/>
      <c r="O2" s="631"/>
      <c r="P2" s="632"/>
    </row>
    <row r="3" spans="1:16" ht="16">
      <c r="A3" s="627" t="s">
        <v>21</v>
      </c>
      <c r="B3" s="633"/>
      <c r="C3" s="634"/>
      <c r="D3" s="630">
        <f>'[1]Mix Description'!D3:P3</f>
        <v>0</v>
      </c>
      <c r="E3" s="631"/>
      <c r="F3" s="631"/>
      <c r="G3" s="631"/>
      <c r="H3" s="631"/>
      <c r="I3" s="631"/>
      <c r="J3" s="631"/>
      <c r="K3" s="631"/>
      <c r="L3" s="631"/>
      <c r="M3" s="631"/>
      <c r="N3" s="631"/>
      <c r="O3" s="631"/>
      <c r="P3" s="632"/>
    </row>
    <row r="4" spans="1:16" ht="18">
      <c r="A4" s="627" t="s">
        <v>23</v>
      </c>
      <c r="B4" s="628"/>
      <c r="C4" s="629"/>
      <c r="D4" s="630">
        <f>'[1]Mix Description'!D4:P4</f>
        <v>0</v>
      </c>
      <c r="E4" s="631"/>
      <c r="F4" s="631"/>
      <c r="G4" s="631"/>
      <c r="H4" s="631"/>
      <c r="I4" s="631"/>
      <c r="J4" s="631"/>
      <c r="K4" s="631"/>
      <c r="L4" s="631"/>
      <c r="M4" s="631"/>
      <c r="N4" s="631"/>
      <c r="O4" s="631"/>
      <c r="P4" s="632"/>
    </row>
    <row r="5" spans="1:16" ht="18">
      <c r="A5" s="617" t="s">
        <v>116</v>
      </c>
      <c r="B5" s="618"/>
      <c r="C5" s="619"/>
      <c r="D5" s="620"/>
      <c r="E5" s="621"/>
      <c r="F5" s="621"/>
      <c r="G5" s="621"/>
      <c r="H5" s="621"/>
      <c r="I5" s="621"/>
      <c r="J5" s="621"/>
      <c r="K5" s="621"/>
      <c r="L5" s="621"/>
      <c r="M5" s="621"/>
      <c r="N5" s="621"/>
      <c r="O5" s="621"/>
      <c r="P5" s="622"/>
    </row>
    <row r="6" spans="1:16" ht="18" customHeight="1">
      <c r="A6" s="617" t="s">
        <v>117</v>
      </c>
      <c r="B6" s="618"/>
      <c r="C6" s="619"/>
      <c r="D6" s="606"/>
      <c r="E6" s="607"/>
      <c r="F6" s="607"/>
      <c r="G6" s="607"/>
      <c r="H6" s="607"/>
      <c r="I6" s="607"/>
      <c r="J6" s="607"/>
      <c r="K6" s="607"/>
      <c r="L6" s="607"/>
      <c r="M6" s="607"/>
      <c r="N6" s="607"/>
      <c r="O6" s="607"/>
      <c r="P6" s="608"/>
    </row>
    <row r="7" spans="1:16" ht="18" customHeight="1">
      <c r="A7" s="617" t="s">
        <v>118</v>
      </c>
      <c r="B7" s="618"/>
      <c r="C7" s="619"/>
      <c r="D7" s="606"/>
      <c r="E7" s="607"/>
      <c r="F7" s="607"/>
      <c r="G7" s="607"/>
      <c r="H7" s="607"/>
      <c r="I7" s="607"/>
      <c r="J7" s="607"/>
      <c r="K7" s="607"/>
      <c r="L7" s="607"/>
      <c r="M7" s="607"/>
      <c r="N7" s="607"/>
      <c r="O7" s="607"/>
      <c r="P7" s="608"/>
    </row>
    <row r="8" spans="1:16" ht="18">
      <c r="A8" s="617" t="s">
        <v>27</v>
      </c>
      <c r="B8" s="618"/>
      <c r="C8" s="619"/>
      <c r="D8" s="606"/>
      <c r="E8" s="607"/>
      <c r="F8" s="607"/>
      <c r="G8" s="607"/>
      <c r="H8" s="607"/>
      <c r="I8" s="607"/>
      <c r="J8" s="607"/>
      <c r="K8" s="607"/>
      <c r="L8" s="607"/>
      <c r="M8" s="607"/>
      <c r="N8" s="607"/>
      <c r="O8" s="607"/>
      <c r="P8" s="608"/>
    </row>
    <row r="9" spans="1:16" ht="18">
      <c r="A9" s="617" t="s">
        <v>28</v>
      </c>
      <c r="B9" s="618"/>
      <c r="C9" s="619"/>
      <c r="D9" s="623"/>
      <c r="E9" s="607"/>
      <c r="F9" s="607"/>
      <c r="G9" s="607"/>
      <c r="H9" s="607"/>
      <c r="I9" s="607"/>
      <c r="J9" s="607"/>
      <c r="K9" s="607"/>
      <c r="L9" s="607"/>
      <c r="M9" s="607"/>
      <c r="N9" s="607"/>
      <c r="O9" s="607"/>
      <c r="P9" s="608"/>
    </row>
    <row r="10" spans="1:16" ht="17.25" customHeight="1">
      <c r="A10" s="624" t="s">
        <v>119</v>
      </c>
      <c r="B10" s="625"/>
      <c r="C10" s="625"/>
      <c r="D10" s="625"/>
      <c r="E10" s="625"/>
      <c r="F10" s="625"/>
      <c r="G10" s="625"/>
      <c r="H10" s="625"/>
      <c r="I10" s="625"/>
      <c r="J10" s="625"/>
      <c r="K10" s="625"/>
      <c r="L10" s="625"/>
      <c r="M10" s="625"/>
      <c r="N10" s="625"/>
      <c r="O10" s="625"/>
      <c r="P10" s="626"/>
    </row>
    <row r="11" spans="1:16" ht="34.5" customHeight="1">
      <c r="A11" s="614" t="s">
        <v>120</v>
      </c>
      <c r="B11" s="615"/>
      <c r="C11" s="616"/>
      <c r="D11" s="606"/>
      <c r="E11" s="607"/>
      <c r="F11" s="607"/>
      <c r="G11" s="607"/>
      <c r="H11" s="607"/>
      <c r="I11" s="607"/>
      <c r="J11" s="607"/>
      <c r="K11" s="607"/>
      <c r="L11" s="607"/>
      <c r="M11" s="607"/>
      <c r="N11" s="607"/>
      <c r="O11" s="607"/>
      <c r="P11" s="608"/>
    </row>
    <row r="12" spans="1:16" ht="37.5" customHeight="1">
      <c r="A12" s="600" t="s">
        <v>121</v>
      </c>
      <c r="B12" s="601"/>
      <c r="C12" s="602"/>
      <c r="D12" s="603"/>
      <c r="E12" s="604"/>
      <c r="F12" s="604"/>
      <c r="G12" s="604"/>
      <c r="H12" s="604"/>
      <c r="I12" s="604"/>
      <c r="J12" s="604"/>
      <c r="K12" s="604"/>
      <c r="L12" s="604"/>
      <c r="M12" s="604"/>
      <c r="N12" s="604"/>
      <c r="O12" s="604"/>
      <c r="P12" s="605"/>
    </row>
    <row r="13" spans="1:16" ht="36.75" customHeight="1">
      <c r="A13" s="600" t="s">
        <v>122</v>
      </c>
      <c r="B13" s="601"/>
      <c r="C13" s="602"/>
      <c r="D13" s="606"/>
      <c r="E13" s="607"/>
      <c r="F13" s="607"/>
      <c r="G13" s="607"/>
      <c r="H13" s="607"/>
      <c r="I13" s="607"/>
      <c r="J13" s="607"/>
      <c r="K13" s="607"/>
      <c r="L13" s="607"/>
      <c r="M13" s="607"/>
      <c r="N13" s="607"/>
      <c r="O13" s="607"/>
      <c r="P13" s="608"/>
    </row>
    <row r="14" spans="1:16" ht="38.25" customHeight="1">
      <c r="A14" s="600" t="s">
        <v>123</v>
      </c>
      <c r="B14" s="601"/>
      <c r="C14" s="602"/>
      <c r="D14" s="609" t="s">
        <v>124</v>
      </c>
      <c r="E14" s="610"/>
      <c r="F14" s="611"/>
      <c r="G14" s="612"/>
      <c r="H14" s="612"/>
      <c r="I14" s="612"/>
      <c r="J14" s="613"/>
      <c r="K14" s="609" t="s">
        <v>125</v>
      </c>
      <c r="L14" s="610"/>
      <c r="M14" s="611"/>
      <c r="N14" s="612"/>
      <c r="O14" s="612"/>
      <c r="P14" s="613"/>
    </row>
    <row r="15" spans="1:16" ht="21" customHeight="1">
      <c r="A15" s="597" t="s">
        <v>126</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baseColWidth="10" defaultColWidth="8.83203125" defaultRowHeight="13"/>
  <cols>
    <col min="1" max="8" width="0" style="402" hidden="1" customWidth="1"/>
    <col min="9" max="9" width="2" style="402" customWidth="1"/>
    <col min="10" max="10" width="31.5" style="402" customWidth="1"/>
    <col min="11" max="11" width="8" style="402" customWidth="1"/>
    <col min="12" max="12" width="8.33203125" style="402" customWidth="1"/>
    <col min="13" max="13" width="8" style="402" customWidth="1"/>
    <col min="14" max="14" width="7.33203125" style="402" customWidth="1"/>
    <col min="15" max="15" width="7.1640625" style="402" customWidth="1"/>
    <col min="16" max="16" width="8.33203125" style="402" customWidth="1"/>
    <col min="17" max="17" width="6.6640625" style="402" customWidth="1"/>
    <col min="18" max="18" width="7" style="402" customWidth="1"/>
    <col min="19" max="256" width="8.83203125" style="402"/>
    <col min="257" max="264" width="0" style="402" hidden="1" customWidth="1"/>
    <col min="265" max="265" width="2" style="402" customWidth="1"/>
    <col min="266" max="266" width="31.5" style="402" customWidth="1"/>
    <col min="267" max="267" width="8" style="402" customWidth="1"/>
    <col min="268" max="268" width="8.33203125" style="402" customWidth="1"/>
    <col min="269" max="269" width="8" style="402" customWidth="1"/>
    <col min="270" max="270" width="7.33203125" style="402" customWidth="1"/>
    <col min="271" max="271" width="7.1640625" style="402" customWidth="1"/>
    <col min="272" max="272" width="8.33203125" style="402" customWidth="1"/>
    <col min="273" max="273" width="6.6640625" style="402" customWidth="1"/>
    <col min="274" max="274" width="7" style="402" customWidth="1"/>
    <col min="275" max="512" width="8.83203125" style="402"/>
    <col min="513" max="520" width="0" style="402" hidden="1" customWidth="1"/>
    <col min="521" max="521" width="2" style="402" customWidth="1"/>
    <col min="522" max="522" width="31.5" style="402" customWidth="1"/>
    <col min="523" max="523" width="8" style="402" customWidth="1"/>
    <col min="524" max="524" width="8.33203125" style="402" customWidth="1"/>
    <col min="525" max="525" width="8" style="402" customWidth="1"/>
    <col min="526" max="526" width="7.33203125" style="402" customWidth="1"/>
    <col min="527" max="527" width="7.1640625" style="402" customWidth="1"/>
    <col min="528" max="528" width="8.33203125" style="402" customWidth="1"/>
    <col min="529" max="529" width="6.6640625" style="402" customWidth="1"/>
    <col min="530" max="530" width="7" style="402" customWidth="1"/>
    <col min="531" max="768" width="8.83203125" style="402"/>
    <col min="769" max="776" width="0" style="402" hidden="1" customWidth="1"/>
    <col min="777" max="777" width="2" style="402" customWidth="1"/>
    <col min="778" max="778" width="31.5" style="402" customWidth="1"/>
    <col min="779" max="779" width="8" style="402" customWidth="1"/>
    <col min="780" max="780" width="8.33203125" style="402" customWidth="1"/>
    <col min="781" max="781" width="8" style="402" customWidth="1"/>
    <col min="782" max="782" width="7.33203125" style="402" customWidth="1"/>
    <col min="783" max="783" width="7.1640625" style="402" customWidth="1"/>
    <col min="784" max="784" width="8.33203125" style="402" customWidth="1"/>
    <col min="785" max="785" width="6.6640625" style="402" customWidth="1"/>
    <col min="786" max="786" width="7" style="402" customWidth="1"/>
    <col min="787" max="1024" width="8.83203125" style="402"/>
    <col min="1025" max="1032" width="0" style="402" hidden="1" customWidth="1"/>
    <col min="1033" max="1033" width="2" style="402" customWidth="1"/>
    <col min="1034" max="1034" width="31.5" style="402" customWidth="1"/>
    <col min="1035" max="1035" width="8" style="402" customWidth="1"/>
    <col min="1036" max="1036" width="8.33203125" style="402" customWidth="1"/>
    <col min="1037" max="1037" width="8" style="402" customWidth="1"/>
    <col min="1038" max="1038" width="7.33203125" style="402" customWidth="1"/>
    <col min="1039" max="1039" width="7.1640625" style="402" customWidth="1"/>
    <col min="1040" max="1040" width="8.33203125" style="402" customWidth="1"/>
    <col min="1041" max="1041" width="6.6640625" style="402" customWidth="1"/>
    <col min="1042" max="1042" width="7" style="402" customWidth="1"/>
    <col min="1043" max="1280" width="8.83203125" style="402"/>
    <col min="1281" max="1288" width="0" style="402" hidden="1" customWidth="1"/>
    <col min="1289" max="1289" width="2" style="402" customWidth="1"/>
    <col min="1290" max="1290" width="31.5" style="402" customWidth="1"/>
    <col min="1291" max="1291" width="8" style="402" customWidth="1"/>
    <col min="1292" max="1292" width="8.33203125" style="402" customWidth="1"/>
    <col min="1293" max="1293" width="8" style="402" customWidth="1"/>
    <col min="1294" max="1294" width="7.33203125" style="402" customWidth="1"/>
    <col min="1295" max="1295" width="7.1640625" style="402" customWidth="1"/>
    <col min="1296" max="1296" width="8.33203125" style="402" customWidth="1"/>
    <col min="1297" max="1297" width="6.6640625" style="402" customWidth="1"/>
    <col min="1298" max="1298" width="7" style="402" customWidth="1"/>
    <col min="1299" max="1536" width="8.83203125" style="402"/>
    <col min="1537" max="1544" width="0" style="402" hidden="1" customWidth="1"/>
    <col min="1545" max="1545" width="2" style="402" customWidth="1"/>
    <col min="1546" max="1546" width="31.5" style="402" customWidth="1"/>
    <col min="1547" max="1547" width="8" style="402" customWidth="1"/>
    <col min="1548" max="1548" width="8.33203125" style="402" customWidth="1"/>
    <col min="1549" max="1549" width="8" style="402" customWidth="1"/>
    <col min="1550" max="1550" width="7.33203125" style="402" customWidth="1"/>
    <col min="1551" max="1551" width="7.1640625" style="402" customWidth="1"/>
    <col min="1552" max="1552" width="8.33203125" style="402" customWidth="1"/>
    <col min="1553" max="1553" width="6.6640625" style="402" customWidth="1"/>
    <col min="1554" max="1554" width="7" style="402" customWidth="1"/>
    <col min="1555" max="1792" width="8.83203125" style="402"/>
    <col min="1793" max="1800" width="0" style="402" hidden="1" customWidth="1"/>
    <col min="1801" max="1801" width="2" style="402" customWidth="1"/>
    <col min="1802" max="1802" width="31.5" style="402" customWidth="1"/>
    <col min="1803" max="1803" width="8" style="402" customWidth="1"/>
    <col min="1804" max="1804" width="8.33203125" style="402" customWidth="1"/>
    <col min="1805" max="1805" width="8" style="402" customWidth="1"/>
    <col min="1806" max="1806" width="7.33203125" style="402" customWidth="1"/>
    <col min="1807" max="1807" width="7.1640625" style="402" customWidth="1"/>
    <col min="1808" max="1808" width="8.33203125" style="402" customWidth="1"/>
    <col min="1809" max="1809" width="6.6640625" style="402" customWidth="1"/>
    <col min="1810" max="1810" width="7" style="402" customWidth="1"/>
    <col min="1811" max="2048" width="8.83203125" style="402"/>
    <col min="2049" max="2056" width="0" style="402" hidden="1" customWidth="1"/>
    <col min="2057" max="2057" width="2" style="402" customWidth="1"/>
    <col min="2058" max="2058" width="31.5" style="402" customWidth="1"/>
    <col min="2059" max="2059" width="8" style="402" customWidth="1"/>
    <col min="2060" max="2060" width="8.33203125" style="402" customWidth="1"/>
    <col min="2061" max="2061" width="8" style="402" customWidth="1"/>
    <col min="2062" max="2062" width="7.33203125" style="402" customWidth="1"/>
    <col min="2063" max="2063" width="7.1640625" style="402" customWidth="1"/>
    <col min="2064" max="2064" width="8.33203125" style="402" customWidth="1"/>
    <col min="2065" max="2065" width="6.6640625" style="402" customWidth="1"/>
    <col min="2066" max="2066" width="7" style="402" customWidth="1"/>
    <col min="2067" max="2304" width="8.83203125" style="402"/>
    <col min="2305" max="2312" width="0" style="402" hidden="1" customWidth="1"/>
    <col min="2313" max="2313" width="2" style="402" customWidth="1"/>
    <col min="2314" max="2314" width="31.5" style="402" customWidth="1"/>
    <col min="2315" max="2315" width="8" style="402" customWidth="1"/>
    <col min="2316" max="2316" width="8.33203125" style="402" customWidth="1"/>
    <col min="2317" max="2317" width="8" style="402" customWidth="1"/>
    <col min="2318" max="2318" width="7.33203125" style="402" customWidth="1"/>
    <col min="2319" max="2319" width="7.1640625" style="402" customWidth="1"/>
    <col min="2320" max="2320" width="8.33203125" style="402" customWidth="1"/>
    <col min="2321" max="2321" width="6.6640625" style="402" customWidth="1"/>
    <col min="2322" max="2322" width="7" style="402" customWidth="1"/>
    <col min="2323" max="2560" width="8.83203125" style="402"/>
    <col min="2561" max="2568" width="0" style="402" hidden="1" customWidth="1"/>
    <col min="2569" max="2569" width="2" style="402" customWidth="1"/>
    <col min="2570" max="2570" width="31.5" style="402" customWidth="1"/>
    <col min="2571" max="2571" width="8" style="402" customWidth="1"/>
    <col min="2572" max="2572" width="8.33203125" style="402" customWidth="1"/>
    <col min="2573" max="2573" width="8" style="402" customWidth="1"/>
    <col min="2574" max="2574" width="7.33203125" style="402" customWidth="1"/>
    <col min="2575" max="2575" width="7.1640625" style="402" customWidth="1"/>
    <col min="2576" max="2576" width="8.33203125" style="402" customWidth="1"/>
    <col min="2577" max="2577" width="6.6640625" style="402" customWidth="1"/>
    <col min="2578" max="2578" width="7" style="402" customWidth="1"/>
    <col min="2579" max="2816" width="8.83203125" style="402"/>
    <col min="2817" max="2824" width="0" style="402" hidden="1" customWidth="1"/>
    <col min="2825" max="2825" width="2" style="402" customWidth="1"/>
    <col min="2826" max="2826" width="31.5" style="402" customWidth="1"/>
    <col min="2827" max="2827" width="8" style="402" customWidth="1"/>
    <col min="2828" max="2828" width="8.33203125" style="402" customWidth="1"/>
    <col min="2829" max="2829" width="8" style="402" customWidth="1"/>
    <col min="2830" max="2830" width="7.33203125" style="402" customWidth="1"/>
    <col min="2831" max="2831" width="7.1640625" style="402" customWidth="1"/>
    <col min="2832" max="2832" width="8.33203125" style="402" customWidth="1"/>
    <col min="2833" max="2833" width="6.6640625" style="402" customWidth="1"/>
    <col min="2834" max="2834" width="7" style="402" customWidth="1"/>
    <col min="2835" max="3072" width="8.83203125" style="402"/>
    <col min="3073" max="3080" width="0" style="402" hidden="1" customWidth="1"/>
    <col min="3081" max="3081" width="2" style="402" customWidth="1"/>
    <col min="3082" max="3082" width="31.5" style="402" customWidth="1"/>
    <col min="3083" max="3083" width="8" style="402" customWidth="1"/>
    <col min="3084" max="3084" width="8.33203125" style="402" customWidth="1"/>
    <col min="3085" max="3085" width="8" style="402" customWidth="1"/>
    <col min="3086" max="3086" width="7.33203125" style="402" customWidth="1"/>
    <col min="3087" max="3087" width="7.1640625" style="402" customWidth="1"/>
    <col min="3088" max="3088" width="8.33203125" style="402" customWidth="1"/>
    <col min="3089" max="3089" width="6.6640625" style="402" customWidth="1"/>
    <col min="3090" max="3090" width="7" style="402" customWidth="1"/>
    <col min="3091" max="3328" width="8.83203125" style="402"/>
    <col min="3329" max="3336" width="0" style="402" hidden="1" customWidth="1"/>
    <col min="3337" max="3337" width="2" style="402" customWidth="1"/>
    <col min="3338" max="3338" width="31.5" style="402" customWidth="1"/>
    <col min="3339" max="3339" width="8" style="402" customWidth="1"/>
    <col min="3340" max="3340" width="8.33203125" style="402" customWidth="1"/>
    <col min="3341" max="3341" width="8" style="402" customWidth="1"/>
    <col min="3342" max="3342" width="7.33203125" style="402" customWidth="1"/>
    <col min="3343" max="3343" width="7.1640625" style="402" customWidth="1"/>
    <col min="3344" max="3344" width="8.33203125" style="402" customWidth="1"/>
    <col min="3345" max="3345" width="6.6640625" style="402" customWidth="1"/>
    <col min="3346" max="3346" width="7" style="402" customWidth="1"/>
    <col min="3347" max="3584" width="8.83203125" style="402"/>
    <col min="3585" max="3592" width="0" style="402" hidden="1" customWidth="1"/>
    <col min="3593" max="3593" width="2" style="402" customWidth="1"/>
    <col min="3594" max="3594" width="31.5" style="402" customWidth="1"/>
    <col min="3595" max="3595" width="8" style="402" customWidth="1"/>
    <col min="3596" max="3596" width="8.33203125" style="402" customWidth="1"/>
    <col min="3597" max="3597" width="8" style="402" customWidth="1"/>
    <col min="3598" max="3598" width="7.33203125" style="402" customWidth="1"/>
    <col min="3599" max="3599" width="7.1640625" style="402" customWidth="1"/>
    <col min="3600" max="3600" width="8.33203125" style="402" customWidth="1"/>
    <col min="3601" max="3601" width="6.6640625" style="402" customWidth="1"/>
    <col min="3602" max="3602" width="7" style="402" customWidth="1"/>
    <col min="3603" max="3840" width="8.83203125" style="402"/>
    <col min="3841" max="3848" width="0" style="402" hidden="1" customWidth="1"/>
    <col min="3849" max="3849" width="2" style="402" customWidth="1"/>
    <col min="3850" max="3850" width="31.5" style="402" customWidth="1"/>
    <col min="3851" max="3851" width="8" style="402" customWidth="1"/>
    <col min="3852" max="3852" width="8.33203125" style="402" customWidth="1"/>
    <col min="3853" max="3853" width="8" style="402" customWidth="1"/>
    <col min="3854" max="3854" width="7.33203125" style="402" customWidth="1"/>
    <col min="3855" max="3855" width="7.1640625" style="402" customWidth="1"/>
    <col min="3856" max="3856" width="8.33203125" style="402" customWidth="1"/>
    <col min="3857" max="3857" width="6.6640625" style="402" customWidth="1"/>
    <col min="3858" max="3858" width="7" style="402" customWidth="1"/>
    <col min="3859" max="4096" width="8.83203125" style="402"/>
    <col min="4097" max="4104" width="0" style="402" hidden="1" customWidth="1"/>
    <col min="4105" max="4105" width="2" style="402" customWidth="1"/>
    <col min="4106" max="4106" width="31.5" style="402" customWidth="1"/>
    <col min="4107" max="4107" width="8" style="402" customWidth="1"/>
    <col min="4108" max="4108" width="8.33203125" style="402" customWidth="1"/>
    <col min="4109" max="4109" width="8" style="402" customWidth="1"/>
    <col min="4110" max="4110" width="7.33203125" style="402" customWidth="1"/>
    <col min="4111" max="4111" width="7.1640625" style="402" customWidth="1"/>
    <col min="4112" max="4112" width="8.33203125" style="402" customWidth="1"/>
    <col min="4113" max="4113" width="6.6640625" style="402" customWidth="1"/>
    <col min="4114" max="4114" width="7" style="402" customWidth="1"/>
    <col min="4115" max="4352" width="8.83203125" style="402"/>
    <col min="4353" max="4360" width="0" style="402" hidden="1" customWidth="1"/>
    <col min="4361" max="4361" width="2" style="402" customWidth="1"/>
    <col min="4362" max="4362" width="31.5" style="402" customWidth="1"/>
    <col min="4363" max="4363" width="8" style="402" customWidth="1"/>
    <col min="4364" max="4364" width="8.33203125" style="402" customWidth="1"/>
    <col min="4365" max="4365" width="8" style="402" customWidth="1"/>
    <col min="4366" max="4366" width="7.33203125" style="402" customWidth="1"/>
    <col min="4367" max="4367" width="7.1640625" style="402" customWidth="1"/>
    <col min="4368" max="4368" width="8.33203125" style="402" customWidth="1"/>
    <col min="4369" max="4369" width="6.6640625" style="402" customWidth="1"/>
    <col min="4370" max="4370" width="7" style="402" customWidth="1"/>
    <col min="4371" max="4608" width="8.83203125" style="402"/>
    <col min="4609" max="4616" width="0" style="402" hidden="1" customWidth="1"/>
    <col min="4617" max="4617" width="2" style="402" customWidth="1"/>
    <col min="4618" max="4618" width="31.5" style="402" customWidth="1"/>
    <col min="4619" max="4619" width="8" style="402" customWidth="1"/>
    <col min="4620" max="4620" width="8.33203125" style="402" customWidth="1"/>
    <col min="4621" max="4621" width="8" style="402" customWidth="1"/>
    <col min="4622" max="4622" width="7.33203125" style="402" customWidth="1"/>
    <col min="4623" max="4623" width="7.1640625" style="402" customWidth="1"/>
    <col min="4624" max="4624" width="8.33203125" style="402" customWidth="1"/>
    <col min="4625" max="4625" width="6.6640625" style="402" customWidth="1"/>
    <col min="4626" max="4626" width="7" style="402" customWidth="1"/>
    <col min="4627" max="4864" width="8.83203125" style="402"/>
    <col min="4865" max="4872" width="0" style="402" hidden="1" customWidth="1"/>
    <col min="4873" max="4873" width="2" style="402" customWidth="1"/>
    <col min="4874" max="4874" width="31.5" style="402" customWidth="1"/>
    <col min="4875" max="4875" width="8" style="402" customWidth="1"/>
    <col min="4876" max="4876" width="8.33203125" style="402" customWidth="1"/>
    <col min="4877" max="4877" width="8" style="402" customWidth="1"/>
    <col min="4878" max="4878" width="7.33203125" style="402" customWidth="1"/>
    <col min="4879" max="4879" width="7.1640625" style="402" customWidth="1"/>
    <col min="4880" max="4880" width="8.33203125" style="402" customWidth="1"/>
    <col min="4881" max="4881" width="6.6640625" style="402" customWidth="1"/>
    <col min="4882" max="4882" width="7" style="402" customWidth="1"/>
    <col min="4883" max="5120" width="8.83203125" style="402"/>
    <col min="5121" max="5128" width="0" style="402" hidden="1" customWidth="1"/>
    <col min="5129" max="5129" width="2" style="402" customWidth="1"/>
    <col min="5130" max="5130" width="31.5" style="402" customWidth="1"/>
    <col min="5131" max="5131" width="8" style="402" customWidth="1"/>
    <col min="5132" max="5132" width="8.33203125" style="402" customWidth="1"/>
    <col min="5133" max="5133" width="8" style="402" customWidth="1"/>
    <col min="5134" max="5134" width="7.33203125" style="402" customWidth="1"/>
    <col min="5135" max="5135" width="7.1640625" style="402" customWidth="1"/>
    <col min="5136" max="5136" width="8.33203125" style="402" customWidth="1"/>
    <col min="5137" max="5137" width="6.6640625" style="402" customWidth="1"/>
    <col min="5138" max="5138" width="7" style="402" customWidth="1"/>
    <col min="5139" max="5376" width="8.83203125" style="402"/>
    <col min="5377" max="5384" width="0" style="402" hidden="1" customWidth="1"/>
    <col min="5385" max="5385" width="2" style="402" customWidth="1"/>
    <col min="5386" max="5386" width="31.5" style="402" customWidth="1"/>
    <col min="5387" max="5387" width="8" style="402" customWidth="1"/>
    <col min="5388" max="5388" width="8.33203125" style="402" customWidth="1"/>
    <col min="5389" max="5389" width="8" style="402" customWidth="1"/>
    <col min="5390" max="5390" width="7.33203125" style="402" customWidth="1"/>
    <col min="5391" max="5391" width="7.1640625" style="402" customWidth="1"/>
    <col min="5392" max="5392" width="8.33203125" style="402" customWidth="1"/>
    <col min="5393" max="5393" width="6.6640625" style="402" customWidth="1"/>
    <col min="5394" max="5394" width="7" style="402" customWidth="1"/>
    <col min="5395" max="5632" width="8.83203125" style="402"/>
    <col min="5633" max="5640" width="0" style="402" hidden="1" customWidth="1"/>
    <col min="5641" max="5641" width="2" style="402" customWidth="1"/>
    <col min="5642" max="5642" width="31.5" style="402" customWidth="1"/>
    <col min="5643" max="5643" width="8" style="402" customWidth="1"/>
    <col min="5644" max="5644" width="8.33203125" style="402" customWidth="1"/>
    <col min="5645" max="5645" width="8" style="402" customWidth="1"/>
    <col min="5646" max="5646" width="7.33203125" style="402" customWidth="1"/>
    <col min="5647" max="5647" width="7.1640625" style="402" customWidth="1"/>
    <col min="5648" max="5648" width="8.33203125" style="402" customWidth="1"/>
    <col min="5649" max="5649" width="6.6640625" style="402" customWidth="1"/>
    <col min="5650" max="5650" width="7" style="402" customWidth="1"/>
    <col min="5651" max="5888" width="8.83203125" style="402"/>
    <col min="5889" max="5896" width="0" style="402" hidden="1" customWidth="1"/>
    <col min="5897" max="5897" width="2" style="402" customWidth="1"/>
    <col min="5898" max="5898" width="31.5" style="402" customWidth="1"/>
    <col min="5899" max="5899" width="8" style="402" customWidth="1"/>
    <col min="5900" max="5900" width="8.33203125" style="402" customWidth="1"/>
    <col min="5901" max="5901" width="8" style="402" customWidth="1"/>
    <col min="5902" max="5902" width="7.33203125" style="402" customWidth="1"/>
    <col min="5903" max="5903" width="7.1640625" style="402" customWidth="1"/>
    <col min="5904" max="5904" width="8.33203125" style="402" customWidth="1"/>
    <col min="5905" max="5905" width="6.6640625" style="402" customWidth="1"/>
    <col min="5906" max="5906" width="7" style="402" customWidth="1"/>
    <col min="5907" max="6144" width="8.83203125" style="402"/>
    <col min="6145" max="6152" width="0" style="402" hidden="1" customWidth="1"/>
    <col min="6153" max="6153" width="2" style="402" customWidth="1"/>
    <col min="6154" max="6154" width="31.5" style="402" customWidth="1"/>
    <col min="6155" max="6155" width="8" style="402" customWidth="1"/>
    <col min="6156" max="6156" width="8.33203125" style="402" customWidth="1"/>
    <col min="6157" max="6157" width="8" style="402" customWidth="1"/>
    <col min="6158" max="6158" width="7.33203125" style="402" customWidth="1"/>
    <col min="6159" max="6159" width="7.1640625" style="402" customWidth="1"/>
    <col min="6160" max="6160" width="8.33203125" style="402" customWidth="1"/>
    <col min="6161" max="6161" width="6.6640625" style="402" customWidth="1"/>
    <col min="6162" max="6162" width="7" style="402" customWidth="1"/>
    <col min="6163" max="6400" width="8.83203125" style="402"/>
    <col min="6401" max="6408" width="0" style="402" hidden="1" customWidth="1"/>
    <col min="6409" max="6409" width="2" style="402" customWidth="1"/>
    <col min="6410" max="6410" width="31.5" style="402" customWidth="1"/>
    <col min="6411" max="6411" width="8" style="402" customWidth="1"/>
    <col min="6412" max="6412" width="8.33203125" style="402" customWidth="1"/>
    <col min="6413" max="6413" width="8" style="402" customWidth="1"/>
    <col min="6414" max="6414" width="7.33203125" style="402" customWidth="1"/>
    <col min="6415" max="6415" width="7.1640625" style="402" customWidth="1"/>
    <col min="6416" max="6416" width="8.33203125" style="402" customWidth="1"/>
    <col min="6417" max="6417" width="6.6640625" style="402" customWidth="1"/>
    <col min="6418" max="6418" width="7" style="402" customWidth="1"/>
    <col min="6419" max="6656" width="8.83203125" style="402"/>
    <col min="6657" max="6664" width="0" style="402" hidden="1" customWidth="1"/>
    <col min="6665" max="6665" width="2" style="402" customWidth="1"/>
    <col min="6666" max="6666" width="31.5" style="402" customWidth="1"/>
    <col min="6667" max="6667" width="8" style="402" customWidth="1"/>
    <col min="6668" max="6668" width="8.33203125" style="402" customWidth="1"/>
    <col min="6669" max="6669" width="8" style="402" customWidth="1"/>
    <col min="6670" max="6670" width="7.33203125" style="402" customWidth="1"/>
    <col min="6671" max="6671" width="7.1640625" style="402" customWidth="1"/>
    <col min="6672" max="6672" width="8.33203125" style="402" customWidth="1"/>
    <col min="6673" max="6673" width="6.6640625" style="402" customWidth="1"/>
    <col min="6674" max="6674" width="7" style="402" customWidth="1"/>
    <col min="6675" max="6912" width="8.83203125" style="402"/>
    <col min="6913" max="6920" width="0" style="402" hidden="1" customWidth="1"/>
    <col min="6921" max="6921" width="2" style="402" customWidth="1"/>
    <col min="6922" max="6922" width="31.5" style="402" customWidth="1"/>
    <col min="6923" max="6923" width="8" style="402" customWidth="1"/>
    <col min="6924" max="6924" width="8.33203125" style="402" customWidth="1"/>
    <col min="6925" max="6925" width="8" style="402" customWidth="1"/>
    <col min="6926" max="6926" width="7.33203125" style="402" customWidth="1"/>
    <col min="6927" max="6927" width="7.1640625" style="402" customWidth="1"/>
    <col min="6928" max="6928" width="8.33203125" style="402" customWidth="1"/>
    <col min="6929" max="6929" width="6.6640625" style="402" customWidth="1"/>
    <col min="6930" max="6930" width="7" style="402" customWidth="1"/>
    <col min="6931" max="7168" width="8.83203125" style="402"/>
    <col min="7169" max="7176" width="0" style="402" hidden="1" customWidth="1"/>
    <col min="7177" max="7177" width="2" style="402" customWidth="1"/>
    <col min="7178" max="7178" width="31.5" style="402" customWidth="1"/>
    <col min="7179" max="7179" width="8" style="402" customWidth="1"/>
    <col min="7180" max="7180" width="8.33203125" style="402" customWidth="1"/>
    <col min="7181" max="7181" width="8" style="402" customWidth="1"/>
    <col min="7182" max="7182" width="7.33203125" style="402" customWidth="1"/>
    <col min="7183" max="7183" width="7.1640625" style="402" customWidth="1"/>
    <col min="7184" max="7184" width="8.33203125" style="402" customWidth="1"/>
    <col min="7185" max="7185" width="6.6640625" style="402" customWidth="1"/>
    <col min="7186" max="7186" width="7" style="402" customWidth="1"/>
    <col min="7187" max="7424" width="8.83203125" style="402"/>
    <col min="7425" max="7432" width="0" style="402" hidden="1" customWidth="1"/>
    <col min="7433" max="7433" width="2" style="402" customWidth="1"/>
    <col min="7434" max="7434" width="31.5" style="402" customWidth="1"/>
    <col min="7435" max="7435" width="8" style="402" customWidth="1"/>
    <col min="7436" max="7436" width="8.33203125" style="402" customWidth="1"/>
    <col min="7437" max="7437" width="8" style="402" customWidth="1"/>
    <col min="7438" max="7438" width="7.33203125" style="402" customWidth="1"/>
    <col min="7439" max="7439" width="7.1640625" style="402" customWidth="1"/>
    <col min="7440" max="7440" width="8.33203125" style="402" customWidth="1"/>
    <col min="7441" max="7441" width="6.6640625" style="402" customWidth="1"/>
    <col min="7442" max="7442" width="7" style="402" customWidth="1"/>
    <col min="7443" max="7680" width="8.83203125" style="402"/>
    <col min="7681" max="7688" width="0" style="402" hidden="1" customWidth="1"/>
    <col min="7689" max="7689" width="2" style="402" customWidth="1"/>
    <col min="7690" max="7690" width="31.5" style="402" customWidth="1"/>
    <col min="7691" max="7691" width="8" style="402" customWidth="1"/>
    <col min="7692" max="7692" width="8.33203125" style="402" customWidth="1"/>
    <col min="7693" max="7693" width="8" style="402" customWidth="1"/>
    <col min="7694" max="7694" width="7.33203125" style="402" customWidth="1"/>
    <col min="7695" max="7695" width="7.1640625" style="402" customWidth="1"/>
    <col min="7696" max="7696" width="8.33203125" style="402" customWidth="1"/>
    <col min="7697" max="7697" width="6.6640625" style="402" customWidth="1"/>
    <col min="7698" max="7698" width="7" style="402" customWidth="1"/>
    <col min="7699" max="7936" width="8.83203125" style="402"/>
    <col min="7937" max="7944" width="0" style="402" hidden="1" customWidth="1"/>
    <col min="7945" max="7945" width="2" style="402" customWidth="1"/>
    <col min="7946" max="7946" width="31.5" style="402" customWidth="1"/>
    <col min="7947" max="7947" width="8" style="402" customWidth="1"/>
    <col min="7948" max="7948" width="8.33203125" style="402" customWidth="1"/>
    <col min="7949" max="7949" width="8" style="402" customWidth="1"/>
    <col min="7950" max="7950" width="7.33203125" style="402" customWidth="1"/>
    <col min="7951" max="7951" width="7.1640625" style="402" customWidth="1"/>
    <col min="7952" max="7952" width="8.33203125" style="402" customWidth="1"/>
    <col min="7953" max="7953" width="6.6640625" style="402" customWidth="1"/>
    <col min="7954" max="7954" width="7" style="402" customWidth="1"/>
    <col min="7955" max="8192" width="8.83203125" style="402"/>
    <col min="8193" max="8200" width="0" style="402" hidden="1" customWidth="1"/>
    <col min="8201" max="8201" width="2" style="402" customWidth="1"/>
    <col min="8202" max="8202" width="31.5" style="402" customWidth="1"/>
    <col min="8203" max="8203" width="8" style="402" customWidth="1"/>
    <col min="8204" max="8204" width="8.33203125" style="402" customWidth="1"/>
    <col min="8205" max="8205" width="8" style="402" customWidth="1"/>
    <col min="8206" max="8206" width="7.33203125" style="402" customWidth="1"/>
    <col min="8207" max="8207" width="7.1640625" style="402" customWidth="1"/>
    <col min="8208" max="8208" width="8.33203125" style="402" customWidth="1"/>
    <col min="8209" max="8209" width="6.6640625" style="402" customWidth="1"/>
    <col min="8210" max="8210" width="7" style="402" customWidth="1"/>
    <col min="8211" max="8448" width="8.83203125" style="402"/>
    <col min="8449" max="8456" width="0" style="402" hidden="1" customWidth="1"/>
    <col min="8457" max="8457" width="2" style="402" customWidth="1"/>
    <col min="8458" max="8458" width="31.5" style="402" customWidth="1"/>
    <col min="8459" max="8459" width="8" style="402" customWidth="1"/>
    <col min="8460" max="8460" width="8.33203125" style="402" customWidth="1"/>
    <col min="8461" max="8461" width="8" style="402" customWidth="1"/>
    <col min="8462" max="8462" width="7.33203125" style="402" customWidth="1"/>
    <col min="8463" max="8463" width="7.1640625" style="402" customWidth="1"/>
    <col min="8464" max="8464" width="8.33203125" style="402" customWidth="1"/>
    <col min="8465" max="8465" width="6.6640625" style="402" customWidth="1"/>
    <col min="8466" max="8466" width="7" style="402" customWidth="1"/>
    <col min="8467" max="8704" width="8.83203125" style="402"/>
    <col min="8705" max="8712" width="0" style="402" hidden="1" customWidth="1"/>
    <col min="8713" max="8713" width="2" style="402" customWidth="1"/>
    <col min="8714" max="8714" width="31.5" style="402" customWidth="1"/>
    <col min="8715" max="8715" width="8" style="402" customWidth="1"/>
    <col min="8716" max="8716" width="8.33203125" style="402" customWidth="1"/>
    <col min="8717" max="8717" width="8" style="402" customWidth="1"/>
    <col min="8718" max="8718" width="7.33203125" style="402" customWidth="1"/>
    <col min="8719" max="8719" width="7.1640625" style="402" customWidth="1"/>
    <col min="8720" max="8720" width="8.33203125" style="402" customWidth="1"/>
    <col min="8721" max="8721" width="6.6640625" style="402" customWidth="1"/>
    <col min="8722" max="8722" width="7" style="402" customWidth="1"/>
    <col min="8723" max="8960" width="8.83203125" style="402"/>
    <col min="8961" max="8968" width="0" style="402" hidden="1" customWidth="1"/>
    <col min="8969" max="8969" width="2" style="402" customWidth="1"/>
    <col min="8970" max="8970" width="31.5" style="402" customWidth="1"/>
    <col min="8971" max="8971" width="8" style="402" customWidth="1"/>
    <col min="8972" max="8972" width="8.33203125" style="402" customWidth="1"/>
    <col min="8973" max="8973" width="8" style="402" customWidth="1"/>
    <col min="8974" max="8974" width="7.33203125" style="402" customWidth="1"/>
    <col min="8975" max="8975" width="7.1640625" style="402" customWidth="1"/>
    <col min="8976" max="8976" width="8.33203125" style="402" customWidth="1"/>
    <col min="8977" max="8977" width="6.6640625" style="402" customWidth="1"/>
    <col min="8978" max="8978" width="7" style="402" customWidth="1"/>
    <col min="8979" max="9216" width="8.83203125" style="402"/>
    <col min="9217" max="9224" width="0" style="402" hidden="1" customWidth="1"/>
    <col min="9225" max="9225" width="2" style="402" customWidth="1"/>
    <col min="9226" max="9226" width="31.5" style="402" customWidth="1"/>
    <col min="9227" max="9227" width="8" style="402" customWidth="1"/>
    <col min="9228" max="9228" width="8.33203125" style="402" customWidth="1"/>
    <col min="9229" max="9229" width="8" style="402" customWidth="1"/>
    <col min="9230" max="9230" width="7.33203125" style="402" customWidth="1"/>
    <col min="9231" max="9231" width="7.1640625" style="402" customWidth="1"/>
    <col min="9232" max="9232" width="8.33203125" style="402" customWidth="1"/>
    <col min="9233" max="9233" width="6.6640625" style="402" customWidth="1"/>
    <col min="9234" max="9234" width="7" style="402" customWidth="1"/>
    <col min="9235" max="9472" width="8.83203125" style="402"/>
    <col min="9473" max="9480" width="0" style="402" hidden="1" customWidth="1"/>
    <col min="9481" max="9481" width="2" style="402" customWidth="1"/>
    <col min="9482" max="9482" width="31.5" style="402" customWidth="1"/>
    <col min="9483" max="9483" width="8" style="402" customWidth="1"/>
    <col min="9484" max="9484" width="8.33203125" style="402" customWidth="1"/>
    <col min="9485" max="9485" width="8" style="402" customWidth="1"/>
    <col min="9486" max="9486" width="7.33203125" style="402" customWidth="1"/>
    <col min="9487" max="9487" width="7.1640625" style="402" customWidth="1"/>
    <col min="9488" max="9488" width="8.33203125" style="402" customWidth="1"/>
    <col min="9489" max="9489" width="6.6640625" style="402" customWidth="1"/>
    <col min="9490" max="9490" width="7" style="402" customWidth="1"/>
    <col min="9491" max="9728" width="8.83203125" style="402"/>
    <col min="9729" max="9736" width="0" style="402" hidden="1" customWidth="1"/>
    <col min="9737" max="9737" width="2" style="402" customWidth="1"/>
    <col min="9738" max="9738" width="31.5" style="402" customWidth="1"/>
    <col min="9739" max="9739" width="8" style="402" customWidth="1"/>
    <col min="9740" max="9740" width="8.33203125" style="402" customWidth="1"/>
    <col min="9741" max="9741" width="8" style="402" customWidth="1"/>
    <col min="9742" max="9742" width="7.33203125" style="402" customWidth="1"/>
    <col min="9743" max="9743" width="7.1640625" style="402" customWidth="1"/>
    <col min="9744" max="9744" width="8.33203125" style="402" customWidth="1"/>
    <col min="9745" max="9745" width="6.6640625" style="402" customWidth="1"/>
    <col min="9746" max="9746" width="7" style="402" customWidth="1"/>
    <col min="9747" max="9984" width="8.83203125" style="402"/>
    <col min="9985" max="9992" width="0" style="402" hidden="1" customWidth="1"/>
    <col min="9993" max="9993" width="2" style="402" customWidth="1"/>
    <col min="9994" max="9994" width="31.5" style="402" customWidth="1"/>
    <col min="9995" max="9995" width="8" style="402" customWidth="1"/>
    <col min="9996" max="9996" width="8.33203125" style="402" customWidth="1"/>
    <col min="9997" max="9997" width="8" style="402" customWidth="1"/>
    <col min="9998" max="9998" width="7.33203125" style="402" customWidth="1"/>
    <col min="9999" max="9999" width="7.1640625" style="402" customWidth="1"/>
    <col min="10000" max="10000" width="8.33203125" style="402" customWidth="1"/>
    <col min="10001" max="10001" width="6.6640625" style="402" customWidth="1"/>
    <col min="10002" max="10002" width="7" style="402" customWidth="1"/>
    <col min="10003" max="10240" width="8.83203125" style="402"/>
    <col min="10241" max="10248" width="0" style="402" hidden="1" customWidth="1"/>
    <col min="10249" max="10249" width="2" style="402" customWidth="1"/>
    <col min="10250" max="10250" width="31.5" style="402" customWidth="1"/>
    <col min="10251" max="10251" width="8" style="402" customWidth="1"/>
    <col min="10252" max="10252" width="8.33203125" style="402" customWidth="1"/>
    <col min="10253" max="10253" width="8" style="402" customWidth="1"/>
    <col min="10254" max="10254" width="7.33203125" style="402" customWidth="1"/>
    <col min="10255" max="10255" width="7.1640625" style="402" customWidth="1"/>
    <col min="10256" max="10256" width="8.33203125" style="402" customWidth="1"/>
    <col min="10257" max="10257" width="6.6640625" style="402" customWidth="1"/>
    <col min="10258" max="10258" width="7" style="402" customWidth="1"/>
    <col min="10259" max="10496" width="8.83203125" style="402"/>
    <col min="10497" max="10504" width="0" style="402" hidden="1" customWidth="1"/>
    <col min="10505" max="10505" width="2" style="402" customWidth="1"/>
    <col min="10506" max="10506" width="31.5" style="402" customWidth="1"/>
    <col min="10507" max="10507" width="8" style="402" customWidth="1"/>
    <col min="10508" max="10508" width="8.33203125" style="402" customWidth="1"/>
    <col min="10509" max="10509" width="8" style="402" customWidth="1"/>
    <col min="10510" max="10510" width="7.33203125" style="402" customWidth="1"/>
    <col min="10511" max="10511" width="7.1640625" style="402" customWidth="1"/>
    <col min="10512" max="10512" width="8.33203125" style="402" customWidth="1"/>
    <col min="10513" max="10513" width="6.6640625" style="402" customWidth="1"/>
    <col min="10514" max="10514" width="7" style="402" customWidth="1"/>
    <col min="10515" max="10752" width="8.83203125" style="402"/>
    <col min="10753" max="10760" width="0" style="402" hidden="1" customWidth="1"/>
    <col min="10761" max="10761" width="2" style="402" customWidth="1"/>
    <col min="10762" max="10762" width="31.5" style="402" customWidth="1"/>
    <col min="10763" max="10763" width="8" style="402" customWidth="1"/>
    <col min="10764" max="10764" width="8.33203125" style="402" customWidth="1"/>
    <col min="10765" max="10765" width="8" style="402" customWidth="1"/>
    <col min="10766" max="10766" width="7.33203125" style="402" customWidth="1"/>
    <col min="10767" max="10767" width="7.1640625" style="402" customWidth="1"/>
    <col min="10768" max="10768" width="8.33203125" style="402" customWidth="1"/>
    <col min="10769" max="10769" width="6.6640625" style="402" customWidth="1"/>
    <col min="10770" max="10770" width="7" style="402" customWidth="1"/>
    <col min="10771" max="11008" width="8.83203125" style="402"/>
    <col min="11009" max="11016" width="0" style="402" hidden="1" customWidth="1"/>
    <col min="11017" max="11017" width="2" style="402" customWidth="1"/>
    <col min="11018" max="11018" width="31.5" style="402" customWidth="1"/>
    <col min="11019" max="11019" width="8" style="402" customWidth="1"/>
    <col min="11020" max="11020" width="8.33203125" style="402" customWidth="1"/>
    <col min="11021" max="11021" width="8" style="402" customWidth="1"/>
    <col min="11022" max="11022" width="7.33203125" style="402" customWidth="1"/>
    <col min="11023" max="11023" width="7.1640625" style="402" customWidth="1"/>
    <col min="11024" max="11024" width="8.33203125" style="402" customWidth="1"/>
    <col min="11025" max="11025" width="6.6640625" style="402" customWidth="1"/>
    <col min="11026" max="11026" width="7" style="402" customWidth="1"/>
    <col min="11027" max="11264" width="8.83203125" style="402"/>
    <col min="11265" max="11272" width="0" style="402" hidden="1" customWidth="1"/>
    <col min="11273" max="11273" width="2" style="402" customWidth="1"/>
    <col min="11274" max="11274" width="31.5" style="402" customWidth="1"/>
    <col min="11275" max="11275" width="8" style="402" customWidth="1"/>
    <col min="11276" max="11276" width="8.33203125" style="402" customWidth="1"/>
    <col min="11277" max="11277" width="8" style="402" customWidth="1"/>
    <col min="11278" max="11278" width="7.33203125" style="402" customWidth="1"/>
    <col min="11279" max="11279" width="7.1640625" style="402" customWidth="1"/>
    <col min="11280" max="11280" width="8.33203125" style="402" customWidth="1"/>
    <col min="11281" max="11281" width="6.6640625" style="402" customWidth="1"/>
    <col min="11282" max="11282" width="7" style="402" customWidth="1"/>
    <col min="11283" max="11520" width="8.83203125" style="402"/>
    <col min="11521" max="11528" width="0" style="402" hidden="1" customWidth="1"/>
    <col min="11529" max="11529" width="2" style="402" customWidth="1"/>
    <col min="11530" max="11530" width="31.5" style="402" customWidth="1"/>
    <col min="11531" max="11531" width="8" style="402" customWidth="1"/>
    <col min="11532" max="11532" width="8.33203125" style="402" customWidth="1"/>
    <col min="11533" max="11533" width="8" style="402" customWidth="1"/>
    <col min="11534" max="11534" width="7.33203125" style="402" customWidth="1"/>
    <col min="11535" max="11535" width="7.1640625" style="402" customWidth="1"/>
    <col min="11536" max="11536" width="8.33203125" style="402" customWidth="1"/>
    <col min="11537" max="11537" width="6.6640625" style="402" customWidth="1"/>
    <col min="11538" max="11538" width="7" style="402" customWidth="1"/>
    <col min="11539" max="11776" width="8.83203125" style="402"/>
    <col min="11777" max="11784" width="0" style="402" hidden="1" customWidth="1"/>
    <col min="11785" max="11785" width="2" style="402" customWidth="1"/>
    <col min="11786" max="11786" width="31.5" style="402" customWidth="1"/>
    <col min="11787" max="11787" width="8" style="402" customWidth="1"/>
    <col min="11788" max="11788" width="8.33203125" style="402" customWidth="1"/>
    <col min="11789" max="11789" width="8" style="402" customWidth="1"/>
    <col min="11790" max="11790" width="7.33203125" style="402" customWidth="1"/>
    <col min="11791" max="11791" width="7.1640625" style="402" customWidth="1"/>
    <col min="11792" max="11792" width="8.33203125" style="402" customWidth="1"/>
    <col min="11793" max="11793" width="6.6640625" style="402" customWidth="1"/>
    <col min="11794" max="11794" width="7" style="402" customWidth="1"/>
    <col min="11795" max="12032" width="8.83203125" style="402"/>
    <col min="12033" max="12040" width="0" style="402" hidden="1" customWidth="1"/>
    <col min="12041" max="12041" width="2" style="402" customWidth="1"/>
    <col min="12042" max="12042" width="31.5" style="402" customWidth="1"/>
    <col min="12043" max="12043" width="8" style="402" customWidth="1"/>
    <col min="12044" max="12044" width="8.33203125" style="402" customWidth="1"/>
    <col min="12045" max="12045" width="8" style="402" customWidth="1"/>
    <col min="12046" max="12046" width="7.33203125" style="402" customWidth="1"/>
    <col min="12047" max="12047" width="7.1640625" style="402" customWidth="1"/>
    <col min="12048" max="12048" width="8.33203125" style="402" customWidth="1"/>
    <col min="12049" max="12049" width="6.6640625" style="402" customWidth="1"/>
    <col min="12050" max="12050" width="7" style="402" customWidth="1"/>
    <col min="12051" max="12288" width="8.83203125" style="402"/>
    <col min="12289" max="12296" width="0" style="402" hidden="1" customWidth="1"/>
    <col min="12297" max="12297" width="2" style="402" customWidth="1"/>
    <col min="12298" max="12298" width="31.5" style="402" customWidth="1"/>
    <col min="12299" max="12299" width="8" style="402" customWidth="1"/>
    <col min="12300" max="12300" width="8.33203125" style="402" customWidth="1"/>
    <col min="12301" max="12301" width="8" style="402" customWidth="1"/>
    <col min="12302" max="12302" width="7.33203125" style="402" customWidth="1"/>
    <col min="12303" max="12303" width="7.1640625" style="402" customWidth="1"/>
    <col min="12304" max="12304" width="8.33203125" style="402" customWidth="1"/>
    <col min="12305" max="12305" width="6.6640625" style="402" customWidth="1"/>
    <col min="12306" max="12306" width="7" style="402" customWidth="1"/>
    <col min="12307" max="12544" width="8.83203125" style="402"/>
    <col min="12545" max="12552" width="0" style="402" hidden="1" customWidth="1"/>
    <col min="12553" max="12553" width="2" style="402" customWidth="1"/>
    <col min="12554" max="12554" width="31.5" style="402" customWidth="1"/>
    <col min="12555" max="12555" width="8" style="402" customWidth="1"/>
    <col min="12556" max="12556" width="8.33203125" style="402" customWidth="1"/>
    <col min="12557" max="12557" width="8" style="402" customWidth="1"/>
    <col min="12558" max="12558" width="7.33203125" style="402" customWidth="1"/>
    <col min="12559" max="12559" width="7.1640625" style="402" customWidth="1"/>
    <col min="12560" max="12560" width="8.33203125" style="402" customWidth="1"/>
    <col min="12561" max="12561" width="6.6640625" style="402" customWidth="1"/>
    <col min="12562" max="12562" width="7" style="402" customWidth="1"/>
    <col min="12563" max="12800" width="8.83203125" style="402"/>
    <col min="12801" max="12808" width="0" style="402" hidden="1" customWidth="1"/>
    <col min="12809" max="12809" width="2" style="402" customWidth="1"/>
    <col min="12810" max="12810" width="31.5" style="402" customWidth="1"/>
    <col min="12811" max="12811" width="8" style="402" customWidth="1"/>
    <col min="12812" max="12812" width="8.33203125" style="402" customWidth="1"/>
    <col min="12813" max="12813" width="8" style="402" customWidth="1"/>
    <col min="12814" max="12814" width="7.33203125" style="402" customWidth="1"/>
    <col min="12815" max="12815" width="7.1640625" style="402" customWidth="1"/>
    <col min="12816" max="12816" width="8.33203125" style="402" customWidth="1"/>
    <col min="12817" max="12817" width="6.6640625" style="402" customWidth="1"/>
    <col min="12818" max="12818" width="7" style="402" customWidth="1"/>
    <col min="12819" max="13056" width="8.83203125" style="402"/>
    <col min="13057" max="13064" width="0" style="402" hidden="1" customWidth="1"/>
    <col min="13065" max="13065" width="2" style="402" customWidth="1"/>
    <col min="13066" max="13066" width="31.5" style="402" customWidth="1"/>
    <col min="13067" max="13067" width="8" style="402" customWidth="1"/>
    <col min="13068" max="13068" width="8.33203125" style="402" customWidth="1"/>
    <col min="13069" max="13069" width="8" style="402" customWidth="1"/>
    <col min="13070" max="13070" width="7.33203125" style="402" customWidth="1"/>
    <col min="13071" max="13071" width="7.1640625" style="402" customWidth="1"/>
    <col min="13072" max="13072" width="8.33203125" style="402" customWidth="1"/>
    <col min="13073" max="13073" width="6.6640625" style="402" customWidth="1"/>
    <col min="13074" max="13074" width="7" style="402" customWidth="1"/>
    <col min="13075" max="13312" width="8.83203125" style="402"/>
    <col min="13313" max="13320" width="0" style="402" hidden="1" customWidth="1"/>
    <col min="13321" max="13321" width="2" style="402" customWidth="1"/>
    <col min="13322" max="13322" width="31.5" style="402" customWidth="1"/>
    <col min="13323" max="13323" width="8" style="402" customWidth="1"/>
    <col min="13324" max="13324" width="8.33203125" style="402" customWidth="1"/>
    <col min="13325" max="13325" width="8" style="402" customWidth="1"/>
    <col min="13326" max="13326" width="7.33203125" style="402" customWidth="1"/>
    <col min="13327" max="13327" width="7.1640625" style="402" customWidth="1"/>
    <col min="13328" max="13328" width="8.33203125" style="402" customWidth="1"/>
    <col min="13329" max="13329" width="6.6640625" style="402" customWidth="1"/>
    <col min="13330" max="13330" width="7" style="402" customWidth="1"/>
    <col min="13331" max="13568" width="8.83203125" style="402"/>
    <col min="13569" max="13576" width="0" style="402" hidden="1" customWidth="1"/>
    <col min="13577" max="13577" width="2" style="402" customWidth="1"/>
    <col min="13578" max="13578" width="31.5" style="402" customWidth="1"/>
    <col min="13579" max="13579" width="8" style="402" customWidth="1"/>
    <col min="13580" max="13580" width="8.33203125" style="402" customWidth="1"/>
    <col min="13581" max="13581" width="8" style="402" customWidth="1"/>
    <col min="13582" max="13582" width="7.33203125" style="402" customWidth="1"/>
    <col min="13583" max="13583" width="7.1640625" style="402" customWidth="1"/>
    <col min="13584" max="13584" width="8.33203125" style="402" customWidth="1"/>
    <col min="13585" max="13585" width="6.6640625" style="402" customWidth="1"/>
    <col min="13586" max="13586" width="7" style="402" customWidth="1"/>
    <col min="13587" max="13824" width="8.83203125" style="402"/>
    <col min="13825" max="13832" width="0" style="402" hidden="1" customWidth="1"/>
    <col min="13833" max="13833" width="2" style="402" customWidth="1"/>
    <col min="13834" max="13834" width="31.5" style="402" customWidth="1"/>
    <col min="13835" max="13835" width="8" style="402" customWidth="1"/>
    <col min="13836" max="13836" width="8.33203125" style="402" customWidth="1"/>
    <col min="13837" max="13837" width="8" style="402" customWidth="1"/>
    <col min="13838" max="13838" width="7.33203125" style="402" customWidth="1"/>
    <col min="13839" max="13839" width="7.1640625" style="402" customWidth="1"/>
    <col min="13840" max="13840" width="8.33203125" style="402" customWidth="1"/>
    <col min="13841" max="13841" width="6.6640625" style="402" customWidth="1"/>
    <col min="13842" max="13842" width="7" style="402" customWidth="1"/>
    <col min="13843" max="14080" width="8.83203125" style="402"/>
    <col min="14081" max="14088" width="0" style="402" hidden="1" customWidth="1"/>
    <col min="14089" max="14089" width="2" style="402" customWidth="1"/>
    <col min="14090" max="14090" width="31.5" style="402" customWidth="1"/>
    <col min="14091" max="14091" width="8" style="402" customWidth="1"/>
    <col min="14092" max="14092" width="8.33203125" style="402" customWidth="1"/>
    <col min="14093" max="14093" width="8" style="402" customWidth="1"/>
    <col min="14094" max="14094" width="7.33203125" style="402" customWidth="1"/>
    <col min="14095" max="14095" width="7.1640625" style="402" customWidth="1"/>
    <col min="14096" max="14096" width="8.33203125" style="402" customWidth="1"/>
    <col min="14097" max="14097" width="6.6640625" style="402" customWidth="1"/>
    <col min="14098" max="14098" width="7" style="402" customWidth="1"/>
    <col min="14099" max="14336" width="8.83203125" style="402"/>
    <col min="14337" max="14344" width="0" style="402" hidden="1" customWidth="1"/>
    <col min="14345" max="14345" width="2" style="402" customWidth="1"/>
    <col min="14346" max="14346" width="31.5" style="402" customWidth="1"/>
    <col min="14347" max="14347" width="8" style="402" customWidth="1"/>
    <col min="14348" max="14348" width="8.33203125" style="402" customWidth="1"/>
    <col min="14349" max="14349" width="8" style="402" customWidth="1"/>
    <col min="14350" max="14350" width="7.33203125" style="402" customWidth="1"/>
    <col min="14351" max="14351" width="7.1640625" style="402" customWidth="1"/>
    <col min="14352" max="14352" width="8.33203125" style="402" customWidth="1"/>
    <col min="14353" max="14353" width="6.6640625" style="402" customWidth="1"/>
    <col min="14354" max="14354" width="7" style="402" customWidth="1"/>
    <col min="14355" max="14592" width="8.83203125" style="402"/>
    <col min="14593" max="14600" width="0" style="402" hidden="1" customWidth="1"/>
    <col min="14601" max="14601" width="2" style="402" customWidth="1"/>
    <col min="14602" max="14602" width="31.5" style="402" customWidth="1"/>
    <col min="14603" max="14603" width="8" style="402" customWidth="1"/>
    <col min="14604" max="14604" width="8.33203125" style="402" customWidth="1"/>
    <col min="14605" max="14605" width="8" style="402" customWidth="1"/>
    <col min="14606" max="14606" width="7.33203125" style="402" customWidth="1"/>
    <col min="14607" max="14607" width="7.1640625" style="402" customWidth="1"/>
    <col min="14608" max="14608" width="8.33203125" style="402" customWidth="1"/>
    <col min="14609" max="14609" width="6.6640625" style="402" customWidth="1"/>
    <col min="14610" max="14610" width="7" style="402" customWidth="1"/>
    <col min="14611" max="14848" width="8.83203125" style="402"/>
    <col min="14849" max="14856" width="0" style="402" hidden="1" customWidth="1"/>
    <col min="14857" max="14857" width="2" style="402" customWidth="1"/>
    <col min="14858" max="14858" width="31.5" style="402" customWidth="1"/>
    <col min="14859" max="14859" width="8" style="402" customWidth="1"/>
    <col min="14860" max="14860" width="8.33203125" style="402" customWidth="1"/>
    <col min="14861" max="14861" width="8" style="402" customWidth="1"/>
    <col min="14862" max="14862" width="7.33203125" style="402" customWidth="1"/>
    <col min="14863" max="14863" width="7.1640625" style="402" customWidth="1"/>
    <col min="14864" max="14864" width="8.33203125" style="402" customWidth="1"/>
    <col min="14865" max="14865" width="6.6640625" style="402" customWidth="1"/>
    <col min="14866" max="14866" width="7" style="402" customWidth="1"/>
    <col min="14867" max="15104" width="8.83203125" style="402"/>
    <col min="15105" max="15112" width="0" style="402" hidden="1" customWidth="1"/>
    <col min="15113" max="15113" width="2" style="402" customWidth="1"/>
    <col min="15114" max="15114" width="31.5" style="402" customWidth="1"/>
    <col min="15115" max="15115" width="8" style="402" customWidth="1"/>
    <col min="15116" max="15116" width="8.33203125" style="402" customWidth="1"/>
    <col min="15117" max="15117" width="8" style="402" customWidth="1"/>
    <col min="15118" max="15118" width="7.33203125" style="402" customWidth="1"/>
    <col min="15119" max="15119" width="7.1640625" style="402" customWidth="1"/>
    <col min="15120" max="15120" width="8.33203125" style="402" customWidth="1"/>
    <col min="15121" max="15121" width="6.6640625" style="402" customWidth="1"/>
    <col min="15122" max="15122" width="7" style="402" customWidth="1"/>
    <col min="15123" max="15360" width="8.83203125" style="402"/>
    <col min="15361" max="15368" width="0" style="402" hidden="1" customWidth="1"/>
    <col min="15369" max="15369" width="2" style="402" customWidth="1"/>
    <col min="15370" max="15370" width="31.5" style="402" customWidth="1"/>
    <col min="15371" max="15371" width="8" style="402" customWidth="1"/>
    <col min="15372" max="15372" width="8.33203125" style="402" customWidth="1"/>
    <col min="15373" max="15373" width="8" style="402" customWidth="1"/>
    <col min="15374" max="15374" width="7.33203125" style="402" customWidth="1"/>
    <col min="15375" max="15375" width="7.1640625" style="402" customWidth="1"/>
    <col min="15376" max="15376" width="8.33203125" style="402" customWidth="1"/>
    <col min="15377" max="15377" width="6.6640625" style="402" customWidth="1"/>
    <col min="15378" max="15378" width="7" style="402" customWidth="1"/>
    <col min="15379" max="15616" width="8.83203125" style="402"/>
    <col min="15617" max="15624" width="0" style="402" hidden="1" customWidth="1"/>
    <col min="15625" max="15625" width="2" style="402" customWidth="1"/>
    <col min="15626" max="15626" width="31.5" style="402" customWidth="1"/>
    <col min="15627" max="15627" width="8" style="402" customWidth="1"/>
    <col min="15628" max="15628" width="8.33203125" style="402" customWidth="1"/>
    <col min="15629" max="15629" width="8" style="402" customWidth="1"/>
    <col min="15630" max="15630" width="7.33203125" style="402" customWidth="1"/>
    <col min="15631" max="15631" width="7.1640625" style="402" customWidth="1"/>
    <col min="15632" max="15632" width="8.33203125" style="402" customWidth="1"/>
    <col min="15633" max="15633" width="6.6640625" style="402" customWidth="1"/>
    <col min="15634" max="15634" width="7" style="402" customWidth="1"/>
    <col min="15635" max="15872" width="8.83203125" style="402"/>
    <col min="15873" max="15880" width="0" style="402" hidden="1" customWidth="1"/>
    <col min="15881" max="15881" width="2" style="402" customWidth="1"/>
    <col min="15882" max="15882" width="31.5" style="402" customWidth="1"/>
    <col min="15883" max="15883" width="8" style="402" customWidth="1"/>
    <col min="15884" max="15884" width="8.33203125" style="402" customWidth="1"/>
    <col min="15885" max="15885" width="8" style="402" customWidth="1"/>
    <col min="15886" max="15886" width="7.33203125" style="402" customWidth="1"/>
    <col min="15887" max="15887" width="7.1640625" style="402" customWidth="1"/>
    <col min="15888" max="15888" width="8.33203125" style="402" customWidth="1"/>
    <col min="15889" max="15889" width="6.6640625" style="402" customWidth="1"/>
    <col min="15890" max="15890" width="7" style="402" customWidth="1"/>
    <col min="15891" max="16128" width="8.83203125" style="402"/>
    <col min="16129" max="16136" width="0" style="402" hidden="1" customWidth="1"/>
    <col min="16137" max="16137" width="2" style="402" customWidth="1"/>
    <col min="16138" max="16138" width="31.5" style="402" customWidth="1"/>
    <col min="16139" max="16139" width="8" style="402" customWidth="1"/>
    <col min="16140" max="16140" width="8.33203125" style="402" customWidth="1"/>
    <col min="16141" max="16141" width="8" style="402" customWidth="1"/>
    <col min="16142" max="16142" width="7.33203125" style="402" customWidth="1"/>
    <col min="16143" max="16143" width="7.1640625" style="402" customWidth="1"/>
    <col min="16144" max="16144" width="8.33203125" style="402" customWidth="1"/>
    <col min="16145" max="16145" width="6.6640625" style="402" customWidth="1"/>
    <col min="16146" max="16146" width="7" style="402" customWidth="1"/>
    <col min="16147" max="16384" width="8.83203125" style="402"/>
  </cols>
  <sheetData>
    <row r="1" spans="2:18" ht="20">
      <c r="B1" s="472"/>
      <c r="C1" s="472"/>
      <c r="D1" s="472"/>
    </row>
    <row r="3" spans="2:18">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4" thickBot="1"/>
    <row r="22" spans="10:19" ht="15" thickTop="1" thickBot="1">
      <c r="K22" s="635" t="s">
        <v>127</v>
      </c>
      <c r="L22" s="636"/>
      <c r="M22" s="636"/>
      <c r="N22" s="636"/>
      <c r="O22" s="636"/>
      <c r="P22" s="636"/>
      <c r="Q22" s="636"/>
      <c r="R22" s="637"/>
    </row>
    <row r="23" spans="10:19" ht="15" thickTop="1" thickBot="1">
      <c r="K23" s="476">
        <v>7.1999999999999995E-2</v>
      </c>
      <c r="L23" s="476">
        <v>0.13500000000000001</v>
      </c>
      <c r="M23" s="476">
        <v>0.185</v>
      </c>
      <c r="N23" s="476">
        <v>0.34499999999999997</v>
      </c>
      <c r="O23" s="476">
        <v>0.47</v>
      </c>
      <c r="P23" s="476">
        <v>0.879</v>
      </c>
      <c r="Q23" s="476">
        <v>1</v>
      </c>
      <c r="R23" s="476">
        <v>1.5</v>
      </c>
    </row>
    <row r="24" spans="10:19" ht="15" thickTop="1" thickBot="1">
      <c r="K24" s="477">
        <v>200</v>
      </c>
      <c r="L24" s="477">
        <v>50</v>
      </c>
      <c r="M24" s="477">
        <v>30</v>
      </c>
      <c r="N24" s="477">
        <v>8</v>
      </c>
      <c r="O24" s="477">
        <v>4</v>
      </c>
      <c r="P24" s="477">
        <v>0.75</v>
      </c>
      <c r="Q24" s="477">
        <v>1</v>
      </c>
      <c r="R24" s="477">
        <v>1.5</v>
      </c>
    </row>
    <row r="25" spans="10:19" ht="14" thickTop="1">
      <c r="K25" s="402" t="s">
        <v>128</v>
      </c>
    </row>
    <row r="27" spans="10:19" ht="14" thickBot="1">
      <c r="M27" s="638" t="s">
        <v>129</v>
      </c>
      <c r="N27" s="638"/>
    </row>
    <row r="28" spans="10:19" ht="14" thickBot="1">
      <c r="J28" s="478" t="s">
        <v>130</v>
      </c>
      <c r="K28" s="479" t="s">
        <v>131</v>
      </c>
      <c r="L28" s="480" t="s">
        <v>132</v>
      </c>
      <c r="M28" s="481" t="s">
        <v>133</v>
      </c>
      <c r="N28" s="482" t="s">
        <v>134</v>
      </c>
      <c r="O28" s="482" t="s">
        <v>135</v>
      </c>
      <c r="P28" s="482" t="s">
        <v>136</v>
      </c>
      <c r="Q28" s="482" t="s">
        <v>137</v>
      </c>
      <c r="R28" s="483" t="s">
        <v>138</v>
      </c>
    </row>
    <row r="29" spans="10:19" ht="25.5" customHeight="1" thickBot="1">
      <c r="J29" s="484" t="s">
        <v>139</v>
      </c>
      <c r="K29" s="485">
        <v>3</v>
      </c>
      <c r="L29" s="486">
        <v>12</v>
      </c>
      <c r="M29" s="485">
        <v>30</v>
      </c>
      <c r="N29" s="487">
        <v>50</v>
      </c>
      <c r="O29" s="485">
        <v>70</v>
      </c>
      <c r="P29" s="485">
        <v>98</v>
      </c>
      <c r="Q29" s="485">
        <v>100</v>
      </c>
      <c r="R29" s="485">
        <v>100</v>
      </c>
      <c r="S29" s="402">
        <v>100</v>
      </c>
    </row>
    <row r="30" spans="10:19" ht="29" thickBot="1">
      <c r="J30" s="488" t="s">
        <v>140</v>
      </c>
      <c r="K30" s="489">
        <v>0</v>
      </c>
      <c r="L30" s="490">
        <v>2</v>
      </c>
      <c r="M30" s="489">
        <v>2</v>
      </c>
      <c r="N30" s="418">
        <v>2</v>
      </c>
      <c r="O30" s="489">
        <v>6</v>
      </c>
      <c r="P30" s="489">
        <v>64</v>
      </c>
      <c r="Q30" s="489">
        <v>84</v>
      </c>
      <c r="R30" s="489">
        <v>100</v>
      </c>
      <c r="S30" s="402">
        <v>100</v>
      </c>
    </row>
    <row r="31" spans="10:19" ht="14" thickBot="1">
      <c r="J31" s="491" t="s">
        <v>141</v>
      </c>
      <c r="K31" s="492">
        <f>TAG!L40</f>
        <v>0</v>
      </c>
      <c r="L31" s="493">
        <f>TAG!K40</f>
        <v>0</v>
      </c>
      <c r="M31" s="494">
        <f>TAG!J40</f>
        <v>0</v>
      </c>
      <c r="N31" s="495">
        <f>TAG!I40</f>
        <v>0</v>
      </c>
      <c r="O31" s="496">
        <f>TAG!H40</f>
        <v>0</v>
      </c>
      <c r="P31" s="496">
        <f>TAG!G40</f>
        <v>0</v>
      </c>
      <c r="Q31" s="496">
        <f>TAG!F40</f>
        <v>0</v>
      </c>
      <c r="R31" s="497">
        <f>TAG!E40</f>
        <v>0</v>
      </c>
    </row>
    <row r="34" spans="10:16" ht="20">
      <c r="J34" s="498"/>
      <c r="K34" s="499"/>
    </row>
    <row r="35" spans="10:16" ht="20">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baseColWidth="10" defaultColWidth="8.83203125" defaultRowHeight="13"/>
  <cols>
    <col min="1" max="2" width="8.83203125" style="402"/>
    <col min="3" max="3" width="33.83203125" style="402" customWidth="1"/>
    <col min="4" max="4" width="14.83203125" style="402" customWidth="1"/>
    <col min="5" max="6" width="12.33203125" style="402" customWidth="1"/>
    <col min="7" max="7" width="10.5" style="402" customWidth="1"/>
    <col min="8" max="12" width="10.33203125" style="402" customWidth="1"/>
    <col min="13" max="13" width="9.83203125" style="402" bestFit="1" customWidth="1"/>
    <col min="14" max="258" width="8.83203125" style="402"/>
    <col min="259" max="259" width="33.83203125" style="402" customWidth="1"/>
    <col min="260" max="260" width="14.83203125" style="402" customWidth="1"/>
    <col min="261" max="262" width="12.33203125" style="402" customWidth="1"/>
    <col min="263" max="263" width="10.5" style="402" customWidth="1"/>
    <col min="264" max="268" width="10.33203125" style="402" customWidth="1"/>
    <col min="269" max="269" width="9.83203125" style="402" bestFit="1" customWidth="1"/>
    <col min="270" max="514" width="8.83203125" style="402"/>
    <col min="515" max="515" width="33.83203125" style="402" customWidth="1"/>
    <col min="516" max="516" width="14.83203125" style="402" customWidth="1"/>
    <col min="517" max="518" width="12.33203125" style="402" customWidth="1"/>
    <col min="519" max="519" width="10.5" style="402" customWidth="1"/>
    <col min="520" max="524" width="10.33203125" style="402" customWidth="1"/>
    <col min="525" max="525" width="9.83203125" style="402" bestFit="1" customWidth="1"/>
    <col min="526" max="770" width="8.83203125" style="402"/>
    <col min="771" max="771" width="33.83203125" style="402" customWidth="1"/>
    <col min="772" max="772" width="14.83203125" style="402" customWidth="1"/>
    <col min="773" max="774" width="12.33203125" style="402" customWidth="1"/>
    <col min="775" max="775" width="10.5" style="402" customWidth="1"/>
    <col min="776" max="780" width="10.33203125" style="402" customWidth="1"/>
    <col min="781" max="781" width="9.83203125" style="402" bestFit="1" customWidth="1"/>
    <col min="782" max="1026" width="8.83203125" style="402"/>
    <col min="1027" max="1027" width="33.83203125" style="402" customWidth="1"/>
    <col min="1028" max="1028" width="14.83203125" style="402" customWidth="1"/>
    <col min="1029" max="1030" width="12.33203125" style="402" customWidth="1"/>
    <col min="1031" max="1031" width="10.5" style="402" customWidth="1"/>
    <col min="1032" max="1036" width="10.33203125" style="402" customWidth="1"/>
    <col min="1037" max="1037" width="9.83203125" style="402" bestFit="1" customWidth="1"/>
    <col min="1038" max="1282" width="8.83203125" style="402"/>
    <col min="1283" max="1283" width="33.83203125" style="402" customWidth="1"/>
    <col min="1284" max="1284" width="14.83203125" style="402" customWidth="1"/>
    <col min="1285" max="1286" width="12.33203125" style="402" customWidth="1"/>
    <col min="1287" max="1287" width="10.5" style="402" customWidth="1"/>
    <col min="1288" max="1292" width="10.33203125" style="402" customWidth="1"/>
    <col min="1293" max="1293" width="9.83203125" style="402" bestFit="1" customWidth="1"/>
    <col min="1294" max="1538" width="8.83203125" style="402"/>
    <col min="1539" max="1539" width="33.83203125" style="402" customWidth="1"/>
    <col min="1540" max="1540" width="14.83203125" style="402" customWidth="1"/>
    <col min="1541" max="1542" width="12.33203125" style="402" customWidth="1"/>
    <col min="1543" max="1543" width="10.5" style="402" customWidth="1"/>
    <col min="1544" max="1548" width="10.33203125" style="402" customWidth="1"/>
    <col min="1549" max="1549" width="9.83203125" style="402" bestFit="1" customWidth="1"/>
    <col min="1550" max="1794" width="8.83203125" style="402"/>
    <col min="1795" max="1795" width="33.83203125" style="402" customWidth="1"/>
    <col min="1796" max="1796" width="14.83203125" style="402" customWidth="1"/>
    <col min="1797" max="1798" width="12.33203125" style="402" customWidth="1"/>
    <col min="1799" max="1799" width="10.5" style="402" customWidth="1"/>
    <col min="1800" max="1804" width="10.33203125" style="402" customWidth="1"/>
    <col min="1805" max="1805" width="9.83203125" style="402" bestFit="1" customWidth="1"/>
    <col min="1806" max="2050" width="8.83203125" style="402"/>
    <col min="2051" max="2051" width="33.83203125" style="402" customWidth="1"/>
    <col min="2052" max="2052" width="14.83203125" style="402" customWidth="1"/>
    <col min="2053" max="2054" width="12.33203125" style="402" customWidth="1"/>
    <col min="2055" max="2055" width="10.5" style="402" customWidth="1"/>
    <col min="2056" max="2060" width="10.33203125" style="402" customWidth="1"/>
    <col min="2061" max="2061" width="9.83203125" style="402" bestFit="1" customWidth="1"/>
    <col min="2062" max="2306" width="8.83203125" style="402"/>
    <col min="2307" max="2307" width="33.83203125" style="402" customWidth="1"/>
    <col min="2308" max="2308" width="14.83203125" style="402" customWidth="1"/>
    <col min="2309" max="2310" width="12.33203125" style="402" customWidth="1"/>
    <col min="2311" max="2311" width="10.5" style="402" customWidth="1"/>
    <col min="2312" max="2316" width="10.33203125" style="402" customWidth="1"/>
    <col min="2317" max="2317" width="9.83203125" style="402" bestFit="1" customWidth="1"/>
    <col min="2318" max="2562" width="8.83203125" style="402"/>
    <col min="2563" max="2563" width="33.83203125" style="402" customWidth="1"/>
    <col min="2564" max="2564" width="14.83203125" style="402" customWidth="1"/>
    <col min="2565" max="2566" width="12.33203125" style="402" customWidth="1"/>
    <col min="2567" max="2567" width="10.5" style="402" customWidth="1"/>
    <col min="2568" max="2572" width="10.33203125" style="402" customWidth="1"/>
    <col min="2573" max="2573" width="9.83203125" style="402" bestFit="1" customWidth="1"/>
    <col min="2574" max="2818" width="8.83203125" style="402"/>
    <col min="2819" max="2819" width="33.83203125" style="402" customWidth="1"/>
    <col min="2820" max="2820" width="14.83203125" style="402" customWidth="1"/>
    <col min="2821" max="2822" width="12.33203125" style="402" customWidth="1"/>
    <col min="2823" max="2823" width="10.5" style="402" customWidth="1"/>
    <col min="2824" max="2828" width="10.33203125" style="402" customWidth="1"/>
    <col min="2829" max="2829" width="9.83203125" style="402" bestFit="1" customWidth="1"/>
    <col min="2830" max="3074" width="8.83203125" style="402"/>
    <col min="3075" max="3075" width="33.83203125" style="402" customWidth="1"/>
    <col min="3076" max="3076" width="14.83203125" style="402" customWidth="1"/>
    <col min="3077" max="3078" width="12.33203125" style="402" customWidth="1"/>
    <col min="3079" max="3079" width="10.5" style="402" customWidth="1"/>
    <col min="3080" max="3084" width="10.33203125" style="402" customWidth="1"/>
    <col min="3085" max="3085" width="9.83203125" style="402" bestFit="1" customWidth="1"/>
    <col min="3086" max="3330" width="8.83203125" style="402"/>
    <col min="3331" max="3331" width="33.83203125" style="402" customWidth="1"/>
    <col min="3332" max="3332" width="14.83203125" style="402" customWidth="1"/>
    <col min="3333" max="3334" width="12.33203125" style="402" customWidth="1"/>
    <col min="3335" max="3335" width="10.5" style="402" customWidth="1"/>
    <col min="3336" max="3340" width="10.33203125" style="402" customWidth="1"/>
    <col min="3341" max="3341" width="9.83203125" style="402" bestFit="1" customWidth="1"/>
    <col min="3342" max="3586" width="8.83203125" style="402"/>
    <col min="3587" max="3587" width="33.83203125" style="402" customWidth="1"/>
    <col min="3588" max="3588" width="14.83203125" style="402" customWidth="1"/>
    <col min="3589" max="3590" width="12.33203125" style="402" customWidth="1"/>
    <col min="3591" max="3591" width="10.5" style="402" customWidth="1"/>
    <col min="3592" max="3596" width="10.33203125" style="402" customWidth="1"/>
    <col min="3597" max="3597" width="9.83203125" style="402" bestFit="1" customWidth="1"/>
    <col min="3598" max="3842" width="8.83203125" style="402"/>
    <col min="3843" max="3843" width="33.83203125" style="402" customWidth="1"/>
    <col min="3844" max="3844" width="14.83203125" style="402" customWidth="1"/>
    <col min="3845" max="3846" width="12.33203125" style="402" customWidth="1"/>
    <col min="3847" max="3847" width="10.5" style="402" customWidth="1"/>
    <col min="3848" max="3852" width="10.33203125" style="402" customWidth="1"/>
    <col min="3853" max="3853" width="9.83203125" style="402" bestFit="1" customWidth="1"/>
    <col min="3854" max="4098" width="8.83203125" style="402"/>
    <col min="4099" max="4099" width="33.83203125" style="402" customWidth="1"/>
    <col min="4100" max="4100" width="14.83203125" style="402" customWidth="1"/>
    <col min="4101" max="4102" width="12.33203125" style="402" customWidth="1"/>
    <col min="4103" max="4103" width="10.5" style="402" customWidth="1"/>
    <col min="4104" max="4108" width="10.33203125" style="402" customWidth="1"/>
    <col min="4109" max="4109" width="9.83203125" style="402" bestFit="1" customWidth="1"/>
    <col min="4110" max="4354" width="8.83203125" style="402"/>
    <col min="4355" max="4355" width="33.83203125" style="402" customWidth="1"/>
    <col min="4356" max="4356" width="14.83203125" style="402" customWidth="1"/>
    <col min="4357" max="4358" width="12.33203125" style="402" customWidth="1"/>
    <col min="4359" max="4359" width="10.5" style="402" customWidth="1"/>
    <col min="4360" max="4364" width="10.33203125" style="402" customWidth="1"/>
    <col min="4365" max="4365" width="9.83203125" style="402" bestFit="1" customWidth="1"/>
    <col min="4366" max="4610" width="8.83203125" style="402"/>
    <col min="4611" max="4611" width="33.83203125" style="402" customWidth="1"/>
    <col min="4612" max="4612" width="14.83203125" style="402" customWidth="1"/>
    <col min="4613" max="4614" width="12.33203125" style="402" customWidth="1"/>
    <col min="4615" max="4615" width="10.5" style="402" customWidth="1"/>
    <col min="4616" max="4620" width="10.33203125" style="402" customWidth="1"/>
    <col min="4621" max="4621" width="9.83203125" style="402" bestFit="1" customWidth="1"/>
    <col min="4622" max="4866" width="8.83203125" style="402"/>
    <col min="4867" max="4867" width="33.83203125" style="402" customWidth="1"/>
    <col min="4868" max="4868" width="14.83203125" style="402" customWidth="1"/>
    <col min="4869" max="4870" width="12.33203125" style="402" customWidth="1"/>
    <col min="4871" max="4871" width="10.5" style="402" customWidth="1"/>
    <col min="4872" max="4876" width="10.33203125" style="402" customWidth="1"/>
    <col min="4877" max="4877" width="9.83203125" style="402" bestFit="1" customWidth="1"/>
    <col min="4878" max="5122" width="8.83203125" style="402"/>
    <col min="5123" max="5123" width="33.83203125" style="402" customWidth="1"/>
    <col min="5124" max="5124" width="14.83203125" style="402" customWidth="1"/>
    <col min="5125" max="5126" width="12.33203125" style="402" customWidth="1"/>
    <col min="5127" max="5127" width="10.5" style="402" customWidth="1"/>
    <col min="5128" max="5132" width="10.33203125" style="402" customWidth="1"/>
    <col min="5133" max="5133" width="9.83203125" style="402" bestFit="1" customWidth="1"/>
    <col min="5134" max="5378" width="8.83203125" style="402"/>
    <col min="5379" max="5379" width="33.83203125" style="402" customWidth="1"/>
    <col min="5380" max="5380" width="14.83203125" style="402" customWidth="1"/>
    <col min="5381" max="5382" width="12.33203125" style="402" customWidth="1"/>
    <col min="5383" max="5383" width="10.5" style="402" customWidth="1"/>
    <col min="5384" max="5388" width="10.33203125" style="402" customWidth="1"/>
    <col min="5389" max="5389" width="9.83203125" style="402" bestFit="1" customWidth="1"/>
    <col min="5390" max="5634" width="8.83203125" style="402"/>
    <col min="5635" max="5635" width="33.83203125" style="402" customWidth="1"/>
    <col min="5636" max="5636" width="14.83203125" style="402" customWidth="1"/>
    <col min="5637" max="5638" width="12.33203125" style="402" customWidth="1"/>
    <col min="5639" max="5639" width="10.5" style="402" customWidth="1"/>
    <col min="5640" max="5644" width="10.33203125" style="402" customWidth="1"/>
    <col min="5645" max="5645" width="9.83203125" style="402" bestFit="1" customWidth="1"/>
    <col min="5646" max="5890" width="8.83203125" style="402"/>
    <col min="5891" max="5891" width="33.83203125" style="402" customWidth="1"/>
    <col min="5892" max="5892" width="14.83203125" style="402" customWidth="1"/>
    <col min="5893" max="5894" width="12.33203125" style="402" customWidth="1"/>
    <col min="5895" max="5895" width="10.5" style="402" customWidth="1"/>
    <col min="5896" max="5900" width="10.33203125" style="402" customWidth="1"/>
    <col min="5901" max="5901" width="9.83203125" style="402" bestFit="1" customWidth="1"/>
    <col min="5902" max="6146" width="8.83203125" style="402"/>
    <col min="6147" max="6147" width="33.83203125" style="402" customWidth="1"/>
    <col min="6148" max="6148" width="14.83203125" style="402" customWidth="1"/>
    <col min="6149" max="6150" width="12.33203125" style="402" customWidth="1"/>
    <col min="6151" max="6151" width="10.5" style="402" customWidth="1"/>
    <col min="6152" max="6156" width="10.33203125" style="402" customWidth="1"/>
    <col min="6157" max="6157" width="9.83203125" style="402" bestFit="1" customWidth="1"/>
    <col min="6158" max="6402" width="8.83203125" style="402"/>
    <col min="6403" max="6403" width="33.83203125" style="402" customWidth="1"/>
    <col min="6404" max="6404" width="14.83203125" style="402" customWidth="1"/>
    <col min="6405" max="6406" width="12.33203125" style="402" customWidth="1"/>
    <col min="6407" max="6407" width="10.5" style="402" customWidth="1"/>
    <col min="6408" max="6412" width="10.33203125" style="402" customWidth="1"/>
    <col min="6413" max="6413" width="9.83203125" style="402" bestFit="1" customWidth="1"/>
    <col min="6414" max="6658" width="8.83203125" style="402"/>
    <col min="6659" max="6659" width="33.83203125" style="402" customWidth="1"/>
    <col min="6660" max="6660" width="14.83203125" style="402" customWidth="1"/>
    <col min="6661" max="6662" width="12.33203125" style="402" customWidth="1"/>
    <col min="6663" max="6663" width="10.5" style="402" customWidth="1"/>
    <col min="6664" max="6668" width="10.33203125" style="402" customWidth="1"/>
    <col min="6669" max="6669" width="9.83203125" style="402" bestFit="1" customWidth="1"/>
    <col min="6670" max="6914" width="8.83203125" style="402"/>
    <col min="6915" max="6915" width="33.83203125" style="402" customWidth="1"/>
    <col min="6916" max="6916" width="14.83203125" style="402" customWidth="1"/>
    <col min="6917" max="6918" width="12.33203125" style="402" customWidth="1"/>
    <col min="6919" max="6919" width="10.5" style="402" customWidth="1"/>
    <col min="6920" max="6924" width="10.33203125" style="402" customWidth="1"/>
    <col min="6925" max="6925" width="9.83203125" style="402" bestFit="1" customWidth="1"/>
    <col min="6926" max="7170" width="8.83203125" style="402"/>
    <col min="7171" max="7171" width="33.83203125" style="402" customWidth="1"/>
    <col min="7172" max="7172" width="14.83203125" style="402" customWidth="1"/>
    <col min="7173" max="7174" width="12.33203125" style="402" customWidth="1"/>
    <col min="7175" max="7175" width="10.5" style="402" customWidth="1"/>
    <col min="7176" max="7180" width="10.33203125" style="402" customWidth="1"/>
    <col min="7181" max="7181" width="9.83203125" style="402" bestFit="1" customWidth="1"/>
    <col min="7182" max="7426" width="8.83203125" style="402"/>
    <col min="7427" max="7427" width="33.83203125" style="402" customWidth="1"/>
    <col min="7428" max="7428" width="14.83203125" style="402" customWidth="1"/>
    <col min="7429" max="7430" width="12.33203125" style="402" customWidth="1"/>
    <col min="7431" max="7431" width="10.5" style="402" customWidth="1"/>
    <col min="7432" max="7436" width="10.33203125" style="402" customWidth="1"/>
    <col min="7437" max="7437" width="9.83203125" style="402" bestFit="1" customWidth="1"/>
    <col min="7438" max="7682" width="8.83203125" style="402"/>
    <col min="7683" max="7683" width="33.83203125" style="402" customWidth="1"/>
    <col min="7684" max="7684" width="14.83203125" style="402" customWidth="1"/>
    <col min="7685" max="7686" width="12.33203125" style="402" customWidth="1"/>
    <col min="7687" max="7687" width="10.5" style="402" customWidth="1"/>
    <col min="7688" max="7692" width="10.33203125" style="402" customWidth="1"/>
    <col min="7693" max="7693" width="9.83203125" style="402" bestFit="1" customWidth="1"/>
    <col min="7694" max="7938" width="8.83203125" style="402"/>
    <col min="7939" max="7939" width="33.83203125" style="402" customWidth="1"/>
    <col min="7940" max="7940" width="14.83203125" style="402" customWidth="1"/>
    <col min="7941" max="7942" width="12.33203125" style="402" customWidth="1"/>
    <col min="7943" max="7943" width="10.5" style="402" customWidth="1"/>
    <col min="7944" max="7948" width="10.33203125" style="402" customWidth="1"/>
    <col min="7949" max="7949" width="9.83203125" style="402" bestFit="1" customWidth="1"/>
    <col min="7950" max="8194" width="8.83203125" style="402"/>
    <col min="8195" max="8195" width="33.83203125" style="402" customWidth="1"/>
    <col min="8196" max="8196" width="14.83203125" style="402" customWidth="1"/>
    <col min="8197" max="8198" width="12.33203125" style="402" customWidth="1"/>
    <col min="8199" max="8199" width="10.5" style="402" customWidth="1"/>
    <col min="8200" max="8204" width="10.33203125" style="402" customWidth="1"/>
    <col min="8205" max="8205" width="9.83203125" style="402" bestFit="1" customWidth="1"/>
    <col min="8206" max="8450" width="8.83203125" style="402"/>
    <col min="8451" max="8451" width="33.83203125" style="402" customWidth="1"/>
    <col min="8452" max="8452" width="14.83203125" style="402" customWidth="1"/>
    <col min="8453" max="8454" width="12.33203125" style="402" customWidth="1"/>
    <col min="8455" max="8455" width="10.5" style="402" customWidth="1"/>
    <col min="8456" max="8460" width="10.33203125" style="402" customWidth="1"/>
    <col min="8461" max="8461" width="9.83203125" style="402" bestFit="1" customWidth="1"/>
    <col min="8462" max="8706" width="8.83203125" style="402"/>
    <col min="8707" max="8707" width="33.83203125" style="402" customWidth="1"/>
    <col min="8708" max="8708" width="14.83203125" style="402" customWidth="1"/>
    <col min="8709" max="8710" width="12.33203125" style="402" customWidth="1"/>
    <col min="8711" max="8711" width="10.5" style="402" customWidth="1"/>
    <col min="8712" max="8716" width="10.33203125" style="402" customWidth="1"/>
    <col min="8717" max="8717" width="9.83203125" style="402" bestFit="1" customWidth="1"/>
    <col min="8718" max="8962" width="8.83203125" style="402"/>
    <col min="8963" max="8963" width="33.83203125" style="402" customWidth="1"/>
    <col min="8964" max="8964" width="14.83203125" style="402" customWidth="1"/>
    <col min="8965" max="8966" width="12.33203125" style="402" customWidth="1"/>
    <col min="8967" max="8967" width="10.5" style="402" customWidth="1"/>
    <col min="8968" max="8972" width="10.33203125" style="402" customWidth="1"/>
    <col min="8973" max="8973" width="9.83203125" style="402" bestFit="1" customWidth="1"/>
    <col min="8974" max="9218" width="8.83203125" style="402"/>
    <col min="9219" max="9219" width="33.83203125" style="402" customWidth="1"/>
    <col min="9220" max="9220" width="14.83203125" style="402" customWidth="1"/>
    <col min="9221" max="9222" width="12.33203125" style="402" customWidth="1"/>
    <col min="9223" max="9223" width="10.5" style="402" customWidth="1"/>
    <col min="9224" max="9228" width="10.33203125" style="402" customWidth="1"/>
    <col min="9229" max="9229" width="9.83203125" style="402" bestFit="1" customWidth="1"/>
    <col min="9230" max="9474" width="8.83203125" style="402"/>
    <col min="9475" max="9475" width="33.83203125" style="402" customWidth="1"/>
    <col min="9476" max="9476" width="14.83203125" style="402" customWidth="1"/>
    <col min="9477" max="9478" width="12.33203125" style="402" customWidth="1"/>
    <col min="9479" max="9479" width="10.5" style="402" customWidth="1"/>
    <col min="9480" max="9484" width="10.33203125" style="402" customWidth="1"/>
    <col min="9485" max="9485" width="9.83203125" style="402" bestFit="1" customWidth="1"/>
    <col min="9486" max="9730" width="8.83203125" style="402"/>
    <col min="9731" max="9731" width="33.83203125" style="402" customWidth="1"/>
    <col min="9732" max="9732" width="14.83203125" style="402" customWidth="1"/>
    <col min="9733" max="9734" width="12.33203125" style="402" customWidth="1"/>
    <col min="9735" max="9735" width="10.5" style="402" customWidth="1"/>
    <col min="9736" max="9740" width="10.33203125" style="402" customWidth="1"/>
    <col min="9741" max="9741" width="9.83203125" style="402" bestFit="1" customWidth="1"/>
    <col min="9742" max="9986" width="8.83203125" style="402"/>
    <col min="9987" max="9987" width="33.83203125" style="402" customWidth="1"/>
    <col min="9988" max="9988" width="14.83203125" style="402" customWidth="1"/>
    <col min="9989" max="9990" width="12.33203125" style="402" customWidth="1"/>
    <col min="9991" max="9991" width="10.5" style="402" customWidth="1"/>
    <col min="9992" max="9996" width="10.33203125" style="402" customWidth="1"/>
    <col min="9997" max="9997" width="9.83203125" style="402" bestFit="1" customWidth="1"/>
    <col min="9998" max="10242" width="8.83203125" style="402"/>
    <col min="10243" max="10243" width="33.83203125" style="402" customWidth="1"/>
    <col min="10244" max="10244" width="14.83203125" style="402" customWidth="1"/>
    <col min="10245" max="10246" width="12.33203125" style="402" customWidth="1"/>
    <col min="10247" max="10247" width="10.5" style="402" customWidth="1"/>
    <col min="10248" max="10252" width="10.33203125" style="402" customWidth="1"/>
    <col min="10253" max="10253" width="9.83203125" style="402" bestFit="1" customWidth="1"/>
    <col min="10254" max="10498" width="8.83203125" style="402"/>
    <col min="10499" max="10499" width="33.83203125" style="402" customWidth="1"/>
    <col min="10500" max="10500" width="14.83203125" style="402" customWidth="1"/>
    <col min="10501" max="10502" width="12.33203125" style="402" customWidth="1"/>
    <col min="10503" max="10503" width="10.5" style="402" customWidth="1"/>
    <col min="10504" max="10508" width="10.33203125" style="402" customWidth="1"/>
    <col min="10509" max="10509" width="9.83203125" style="402" bestFit="1" customWidth="1"/>
    <col min="10510" max="10754" width="8.83203125" style="402"/>
    <col min="10755" max="10755" width="33.83203125" style="402" customWidth="1"/>
    <col min="10756" max="10756" width="14.83203125" style="402" customWidth="1"/>
    <col min="10757" max="10758" width="12.33203125" style="402" customWidth="1"/>
    <col min="10759" max="10759" width="10.5" style="402" customWidth="1"/>
    <col min="10760" max="10764" width="10.33203125" style="402" customWidth="1"/>
    <col min="10765" max="10765" width="9.83203125" style="402" bestFit="1" customWidth="1"/>
    <col min="10766" max="11010" width="8.83203125" style="402"/>
    <col min="11011" max="11011" width="33.83203125" style="402" customWidth="1"/>
    <col min="11012" max="11012" width="14.83203125" style="402" customWidth="1"/>
    <col min="11013" max="11014" width="12.33203125" style="402" customWidth="1"/>
    <col min="11015" max="11015" width="10.5" style="402" customWidth="1"/>
    <col min="11016" max="11020" width="10.33203125" style="402" customWidth="1"/>
    <col min="11021" max="11021" width="9.83203125" style="402" bestFit="1" customWidth="1"/>
    <col min="11022" max="11266" width="8.83203125" style="402"/>
    <col min="11267" max="11267" width="33.83203125" style="402" customWidth="1"/>
    <col min="11268" max="11268" width="14.83203125" style="402" customWidth="1"/>
    <col min="11269" max="11270" width="12.33203125" style="402" customWidth="1"/>
    <col min="11271" max="11271" width="10.5" style="402" customWidth="1"/>
    <col min="11272" max="11276" width="10.33203125" style="402" customWidth="1"/>
    <col min="11277" max="11277" width="9.83203125" style="402" bestFit="1" customWidth="1"/>
    <col min="11278" max="11522" width="8.83203125" style="402"/>
    <col min="11523" max="11523" width="33.83203125" style="402" customWidth="1"/>
    <col min="11524" max="11524" width="14.83203125" style="402" customWidth="1"/>
    <col min="11525" max="11526" width="12.33203125" style="402" customWidth="1"/>
    <col min="11527" max="11527" width="10.5" style="402" customWidth="1"/>
    <col min="11528" max="11532" width="10.33203125" style="402" customWidth="1"/>
    <col min="11533" max="11533" width="9.83203125" style="402" bestFit="1" customWidth="1"/>
    <col min="11534" max="11778" width="8.83203125" style="402"/>
    <col min="11779" max="11779" width="33.83203125" style="402" customWidth="1"/>
    <col min="11780" max="11780" width="14.83203125" style="402" customWidth="1"/>
    <col min="11781" max="11782" width="12.33203125" style="402" customWidth="1"/>
    <col min="11783" max="11783" width="10.5" style="402" customWidth="1"/>
    <col min="11784" max="11788" width="10.33203125" style="402" customWidth="1"/>
    <col min="11789" max="11789" width="9.83203125" style="402" bestFit="1" customWidth="1"/>
    <col min="11790" max="12034" width="8.83203125" style="402"/>
    <col min="12035" max="12035" width="33.83203125" style="402" customWidth="1"/>
    <col min="12036" max="12036" width="14.83203125" style="402" customWidth="1"/>
    <col min="12037" max="12038" width="12.33203125" style="402" customWidth="1"/>
    <col min="12039" max="12039" width="10.5" style="402" customWidth="1"/>
    <col min="12040" max="12044" width="10.33203125" style="402" customWidth="1"/>
    <col min="12045" max="12045" width="9.83203125" style="402" bestFit="1" customWidth="1"/>
    <col min="12046" max="12290" width="8.83203125" style="402"/>
    <col min="12291" max="12291" width="33.83203125" style="402" customWidth="1"/>
    <col min="12292" max="12292" width="14.83203125" style="402" customWidth="1"/>
    <col min="12293" max="12294" width="12.33203125" style="402" customWidth="1"/>
    <col min="12295" max="12295" width="10.5" style="402" customWidth="1"/>
    <col min="12296" max="12300" width="10.33203125" style="402" customWidth="1"/>
    <col min="12301" max="12301" width="9.83203125" style="402" bestFit="1" customWidth="1"/>
    <col min="12302" max="12546" width="8.83203125" style="402"/>
    <col min="12547" max="12547" width="33.83203125" style="402" customWidth="1"/>
    <col min="12548" max="12548" width="14.83203125" style="402" customWidth="1"/>
    <col min="12549" max="12550" width="12.33203125" style="402" customWidth="1"/>
    <col min="12551" max="12551" width="10.5" style="402" customWidth="1"/>
    <col min="12552" max="12556" width="10.33203125" style="402" customWidth="1"/>
    <col min="12557" max="12557" width="9.83203125" style="402" bestFit="1" customWidth="1"/>
    <col min="12558" max="12802" width="8.83203125" style="402"/>
    <col min="12803" max="12803" width="33.83203125" style="402" customWidth="1"/>
    <col min="12804" max="12804" width="14.83203125" style="402" customWidth="1"/>
    <col min="12805" max="12806" width="12.33203125" style="402" customWidth="1"/>
    <col min="12807" max="12807" width="10.5" style="402" customWidth="1"/>
    <col min="12808" max="12812" width="10.33203125" style="402" customWidth="1"/>
    <col min="12813" max="12813" width="9.83203125" style="402" bestFit="1" customWidth="1"/>
    <col min="12814" max="13058" width="8.83203125" style="402"/>
    <col min="13059" max="13059" width="33.83203125" style="402" customWidth="1"/>
    <col min="13060" max="13060" width="14.83203125" style="402" customWidth="1"/>
    <col min="13061" max="13062" width="12.33203125" style="402" customWidth="1"/>
    <col min="13063" max="13063" width="10.5" style="402" customWidth="1"/>
    <col min="13064" max="13068" width="10.33203125" style="402" customWidth="1"/>
    <col min="13069" max="13069" width="9.83203125" style="402" bestFit="1" customWidth="1"/>
    <col min="13070" max="13314" width="8.83203125" style="402"/>
    <col min="13315" max="13315" width="33.83203125" style="402" customWidth="1"/>
    <col min="13316" max="13316" width="14.83203125" style="402" customWidth="1"/>
    <col min="13317" max="13318" width="12.33203125" style="402" customWidth="1"/>
    <col min="13319" max="13319" width="10.5" style="402" customWidth="1"/>
    <col min="13320" max="13324" width="10.33203125" style="402" customWidth="1"/>
    <col min="13325" max="13325" width="9.83203125" style="402" bestFit="1" customWidth="1"/>
    <col min="13326" max="13570" width="8.83203125" style="402"/>
    <col min="13571" max="13571" width="33.83203125" style="402" customWidth="1"/>
    <col min="13572" max="13572" width="14.83203125" style="402" customWidth="1"/>
    <col min="13573" max="13574" width="12.33203125" style="402" customWidth="1"/>
    <col min="13575" max="13575" width="10.5" style="402" customWidth="1"/>
    <col min="13576" max="13580" width="10.33203125" style="402" customWidth="1"/>
    <col min="13581" max="13581" width="9.83203125" style="402" bestFit="1" customWidth="1"/>
    <col min="13582" max="13826" width="8.83203125" style="402"/>
    <col min="13827" max="13827" width="33.83203125" style="402" customWidth="1"/>
    <col min="13828" max="13828" width="14.83203125" style="402" customWidth="1"/>
    <col min="13829" max="13830" width="12.33203125" style="402" customWidth="1"/>
    <col min="13831" max="13831" width="10.5" style="402" customWidth="1"/>
    <col min="13832" max="13836" width="10.33203125" style="402" customWidth="1"/>
    <col min="13837" max="13837" width="9.83203125" style="402" bestFit="1" customWidth="1"/>
    <col min="13838" max="14082" width="8.83203125" style="402"/>
    <col min="14083" max="14083" width="33.83203125" style="402" customWidth="1"/>
    <col min="14084" max="14084" width="14.83203125" style="402" customWidth="1"/>
    <col min="14085" max="14086" width="12.33203125" style="402" customWidth="1"/>
    <col min="14087" max="14087" width="10.5" style="402" customWidth="1"/>
    <col min="14088" max="14092" width="10.33203125" style="402" customWidth="1"/>
    <col min="14093" max="14093" width="9.83203125" style="402" bestFit="1" customWidth="1"/>
    <col min="14094" max="14338" width="8.83203125" style="402"/>
    <col min="14339" max="14339" width="33.83203125" style="402" customWidth="1"/>
    <col min="14340" max="14340" width="14.83203125" style="402" customWidth="1"/>
    <col min="14341" max="14342" width="12.33203125" style="402" customWidth="1"/>
    <col min="14343" max="14343" width="10.5" style="402" customWidth="1"/>
    <col min="14344" max="14348" width="10.33203125" style="402" customWidth="1"/>
    <col min="14349" max="14349" width="9.83203125" style="402" bestFit="1" customWidth="1"/>
    <col min="14350" max="14594" width="8.83203125" style="402"/>
    <col min="14595" max="14595" width="33.83203125" style="402" customWidth="1"/>
    <col min="14596" max="14596" width="14.83203125" style="402" customWidth="1"/>
    <col min="14597" max="14598" width="12.33203125" style="402" customWidth="1"/>
    <col min="14599" max="14599" width="10.5" style="402" customWidth="1"/>
    <col min="14600" max="14604" width="10.33203125" style="402" customWidth="1"/>
    <col min="14605" max="14605" width="9.83203125" style="402" bestFit="1" customWidth="1"/>
    <col min="14606" max="14850" width="8.83203125" style="402"/>
    <col min="14851" max="14851" width="33.83203125" style="402" customWidth="1"/>
    <col min="14852" max="14852" width="14.83203125" style="402" customWidth="1"/>
    <col min="14853" max="14854" width="12.33203125" style="402" customWidth="1"/>
    <col min="14855" max="14855" width="10.5" style="402" customWidth="1"/>
    <col min="14856" max="14860" width="10.33203125" style="402" customWidth="1"/>
    <col min="14861" max="14861" width="9.83203125" style="402" bestFit="1" customWidth="1"/>
    <col min="14862" max="15106" width="8.83203125" style="402"/>
    <col min="15107" max="15107" width="33.83203125" style="402" customWidth="1"/>
    <col min="15108" max="15108" width="14.83203125" style="402" customWidth="1"/>
    <col min="15109" max="15110" width="12.33203125" style="402" customWidth="1"/>
    <col min="15111" max="15111" width="10.5" style="402" customWidth="1"/>
    <col min="15112" max="15116" width="10.33203125" style="402" customWidth="1"/>
    <col min="15117" max="15117" width="9.83203125" style="402" bestFit="1" customWidth="1"/>
    <col min="15118" max="15362" width="8.83203125" style="402"/>
    <col min="15363" max="15363" width="33.83203125" style="402" customWidth="1"/>
    <col min="15364" max="15364" width="14.83203125" style="402" customWidth="1"/>
    <col min="15365" max="15366" width="12.33203125" style="402" customWidth="1"/>
    <col min="15367" max="15367" width="10.5" style="402" customWidth="1"/>
    <col min="15368" max="15372" width="10.33203125" style="402" customWidth="1"/>
    <col min="15373" max="15373" width="9.83203125" style="402" bestFit="1" customWidth="1"/>
    <col min="15374" max="15618" width="8.83203125" style="402"/>
    <col min="15619" max="15619" width="33.83203125" style="402" customWidth="1"/>
    <col min="15620" max="15620" width="14.83203125" style="402" customWidth="1"/>
    <col min="15621" max="15622" width="12.33203125" style="402" customWidth="1"/>
    <col min="15623" max="15623" width="10.5" style="402" customWidth="1"/>
    <col min="15624" max="15628" width="10.33203125" style="402" customWidth="1"/>
    <col min="15629" max="15629" width="9.83203125" style="402" bestFit="1" customWidth="1"/>
    <col min="15630" max="15874" width="8.83203125" style="402"/>
    <col min="15875" max="15875" width="33.83203125" style="402" customWidth="1"/>
    <col min="15876" max="15876" width="14.83203125" style="402" customWidth="1"/>
    <col min="15877" max="15878" width="12.33203125" style="402" customWidth="1"/>
    <col min="15879" max="15879" width="10.5" style="402" customWidth="1"/>
    <col min="15880" max="15884" width="10.33203125" style="402" customWidth="1"/>
    <col min="15885" max="15885" width="9.83203125" style="402" bestFit="1" customWidth="1"/>
    <col min="15886" max="16130" width="8.83203125" style="402"/>
    <col min="16131" max="16131" width="33.83203125" style="402" customWidth="1"/>
    <col min="16132" max="16132" width="14.83203125" style="402" customWidth="1"/>
    <col min="16133" max="16134" width="12.33203125" style="402" customWidth="1"/>
    <col min="16135" max="16135" width="10.5" style="402" customWidth="1"/>
    <col min="16136" max="16140" width="10.33203125" style="402" customWidth="1"/>
    <col min="16141" max="16141" width="9.83203125" style="402" bestFit="1" customWidth="1"/>
    <col min="16142" max="16384" width="8.83203125" style="402"/>
  </cols>
  <sheetData>
    <row r="1" spans="1:13" ht="54.75" customHeight="1">
      <c r="A1" s="642" t="s">
        <v>142</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143</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23</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144</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145</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146</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147</v>
      </c>
      <c r="E13" s="659" t="s">
        <v>130</v>
      </c>
      <c r="F13" s="659"/>
      <c r="G13" s="659"/>
      <c r="H13" s="659"/>
      <c r="I13" s="659"/>
      <c r="J13" s="659"/>
      <c r="K13" s="659"/>
      <c r="L13" s="659"/>
    </row>
    <row r="14" spans="1:13" ht="38.25" customHeight="1">
      <c r="A14" s="639" t="s">
        <v>148</v>
      </c>
      <c r="B14" s="640"/>
      <c r="C14" s="641"/>
      <c r="D14" s="437" t="s">
        <v>149</v>
      </c>
      <c r="E14" s="438" t="s">
        <v>138</v>
      </c>
      <c r="F14" s="437" t="s">
        <v>150</v>
      </c>
      <c r="G14" s="437" t="s">
        <v>136</v>
      </c>
      <c r="H14" s="439" t="s">
        <v>151</v>
      </c>
      <c r="I14" s="440" t="s">
        <v>152</v>
      </c>
      <c r="J14" s="437" t="s">
        <v>153</v>
      </c>
      <c r="K14" s="437" t="s">
        <v>154</v>
      </c>
      <c r="L14" s="441" t="s">
        <v>155</v>
      </c>
    </row>
    <row r="15" spans="1:13" ht="20">
      <c r="A15" s="662"/>
      <c r="B15" s="663"/>
      <c r="C15" s="664"/>
      <c r="D15" s="442"/>
      <c r="E15" s="443"/>
      <c r="F15" s="443"/>
      <c r="G15" s="443"/>
      <c r="H15" s="443"/>
      <c r="I15" s="443"/>
      <c r="J15" s="443"/>
      <c r="K15" s="443"/>
      <c r="L15" s="443"/>
      <c r="M15" s="444"/>
    </row>
    <row r="16" spans="1:13" ht="20">
      <c r="A16" s="662"/>
      <c r="B16" s="663"/>
      <c r="C16" s="664"/>
      <c r="D16" s="445"/>
      <c r="E16" s="443"/>
      <c r="F16" s="443"/>
      <c r="G16" s="443"/>
      <c r="H16" s="443"/>
      <c r="I16" s="443"/>
      <c r="J16" s="443"/>
      <c r="K16" s="443"/>
      <c r="L16" s="443"/>
      <c r="M16" s="444"/>
    </row>
    <row r="17" spans="1:15" ht="20">
      <c r="A17" s="662"/>
      <c r="B17" s="663"/>
      <c r="C17" s="664"/>
      <c r="D17" s="442"/>
      <c r="E17" s="443"/>
      <c r="F17" s="443"/>
      <c r="G17" s="443"/>
      <c r="H17" s="443"/>
      <c r="I17" s="443"/>
      <c r="J17" s="443"/>
      <c r="K17" s="443"/>
      <c r="L17" s="443"/>
      <c r="M17" s="444"/>
    </row>
    <row r="18" spans="1:15" ht="20">
      <c r="A18" s="662"/>
      <c r="B18" s="663"/>
      <c r="C18" s="664"/>
      <c r="D18" s="445"/>
      <c r="E18" s="443"/>
      <c r="F18" s="443"/>
      <c r="G18" s="443"/>
      <c r="H18" s="443"/>
      <c r="I18" s="443"/>
      <c r="J18" s="443"/>
      <c r="K18" s="443"/>
      <c r="L18" s="443"/>
      <c r="M18" s="444"/>
    </row>
    <row r="19" spans="1:15" ht="20">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676"/>
      <c r="I24" s="660"/>
      <c r="J24" s="660"/>
      <c r="K24" s="660"/>
      <c r="L24" s="660"/>
    </row>
    <row r="25" spans="1:15" ht="14.25" customHeight="1" thickBot="1">
      <c r="A25" s="661"/>
      <c r="B25" s="661"/>
      <c r="C25" s="661"/>
      <c r="D25" s="677"/>
      <c r="E25" s="677"/>
      <c r="F25" s="677"/>
      <c r="G25" s="678"/>
      <c r="H25" s="679"/>
      <c r="I25" s="661"/>
      <c r="J25" s="661"/>
      <c r="K25" s="661"/>
      <c r="L25" s="661"/>
    </row>
    <row r="26" spans="1:15" ht="21" hidden="1" customHeight="1" thickBot="1">
      <c r="A26" s="681" t="s">
        <v>156</v>
      </c>
      <c r="B26" s="682"/>
      <c r="C26" s="683"/>
      <c r="D26" s="453" t="s">
        <v>149</v>
      </c>
      <c r="E26" s="684" t="s">
        <v>157</v>
      </c>
      <c r="F26" s="685"/>
      <c r="G26" s="685"/>
      <c r="H26" s="685"/>
      <c r="I26" s="685"/>
      <c r="J26" s="685"/>
      <c r="K26" s="685"/>
      <c r="L26" s="686"/>
    </row>
    <row r="27" spans="1:15" s="405" customFormat="1" ht="19" hidden="1" thickBot="1">
      <c r="A27" s="687">
        <f t="shared" ref="A27:A35" si="0">A15</f>
        <v>0</v>
      </c>
      <c r="B27" s="688"/>
      <c r="C27" s="689"/>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9" hidden="1" thickBot="1">
      <c r="A28" s="687">
        <f t="shared" si="0"/>
        <v>0</v>
      </c>
      <c r="B28" s="688"/>
      <c r="C28" s="689"/>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9" hidden="1" thickBot="1">
      <c r="A29" s="687">
        <f t="shared" si="0"/>
        <v>0</v>
      </c>
      <c r="B29" s="688"/>
      <c r="C29" s="689"/>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9" hidden="1" thickBot="1">
      <c r="A30" s="687">
        <f t="shared" si="0"/>
        <v>0</v>
      </c>
      <c r="B30" s="688"/>
      <c r="C30" s="689"/>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9" hidden="1" thickBot="1">
      <c r="A31" s="687">
        <f t="shared" si="0"/>
        <v>0</v>
      </c>
      <c r="B31" s="688"/>
      <c r="C31" s="689"/>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7">
        <f t="shared" si="0"/>
        <v>0</v>
      </c>
      <c r="B32" s="688"/>
      <c r="C32" s="689"/>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7">
        <f t="shared" si="0"/>
        <v>0</v>
      </c>
      <c r="B33" s="688"/>
      <c r="C33" s="689"/>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7">
        <f t="shared" si="0"/>
        <v>0</v>
      </c>
      <c r="B34" s="688"/>
      <c r="C34" s="689"/>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7">
        <f t="shared" si="0"/>
        <v>0</v>
      </c>
      <c r="B35" s="688"/>
      <c r="C35" s="689"/>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80" t="s">
        <v>158</v>
      </c>
      <c r="B36" s="680"/>
      <c r="C36" s="680"/>
      <c r="D36" s="680"/>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2" t="s">
        <v>159</v>
      </c>
      <c r="B37" s="692"/>
      <c r="C37" s="692"/>
      <c r="D37" s="692"/>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3" t="s">
        <v>130</v>
      </c>
      <c r="B38" s="693"/>
      <c r="C38" s="693"/>
      <c r="D38" s="693"/>
      <c r="E38" s="462" t="s">
        <v>138</v>
      </c>
      <c r="F38" s="462" t="s">
        <v>160</v>
      </c>
      <c r="G38" s="463" t="s">
        <v>136</v>
      </c>
      <c r="H38" s="464" t="s">
        <v>161</v>
      </c>
      <c r="I38" s="464" t="s">
        <v>162</v>
      </c>
      <c r="J38" s="463" t="s">
        <v>163</v>
      </c>
      <c r="K38" s="463" t="s">
        <v>164</v>
      </c>
      <c r="L38" s="463" t="s">
        <v>165</v>
      </c>
    </row>
    <row r="39" spans="1:13" s="459" customFormat="1" ht="24.75" customHeight="1" thickTop="1" thickBot="1">
      <c r="A39" s="694" t="s">
        <v>166</v>
      </c>
      <c r="B39" s="695"/>
      <c r="C39" s="695"/>
      <c r="D39" s="695"/>
      <c r="E39" s="465">
        <v>100</v>
      </c>
      <c r="F39" s="465">
        <v>100</v>
      </c>
      <c r="G39" s="465">
        <v>98</v>
      </c>
      <c r="H39" s="465">
        <v>70</v>
      </c>
      <c r="I39" s="465">
        <v>50</v>
      </c>
      <c r="J39" s="465">
        <v>30</v>
      </c>
      <c r="K39" s="465">
        <v>12</v>
      </c>
      <c r="L39" s="465">
        <v>3</v>
      </c>
    </row>
    <row r="40" spans="1:13" s="459" customFormat="1" ht="24.75" customHeight="1" thickTop="1" thickBot="1">
      <c r="A40" s="696" t="s">
        <v>141</v>
      </c>
      <c r="B40" s="695"/>
      <c r="C40" s="695"/>
      <c r="D40" s="695"/>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4" t="s">
        <v>140</v>
      </c>
      <c r="B41" s="695"/>
      <c r="C41" s="695"/>
      <c r="D41" s="695"/>
      <c r="E41" s="465">
        <v>100</v>
      </c>
      <c r="F41" s="465">
        <v>84</v>
      </c>
      <c r="G41" s="465">
        <v>64</v>
      </c>
      <c r="H41" s="465">
        <v>6</v>
      </c>
      <c r="I41" s="465">
        <v>2</v>
      </c>
      <c r="J41" s="465">
        <v>2</v>
      </c>
      <c r="K41" s="465">
        <v>2</v>
      </c>
      <c r="L41" s="465">
        <v>0</v>
      </c>
    </row>
    <row r="42" spans="1:13" ht="19" thickTop="1">
      <c r="A42" s="405"/>
      <c r="B42" s="466"/>
      <c r="C42" s="697"/>
      <c r="D42" s="697"/>
      <c r="E42" s="697"/>
      <c r="F42" s="697"/>
      <c r="G42" s="697"/>
      <c r="H42" s="697"/>
      <c r="I42" s="697"/>
      <c r="J42" s="697"/>
      <c r="K42" s="697"/>
      <c r="L42" s="697"/>
    </row>
    <row r="43" spans="1:13" ht="18">
      <c r="A43" s="405"/>
      <c r="B43" s="405"/>
      <c r="C43" s="405"/>
      <c r="D43" s="405"/>
      <c r="E43" s="405"/>
      <c r="F43" s="405"/>
      <c r="L43" s="405"/>
    </row>
    <row r="44" spans="1:13" ht="20">
      <c r="A44" s="690"/>
      <c r="B44" s="690"/>
      <c r="C44" s="690"/>
      <c r="D44" s="690"/>
      <c r="E44" s="690"/>
      <c r="F44" s="690"/>
      <c r="G44" s="690"/>
      <c r="H44" s="690"/>
      <c r="I44" s="690"/>
      <c r="J44" s="690"/>
      <c r="K44" s="690"/>
      <c r="L44" s="690"/>
      <c r="M44" s="690"/>
    </row>
    <row r="45" spans="1:13" ht="20">
      <c r="A45" s="405"/>
      <c r="B45" s="405"/>
      <c r="C45" s="467"/>
      <c r="D45" s="468"/>
      <c r="E45" s="468"/>
      <c r="F45" s="468"/>
      <c r="G45" s="469"/>
      <c r="H45" s="469"/>
      <c r="I45" s="469"/>
      <c r="J45" s="469"/>
      <c r="K45" s="469"/>
      <c r="L45" s="469"/>
    </row>
    <row r="46" spans="1:13" ht="20">
      <c r="A46" s="405"/>
      <c r="B46" s="405"/>
      <c r="C46" s="691"/>
      <c r="D46" s="691"/>
      <c r="E46" s="470"/>
      <c r="F46" s="470"/>
      <c r="G46" s="471"/>
      <c r="H46" s="469"/>
      <c r="I46" s="469"/>
      <c r="J46" s="469"/>
      <c r="K46" s="469"/>
      <c r="L46" s="469"/>
    </row>
    <row r="47" spans="1:13" ht="18">
      <c r="A47" s="405"/>
      <c r="B47" s="405"/>
      <c r="C47" s="405"/>
      <c r="D47" s="405"/>
      <c r="E47" s="405"/>
      <c r="F47" s="405"/>
      <c r="G47" s="405"/>
      <c r="H47" s="405"/>
      <c r="I47" s="405"/>
      <c r="J47" s="466"/>
      <c r="K47" s="466"/>
      <c r="L47" s="466"/>
    </row>
    <row r="48" spans="1:13" ht="18">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baseColWidth="10" defaultColWidth="8.83203125" defaultRowHeight="15"/>
  <cols>
    <col min="2" max="3" width="12.33203125" customWidth="1"/>
    <col min="4" max="4" width="14.33203125" customWidth="1"/>
    <col min="5" max="5" width="13.6640625" customWidth="1"/>
    <col min="9" max="9" width="12.6640625" customWidth="1"/>
    <col min="10" max="10" width="11.83203125" customWidth="1"/>
    <col min="11" max="11" width="12" customWidth="1"/>
    <col min="12" max="12" width="13.1640625" customWidth="1"/>
  </cols>
  <sheetData>
    <row r="1" spans="1:14">
      <c r="A1" t="s">
        <v>167</v>
      </c>
    </row>
    <row r="5" spans="1:14" ht="19" thickBot="1">
      <c r="C5" s="698" t="s">
        <v>168</v>
      </c>
      <c r="D5" s="698"/>
      <c r="E5" s="698"/>
      <c r="F5" s="698"/>
      <c r="G5" s="698"/>
      <c r="J5" s="698" t="s">
        <v>169</v>
      </c>
      <c r="K5" s="698"/>
      <c r="L5" s="698"/>
      <c r="M5" s="698"/>
      <c r="N5" s="698"/>
    </row>
    <row r="6" spans="1:14" ht="38">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4" ht="19">
      <c r="B7" s="379" t="s">
        <v>176</v>
      </c>
      <c r="C7" s="401">
        <v>1.5612511283791264E-17</v>
      </c>
      <c r="D7" s="401">
        <v>1.5612511283791264E-17</v>
      </c>
      <c r="E7" s="401">
        <v>1.5612511283791264E-17</v>
      </c>
      <c r="F7" s="401">
        <v>1.5612511283791264E-17</v>
      </c>
      <c r="G7" s="401">
        <v>1.5612511283791264E-17</v>
      </c>
      <c r="I7" s="379" t="s">
        <v>176</v>
      </c>
      <c r="J7" s="401">
        <v>1</v>
      </c>
      <c r="K7" s="401">
        <v>1</v>
      </c>
      <c r="L7" s="401">
        <v>1.5612511283791264E-17</v>
      </c>
      <c r="M7" s="401">
        <v>1</v>
      </c>
      <c r="N7" s="401">
        <v>1.5612511283791264E-17</v>
      </c>
    </row>
    <row r="8" spans="1:14" ht="18">
      <c r="B8" s="380" t="s">
        <v>150</v>
      </c>
      <c r="C8" s="401">
        <v>1.5612511283791264E-17</v>
      </c>
      <c r="D8" s="401">
        <v>1.5612511283791264E-17</v>
      </c>
      <c r="E8" s="401">
        <v>1.5612511283791264E-17</v>
      </c>
      <c r="F8" s="401">
        <v>1.5612511283791264E-17</v>
      </c>
      <c r="G8" s="401">
        <v>1.5612511283791264E-17</v>
      </c>
      <c r="I8" s="380" t="s">
        <v>150</v>
      </c>
      <c r="J8" s="401">
        <f>J7-C8</f>
        <v>1</v>
      </c>
      <c r="K8" s="401">
        <f>K7-D8</f>
        <v>1</v>
      </c>
      <c r="L8" s="401">
        <v>1.5612511283791264E-17</v>
      </c>
      <c r="M8" s="401">
        <f>M7-F8</f>
        <v>1</v>
      </c>
      <c r="N8" s="401">
        <v>1.5612511283791264E-17</v>
      </c>
    </row>
    <row r="9" spans="1:14" ht="18">
      <c r="B9" s="380" t="s">
        <v>136</v>
      </c>
      <c r="C9" s="401">
        <v>1.5612511283791264E-17</v>
      </c>
      <c r="D9" s="401">
        <v>1.5612511283791264E-17</v>
      </c>
      <c r="E9" s="401">
        <v>1.5612511283791264E-17</v>
      </c>
      <c r="F9" s="401">
        <v>1.5612511283791264E-17</v>
      </c>
      <c r="G9" s="401">
        <v>1.5612511283791264E-17</v>
      </c>
      <c r="I9" s="380" t="s">
        <v>136</v>
      </c>
      <c r="J9" s="401">
        <f t="shared" ref="J9:M18" si="0">J8-C9</f>
        <v>1</v>
      </c>
      <c r="K9" s="401">
        <f t="shared" si="0"/>
        <v>1</v>
      </c>
      <c r="L9" s="401">
        <v>1.5612511283791264E-17</v>
      </c>
      <c r="M9" s="401">
        <f t="shared" si="0"/>
        <v>1</v>
      </c>
      <c r="N9" s="401">
        <v>1.5612511283791264E-17</v>
      </c>
    </row>
    <row r="10" spans="1:14" ht="18">
      <c r="B10" s="380" t="s">
        <v>177</v>
      </c>
      <c r="C10" s="401">
        <v>1.5612511283791264E-17</v>
      </c>
      <c r="D10" s="401">
        <v>1.5612511283791264E-17</v>
      </c>
      <c r="E10" s="401">
        <v>1.5612511283791264E-17</v>
      </c>
      <c r="F10" s="401">
        <v>1.5612511283791264E-17</v>
      </c>
      <c r="G10" s="401">
        <v>1.5612511283791264E-17</v>
      </c>
      <c r="I10" s="380" t="s">
        <v>177</v>
      </c>
      <c r="J10" s="401">
        <f t="shared" si="0"/>
        <v>1</v>
      </c>
      <c r="K10" s="401">
        <f t="shared" si="0"/>
        <v>1</v>
      </c>
      <c r="L10" s="401">
        <v>1.5612511283791264E-17</v>
      </c>
      <c r="M10" s="401">
        <f t="shared" si="0"/>
        <v>1</v>
      </c>
      <c r="N10" s="401">
        <v>1.5612511283791264E-17</v>
      </c>
    </row>
    <row r="11" spans="1:14" ht="18">
      <c r="B11" s="380" t="s">
        <v>178</v>
      </c>
      <c r="C11" s="401">
        <v>1.5612511283791264E-17</v>
      </c>
      <c r="D11" s="401">
        <v>1.5612511283791264E-17</v>
      </c>
      <c r="E11" s="401">
        <v>1.5612511283791264E-17</v>
      </c>
      <c r="F11" s="401">
        <v>1.5612511283791264E-17</v>
      </c>
      <c r="G11" s="401">
        <v>1.5612511283791264E-17</v>
      </c>
      <c r="I11" s="380" t="s">
        <v>178</v>
      </c>
      <c r="J11" s="401">
        <f t="shared" si="0"/>
        <v>1</v>
      </c>
      <c r="K11" s="401">
        <f t="shared" si="0"/>
        <v>1</v>
      </c>
      <c r="L11" s="401">
        <v>1.5612511283791264E-17</v>
      </c>
      <c r="M11" s="401">
        <f t="shared" si="0"/>
        <v>1</v>
      </c>
      <c r="N11" s="401">
        <v>1.5612511283791264E-17</v>
      </c>
    </row>
    <row r="12" spans="1:14" ht="18">
      <c r="B12" s="380" t="s">
        <v>161</v>
      </c>
      <c r="C12" s="401">
        <v>1.5612511283791264E-17</v>
      </c>
      <c r="D12" s="401">
        <v>1.5612511283791264E-17</v>
      </c>
      <c r="E12" s="401">
        <v>1.5612511283791264E-17</v>
      </c>
      <c r="F12" s="401">
        <v>1.5612511283791264E-17</v>
      </c>
      <c r="G12" s="401">
        <v>1.5612511283791264E-17</v>
      </c>
      <c r="I12" s="380" t="s">
        <v>161</v>
      </c>
      <c r="J12" s="401">
        <f t="shared" si="0"/>
        <v>1</v>
      </c>
      <c r="K12" s="401">
        <f t="shared" si="0"/>
        <v>1</v>
      </c>
      <c r="L12" s="401">
        <v>1.5612511283791264E-17</v>
      </c>
      <c r="M12" s="401">
        <f t="shared" si="0"/>
        <v>1</v>
      </c>
      <c r="N12" s="401">
        <v>1.5612511283791264E-17</v>
      </c>
    </row>
    <row r="13" spans="1:14" ht="18">
      <c r="B13" s="380" t="s">
        <v>179</v>
      </c>
      <c r="C13" s="401">
        <v>1.5612511283791264E-17</v>
      </c>
      <c r="D13" s="401">
        <v>1.5612511283791264E-17</v>
      </c>
      <c r="E13" s="401">
        <v>1.5612511283791264E-17</v>
      </c>
      <c r="F13" s="401">
        <v>1.5612511283791264E-17</v>
      </c>
      <c r="G13" s="401">
        <v>1.5612511283791264E-17</v>
      </c>
      <c r="I13" s="380" t="s">
        <v>179</v>
      </c>
      <c r="J13" s="401">
        <f t="shared" si="0"/>
        <v>1</v>
      </c>
      <c r="K13" s="401">
        <f t="shared" si="0"/>
        <v>1</v>
      </c>
      <c r="L13" s="401">
        <v>1.5612511283791264E-17</v>
      </c>
      <c r="M13" s="401">
        <f t="shared" si="0"/>
        <v>1</v>
      </c>
      <c r="N13" s="401">
        <v>1.5612511283791264E-17</v>
      </c>
    </row>
    <row r="14" spans="1:14" ht="18">
      <c r="B14" s="380" t="s">
        <v>180</v>
      </c>
      <c r="C14" s="401">
        <v>1.5612511283791264E-17</v>
      </c>
      <c r="D14" s="401">
        <v>1.5612511283791264E-17</v>
      </c>
      <c r="E14" s="401">
        <v>1.5612511283791264E-17</v>
      </c>
      <c r="F14" s="401">
        <v>1.5612511283791264E-17</v>
      </c>
      <c r="G14" s="401">
        <v>1.5612511283791264E-17</v>
      </c>
      <c r="I14" s="380" t="s">
        <v>180</v>
      </c>
      <c r="J14" s="401">
        <f t="shared" si="0"/>
        <v>1</v>
      </c>
      <c r="K14" s="401">
        <f t="shared" si="0"/>
        <v>1</v>
      </c>
      <c r="L14" s="401">
        <v>1.5612511283791264E-17</v>
      </c>
      <c r="M14" s="401">
        <f t="shared" si="0"/>
        <v>1</v>
      </c>
      <c r="N14" s="401">
        <v>1.5612511283791264E-17</v>
      </c>
    </row>
    <row r="15" spans="1:14" ht="18">
      <c r="B15" s="380" t="s">
        <v>163</v>
      </c>
      <c r="C15" s="401">
        <v>1.5612511283791264E-17</v>
      </c>
      <c r="D15" s="401">
        <v>1.5612511283791264E-17</v>
      </c>
      <c r="E15" s="401">
        <v>1.5612511283791264E-17</v>
      </c>
      <c r="F15" s="401">
        <v>1.5612511283791264E-17</v>
      </c>
      <c r="G15" s="401">
        <v>1.5612511283791264E-17</v>
      </c>
      <c r="I15" s="380" t="s">
        <v>163</v>
      </c>
      <c r="J15" s="401">
        <f t="shared" si="0"/>
        <v>1</v>
      </c>
      <c r="K15" s="401">
        <f t="shared" si="0"/>
        <v>1</v>
      </c>
      <c r="L15" s="401">
        <v>1.5612511283791264E-17</v>
      </c>
      <c r="M15" s="401">
        <f t="shared" si="0"/>
        <v>1</v>
      </c>
      <c r="N15" s="401">
        <v>1.5612511283791264E-17</v>
      </c>
    </row>
    <row r="16" spans="1:14" ht="18">
      <c r="B16" s="380" t="s">
        <v>164</v>
      </c>
      <c r="C16" s="401">
        <v>1.5612511283791264E-17</v>
      </c>
      <c r="D16" s="401">
        <v>1.5612511283791264E-17</v>
      </c>
      <c r="E16" s="401">
        <v>1.5612511283791264E-17</v>
      </c>
      <c r="F16" s="401">
        <v>1.5612511283791264E-17</v>
      </c>
      <c r="G16" s="401">
        <v>1.5612511283791264E-17</v>
      </c>
      <c r="I16" s="380" t="s">
        <v>164</v>
      </c>
      <c r="J16" s="401">
        <f t="shared" si="0"/>
        <v>1</v>
      </c>
      <c r="K16" s="401">
        <f t="shared" si="0"/>
        <v>1</v>
      </c>
      <c r="L16" s="401">
        <v>1.5612511283791264E-17</v>
      </c>
      <c r="M16" s="401">
        <f t="shared" si="0"/>
        <v>1</v>
      </c>
      <c r="N16" s="401">
        <v>1.5612511283791264E-17</v>
      </c>
    </row>
    <row r="17" spans="2:14" ht="18">
      <c r="B17" s="380" t="s">
        <v>181</v>
      </c>
      <c r="C17" s="401">
        <v>1.5612511283791264E-17</v>
      </c>
      <c r="D17" s="401">
        <v>1.5612511283791264E-17</v>
      </c>
      <c r="E17" s="401">
        <v>1.5612511283791264E-17</v>
      </c>
      <c r="F17" s="401">
        <v>1.5612511283791264E-17</v>
      </c>
      <c r="G17" s="401">
        <v>1.5612511283791264E-17</v>
      </c>
      <c r="I17" s="380" t="s">
        <v>181</v>
      </c>
      <c r="J17" s="401">
        <f t="shared" si="0"/>
        <v>1</v>
      </c>
      <c r="K17" s="401">
        <f t="shared" si="0"/>
        <v>1</v>
      </c>
      <c r="L17" s="401">
        <v>1.5612511283791264E-17</v>
      </c>
      <c r="M17" s="401">
        <f t="shared" si="0"/>
        <v>1</v>
      </c>
      <c r="N17" s="401">
        <v>1.5612511283791264E-17</v>
      </c>
    </row>
    <row r="18" spans="2:14" ht="19" thickBot="1">
      <c r="B18" s="381" t="s">
        <v>165</v>
      </c>
      <c r="C18" s="401">
        <v>1.5612511283791264E-17</v>
      </c>
      <c r="D18" s="401">
        <v>1.5612511283791264E-17</v>
      </c>
      <c r="E18" s="401">
        <v>1.5612511283791264E-17</v>
      </c>
      <c r="F18" s="401">
        <v>1.5612511283791264E-17</v>
      </c>
      <c r="G18" s="401">
        <v>1.5612511283791264E-17</v>
      </c>
      <c r="I18" s="381" t="s">
        <v>165</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tabSelected="1" zoomScale="70" zoomScaleNormal="70" workbookViewId="0">
      <selection activeCell="E10" sqref="E10"/>
    </sheetView>
  </sheetViews>
  <sheetFormatPr baseColWidth="10" defaultColWidth="8.83203125" defaultRowHeight="15"/>
  <cols>
    <col min="2" max="2" width="12.6640625" customWidth="1"/>
    <col min="3" max="6" width="15.6640625" customWidth="1"/>
    <col min="7" max="7" width="16.33203125" customWidth="1"/>
    <col min="8" max="8" width="15.5" customWidth="1"/>
    <col min="9" max="9" width="9.6640625" bestFit="1" customWidth="1"/>
    <col min="10" max="10" width="10.33203125" bestFit="1" customWidth="1"/>
    <col min="11" max="12" width="12.6640625" customWidth="1"/>
    <col min="13" max="13" width="13.6640625" customWidth="1"/>
    <col min="14" max="14" width="12.6640625" customWidth="1"/>
  </cols>
  <sheetData>
    <row r="2" spans="1:15" ht="18">
      <c r="A2" s="372" t="s">
        <v>182</v>
      </c>
    </row>
    <row r="4" spans="1:15" ht="18">
      <c r="B4" s="372"/>
    </row>
    <row r="5" spans="1:15" ht="26" thickBot="1">
      <c r="C5" s="699" t="s">
        <v>183</v>
      </c>
      <c r="D5" s="699"/>
      <c r="E5" s="699"/>
      <c r="F5" s="699"/>
      <c r="G5" s="699"/>
      <c r="J5" s="698" t="s">
        <v>184</v>
      </c>
      <c r="K5" s="698"/>
      <c r="L5" s="698"/>
      <c r="M5" s="698"/>
      <c r="N5" s="698"/>
    </row>
    <row r="6" spans="1:15" ht="38">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5" ht="19">
      <c r="B7" s="379" t="s">
        <v>176</v>
      </c>
      <c r="C7" s="550"/>
      <c r="D7" s="550"/>
      <c r="E7" s="550"/>
      <c r="F7" s="551"/>
      <c r="G7" s="552"/>
      <c r="I7" s="379" t="s">
        <v>176</v>
      </c>
      <c r="J7" s="502">
        <f>IF(1-C7=1,0,1-C7)</f>
        <v>0</v>
      </c>
      <c r="K7" s="502">
        <f t="shared" ref="K7:N7" si="0">IF(1-D7=1,0,1-D7)</f>
        <v>0</v>
      </c>
      <c r="L7" s="502">
        <f t="shared" si="0"/>
        <v>0</v>
      </c>
      <c r="M7" s="502">
        <f t="shared" si="0"/>
        <v>0</v>
      </c>
      <c r="N7" s="502">
        <f t="shared" si="0"/>
        <v>0</v>
      </c>
      <c r="O7" s="133"/>
    </row>
    <row r="8" spans="1:15" ht="18">
      <c r="B8" s="380" t="s">
        <v>150</v>
      </c>
      <c r="C8" s="550"/>
      <c r="D8" s="550"/>
      <c r="E8" s="550"/>
      <c r="F8" s="551"/>
      <c r="G8" s="552"/>
      <c r="I8" s="380" t="s">
        <v>150</v>
      </c>
      <c r="J8" s="502">
        <f>C7-C8</f>
        <v>0</v>
      </c>
      <c r="K8" s="502">
        <f t="shared" ref="K8:K18" si="1">D7-D8</f>
        <v>0</v>
      </c>
      <c r="L8" s="502">
        <f t="shared" ref="L8:L18" si="2">E7-E8</f>
        <v>0</v>
      </c>
      <c r="M8" s="502">
        <f t="shared" ref="M8:M18" si="3">F7-F8</f>
        <v>0</v>
      </c>
      <c r="N8" s="502">
        <f t="shared" ref="N8:N18" si="4">G7-G8</f>
        <v>0</v>
      </c>
      <c r="O8" s="133"/>
    </row>
    <row r="9" spans="1:15" ht="18">
      <c r="B9" s="380" t="s">
        <v>136</v>
      </c>
      <c r="C9" s="550"/>
      <c r="D9" s="550"/>
      <c r="E9" s="550"/>
      <c r="F9" s="551"/>
      <c r="G9" s="552"/>
      <c r="I9" s="380" t="s">
        <v>136</v>
      </c>
      <c r="J9" s="502">
        <f t="shared" ref="J9:J18" si="5">C8-C9</f>
        <v>0</v>
      </c>
      <c r="K9" s="502">
        <f t="shared" si="1"/>
        <v>0</v>
      </c>
      <c r="L9" s="502">
        <f t="shared" si="2"/>
        <v>0</v>
      </c>
      <c r="M9" s="502">
        <f t="shared" si="3"/>
        <v>0</v>
      </c>
      <c r="N9" s="502">
        <f t="shared" si="4"/>
        <v>0</v>
      </c>
      <c r="O9" s="133"/>
    </row>
    <row r="10" spans="1:15" ht="18">
      <c r="B10" s="380" t="s">
        <v>177</v>
      </c>
      <c r="C10" s="550"/>
      <c r="D10" s="550"/>
      <c r="E10" s="550"/>
      <c r="F10" s="551"/>
      <c r="G10" s="552"/>
      <c r="I10" s="380" t="s">
        <v>177</v>
      </c>
      <c r="J10" s="502">
        <f t="shared" si="5"/>
        <v>0</v>
      </c>
      <c r="K10" s="502">
        <f t="shared" si="1"/>
        <v>0</v>
      </c>
      <c r="L10" s="502">
        <f t="shared" si="2"/>
        <v>0</v>
      </c>
      <c r="M10" s="502">
        <f t="shared" si="3"/>
        <v>0</v>
      </c>
      <c r="N10" s="502">
        <f t="shared" si="4"/>
        <v>0</v>
      </c>
      <c r="O10" s="133"/>
    </row>
    <row r="11" spans="1:15" ht="18">
      <c r="B11" s="380" t="s">
        <v>178</v>
      </c>
      <c r="C11" s="550"/>
      <c r="D11" s="550"/>
      <c r="E11" s="550"/>
      <c r="F11" s="551"/>
      <c r="G11" s="552"/>
      <c r="I11" s="380" t="s">
        <v>178</v>
      </c>
      <c r="J11" s="502">
        <f t="shared" si="5"/>
        <v>0</v>
      </c>
      <c r="K11" s="502">
        <f t="shared" si="1"/>
        <v>0</v>
      </c>
      <c r="L11" s="502">
        <f t="shared" si="2"/>
        <v>0</v>
      </c>
      <c r="M11" s="502">
        <f t="shared" si="3"/>
        <v>0</v>
      </c>
      <c r="N11" s="502">
        <f t="shared" si="4"/>
        <v>0</v>
      </c>
      <c r="O11" s="133"/>
    </row>
    <row r="12" spans="1:15" ht="18">
      <c r="B12" s="380" t="s">
        <v>161</v>
      </c>
      <c r="C12" s="550"/>
      <c r="D12" s="550"/>
      <c r="E12" s="550"/>
      <c r="F12" s="551"/>
      <c r="G12" s="552"/>
      <c r="I12" s="380" t="s">
        <v>161</v>
      </c>
      <c r="J12" s="502">
        <f t="shared" si="5"/>
        <v>0</v>
      </c>
      <c r="K12" s="502">
        <f t="shared" si="1"/>
        <v>0</v>
      </c>
      <c r="L12" s="502">
        <f t="shared" si="2"/>
        <v>0</v>
      </c>
      <c r="M12" s="502">
        <f t="shared" si="3"/>
        <v>0</v>
      </c>
      <c r="N12" s="502">
        <f t="shared" si="4"/>
        <v>0</v>
      </c>
      <c r="O12" s="133"/>
    </row>
    <row r="13" spans="1:15" ht="18">
      <c r="B13" s="380" t="s">
        <v>179</v>
      </c>
      <c r="C13" s="550"/>
      <c r="D13" s="550"/>
      <c r="E13" s="550"/>
      <c r="F13" s="551"/>
      <c r="G13" s="552"/>
      <c r="I13" s="380" t="s">
        <v>179</v>
      </c>
      <c r="J13" s="502">
        <f t="shared" si="5"/>
        <v>0</v>
      </c>
      <c r="K13" s="502">
        <f>D12-D13</f>
        <v>0</v>
      </c>
      <c r="L13" s="502">
        <f t="shared" si="2"/>
        <v>0</v>
      </c>
      <c r="M13" s="502">
        <f t="shared" si="3"/>
        <v>0</v>
      </c>
      <c r="N13" s="502">
        <f t="shared" si="4"/>
        <v>0</v>
      </c>
      <c r="O13" s="133"/>
    </row>
    <row r="14" spans="1:15" ht="18">
      <c r="B14" s="380" t="s">
        <v>180</v>
      </c>
      <c r="C14" s="550"/>
      <c r="D14" s="550"/>
      <c r="E14" s="550"/>
      <c r="F14" s="551"/>
      <c r="G14" s="552"/>
      <c r="I14" s="380" t="s">
        <v>180</v>
      </c>
      <c r="J14" s="502">
        <f t="shared" si="5"/>
        <v>0</v>
      </c>
      <c r="K14" s="502">
        <f t="shared" si="1"/>
        <v>0</v>
      </c>
      <c r="L14" s="502">
        <f t="shared" si="2"/>
        <v>0</v>
      </c>
      <c r="M14" s="502">
        <f t="shared" si="3"/>
        <v>0</v>
      </c>
      <c r="N14" s="502">
        <f t="shared" si="4"/>
        <v>0</v>
      </c>
      <c r="O14" s="133"/>
    </row>
    <row r="15" spans="1:15" ht="18">
      <c r="B15" s="380" t="s">
        <v>163</v>
      </c>
      <c r="C15" s="550"/>
      <c r="D15" s="550"/>
      <c r="E15" s="550"/>
      <c r="F15" s="551"/>
      <c r="G15" s="552"/>
      <c r="I15" s="380" t="s">
        <v>163</v>
      </c>
      <c r="J15" s="502">
        <f t="shared" si="5"/>
        <v>0</v>
      </c>
      <c r="K15" s="502">
        <f t="shared" si="1"/>
        <v>0</v>
      </c>
      <c r="L15" s="502">
        <f t="shared" si="2"/>
        <v>0</v>
      </c>
      <c r="M15" s="502">
        <f t="shared" si="3"/>
        <v>0</v>
      </c>
      <c r="N15" s="502">
        <f t="shared" si="4"/>
        <v>0</v>
      </c>
      <c r="O15" s="133"/>
    </row>
    <row r="16" spans="1:15" ht="18">
      <c r="B16" s="380" t="s">
        <v>164</v>
      </c>
      <c r="C16" s="550"/>
      <c r="D16" s="550"/>
      <c r="E16" s="550"/>
      <c r="F16" s="551"/>
      <c r="G16" s="552"/>
      <c r="I16" s="380" t="s">
        <v>164</v>
      </c>
      <c r="J16" s="502">
        <f t="shared" si="5"/>
        <v>0</v>
      </c>
      <c r="K16" s="502">
        <f t="shared" si="1"/>
        <v>0</v>
      </c>
      <c r="L16" s="502">
        <f t="shared" si="2"/>
        <v>0</v>
      </c>
      <c r="M16" s="502">
        <f t="shared" si="3"/>
        <v>0</v>
      </c>
      <c r="N16" s="502">
        <f t="shared" si="4"/>
        <v>0</v>
      </c>
      <c r="O16" s="133"/>
    </row>
    <row r="17" spans="2:15" ht="18">
      <c r="B17" s="380" t="s">
        <v>181</v>
      </c>
      <c r="C17" s="550"/>
      <c r="D17" s="550"/>
      <c r="E17" s="550"/>
      <c r="F17" s="551"/>
      <c r="G17" s="552"/>
      <c r="I17" s="380" t="s">
        <v>181</v>
      </c>
      <c r="J17" s="502">
        <f t="shared" si="5"/>
        <v>0</v>
      </c>
      <c r="K17" s="502">
        <f t="shared" si="1"/>
        <v>0</v>
      </c>
      <c r="L17" s="502">
        <f t="shared" si="2"/>
        <v>0</v>
      </c>
      <c r="M17" s="502">
        <f t="shared" si="3"/>
        <v>0</v>
      </c>
      <c r="N17" s="502">
        <f t="shared" si="4"/>
        <v>0</v>
      </c>
      <c r="O17" s="133"/>
    </row>
    <row r="18" spans="2:15" ht="19" thickBot="1">
      <c r="B18" s="381" t="s">
        <v>165</v>
      </c>
      <c r="C18" s="553"/>
      <c r="D18" s="553"/>
      <c r="E18" s="553"/>
      <c r="F18" s="554"/>
      <c r="G18" s="555"/>
      <c r="I18" s="381" t="s">
        <v>165</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baseColWidth="10" defaultColWidth="8.83203125" defaultRowHeight="15"/>
  <cols>
    <col min="1" max="1" width="5.5" customWidth="1"/>
    <col min="2" max="2" width="24.6640625" customWidth="1"/>
    <col min="3" max="3" width="13.5" customWidth="1"/>
    <col min="4" max="4" width="15.5" customWidth="1"/>
    <col min="5" max="5" width="13.5" customWidth="1"/>
    <col min="6" max="7" width="13.6640625" customWidth="1"/>
    <col min="8" max="8" width="20.33203125" customWidth="1"/>
    <col min="9" max="9" width="21.6640625" customWidth="1"/>
    <col min="10" max="10" width="12.6640625" customWidth="1"/>
    <col min="11" max="11" width="10.6640625" customWidth="1"/>
    <col min="12" max="15" width="12.6640625" customWidth="1"/>
  </cols>
  <sheetData>
    <row r="1" spans="2:15" ht="18">
      <c r="B1" s="372" t="s">
        <v>185</v>
      </c>
    </row>
    <row r="4" spans="2:15" ht="18">
      <c r="B4" s="372" t="s">
        <v>186</v>
      </c>
      <c r="C4" s="373"/>
      <c r="D4" s="373"/>
      <c r="E4" s="373"/>
      <c r="F4" s="373"/>
      <c r="G4" s="373"/>
      <c r="H4" s="373"/>
    </row>
    <row r="5" spans="2:15" ht="19" thickBot="1">
      <c r="B5" s="373"/>
      <c r="C5" s="712" t="s">
        <v>187</v>
      </c>
      <c r="D5" s="712"/>
      <c r="E5" s="712"/>
      <c r="F5" s="712"/>
      <c r="G5" s="373"/>
      <c r="H5" s="373"/>
    </row>
    <row r="6" spans="2:15" ht="38">
      <c r="B6" s="374" t="s">
        <v>188</v>
      </c>
      <c r="C6" s="704" t="s">
        <v>189</v>
      </c>
      <c r="D6" s="705"/>
      <c r="E6" s="375" t="s">
        <v>190</v>
      </c>
      <c r="F6" s="375" t="s">
        <v>42</v>
      </c>
      <c r="G6" s="382" t="s">
        <v>191</v>
      </c>
      <c r="I6" s="398"/>
      <c r="J6" s="398"/>
      <c r="K6" s="398"/>
      <c r="L6" s="398"/>
      <c r="M6" s="398"/>
      <c r="N6" s="398"/>
      <c r="O6" s="398"/>
    </row>
    <row r="7" spans="2:15" ht="18">
      <c r="B7" s="376" t="s">
        <v>171</v>
      </c>
      <c r="C7" s="706"/>
      <c r="D7" s="707"/>
      <c r="E7" s="543"/>
      <c r="F7" s="543"/>
      <c r="G7" s="394">
        <f t="shared" ref="G7:G14" si="0">IF(E7=0, 0, E7/F7/62.4)</f>
        <v>0</v>
      </c>
      <c r="I7" s="397"/>
      <c r="J7" s="397"/>
      <c r="K7" s="397"/>
      <c r="L7" s="397"/>
      <c r="M7" s="397"/>
      <c r="N7" s="397"/>
      <c r="O7" s="397"/>
    </row>
    <row r="8" spans="2:15" ht="18">
      <c r="B8" s="376" t="s">
        <v>172</v>
      </c>
      <c r="C8" s="702"/>
      <c r="D8" s="703"/>
      <c r="E8" s="544"/>
      <c r="F8" s="545"/>
      <c r="G8" s="394">
        <f t="shared" si="0"/>
        <v>0</v>
      </c>
      <c r="H8" s="383"/>
      <c r="I8" s="399"/>
      <c r="J8" s="399"/>
      <c r="K8" s="399"/>
      <c r="L8" s="399"/>
      <c r="M8" s="399"/>
      <c r="N8" s="399"/>
      <c r="O8" s="399"/>
    </row>
    <row r="9" spans="2:15" ht="19">
      <c r="B9" s="376" t="s">
        <v>173</v>
      </c>
      <c r="C9" s="702"/>
      <c r="D9" s="703"/>
      <c r="E9" s="544"/>
      <c r="F9" s="546"/>
      <c r="G9" s="394">
        <f t="shared" si="0"/>
        <v>0</v>
      </c>
      <c r="H9" s="388"/>
      <c r="I9" s="385"/>
      <c r="J9" s="389"/>
    </row>
    <row r="10" spans="2:15" ht="19">
      <c r="B10" s="376" t="s">
        <v>174</v>
      </c>
      <c r="C10" s="702"/>
      <c r="D10" s="703"/>
      <c r="E10" s="544"/>
      <c r="F10" s="546"/>
      <c r="G10" s="394">
        <f t="shared" si="0"/>
        <v>0</v>
      </c>
      <c r="H10" s="383"/>
      <c r="I10" s="386"/>
      <c r="J10" s="389"/>
    </row>
    <row r="11" spans="2:15" ht="19">
      <c r="B11" s="376" t="s">
        <v>175</v>
      </c>
      <c r="C11" s="702"/>
      <c r="D11" s="703"/>
      <c r="E11" s="544"/>
      <c r="F11" s="546"/>
      <c r="G11" s="394">
        <f t="shared" si="0"/>
        <v>0</v>
      </c>
      <c r="H11" s="383"/>
      <c r="I11" s="386"/>
      <c r="J11" s="389"/>
    </row>
    <row r="12" spans="2:15" ht="19">
      <c r="B12" s="376" t="s">
        <v>192</v>
      </c>
      <c r="C12" s="702"/>
      <c r="D12" s="703"/>
      <c r="E12" s="544"/>
      <c r="F12" s="546"/>
      <c r="G12" s="394">
        <f t="shared" si="0"/>
        <v>0</v>
      </c>
      <c r="H12" s="383"/>
      <c r="I12" s="389"/>
      <c r="J12" s="389"/>
    </row>
    <row r="13" spans="2:15" ht="18">
      <c r="B13" s="376" t="s">
        <v>193</v>
      </c>
      <c r="C13" s="702"/>
      <c r="D13" s="703"/>
      <c r="E13" s="544"/>
      <c r="F13" s="546"/>
      <c r="G13" s="394">
        <f t="shared" si="0"/>
        <v>0</v>
      </c>
    </row>
    <row r="14" spans="2:15" ht="18">
      <c r="B14" s="376" t="s">
        <v>194</v>
      </c>
      <c r="C14" s="702"/>
      <c r="D14" s="703"/>
      <c r="E14" s="545"/>
      <c r="F14" s="546"/>
      <c r="G14" s="394">
        <f t="shared" si="0"/>
        <v>0</v>
      </c>
    </row>
    <row r="15" spans="2:15" ht="18">
      <c r="B15" s="376" t="s">
        <v>195</v>
      </c>
      <c r="C15" s="702"/>
      <c r="D15" s="703"/>
      <c r="E15" s="546"/>
      <c r="F15" s="546"/>
      <c r="G15" s="394" t="e">
        <f>E15/F15/62.4</f>
        <v>#DIV/0!</v>
      </c>
    </row>
    <row r="16" spans="2:15" ht="19" thickBot="1">
      <c r="B16" s="377" t="s">
        <v>196</v>
      </c>
      <c r="C16" s="708"/>
      <c r="D16" s="709"/>
      <c r="E16" s="548"/>
      <c r="F16" s="549"/>
      <c r="G16" s="395">
        <f>27*C16</f>
        <v>0</v>
      </c>
    </row>
    <row r="17" spans="2:12" ht="18">
      <c r="B17" s="378" t="s">
        <v>197</v>
      </c>
      <c r="C17" s="527"/>
      <c r="D17" s="527"/>
      <c r="E17" s="528">
        <f>SUM(E7:E15)</f>
        <v>0</v>
      </c>
      <c r="F17" s="529" t="s">
        <v>198</v>
      </c>
      <c r="G17" s="530" t="e">
        <f>SUM(G7:G16)</f>
        <v>#DIV/0!</v>
      </c>
      <c r="H17" s="373" t="s">
        <v>199</v>
      </c>
      <c r="I17" s="373"/>
      <c r="J17" s="373"/>
      <c r="K17" s="373"/>
      <c r="L17" s="373"/>
    </row>
    <row r="18" spans="2:12" ht="18">
      <c r="B18" s="372"/>
      <c r="C18" s="511"/>
      <c r="D18" s="511"/>
      <c r="E18" s="531" t="e">
        <f>E17/G17</f>
        <v>#DIV/0!</v>
      </c>
      <c r="F18" s="529" t="s">
        <v>200</v>
      </c>
      <c r="G18" s="511"/>
      <c r="I18" s="373"/>
      <c r="J18" s="373"/>
      <c r="K18" s="373"/>
      <c r="L18" s="373"/>
    </row>
    <row r="19" spans="2:12" ht="18">
      <c r="C19" s="373"/>
      <c r="D19" s="373"/>
      <c r="E19" s="396"/>
      <c r="F19" s="383"/>
      <c r="G19" s="373"/>
      <c r="I19" s="373"/>
      <c r="J19" s="373"/>
      <c r="K19" s="373"/>
      <c r="L19" s="373"/>
    </row>
    <row r="20" spans="2:12" ht="18">
      <c r="B20" s="372" t="s">
        <v>201</v>
      </c>
      <c r="C20" s="373"/>
      <c r="D20" s="373"/>
      <c r="E20" s="400" t="s">
        <v>202</v>
      </c>
      <c r="F20" s="383"/>
      <c r="G20" s="373"/>
      <c r="I20" s="373"/>
      <c r="J20" s="373"/>
      <c r="K20" s="373"/>
      <c r="L20" s="373"/>
    </row>
    <row r="21" spans="2:12" ht="19" thickBot="1">
      <c r="B21" s="532"/>
      <c r="C21" s="532"/>
      <c r="D21" s="533"/>
      <c r="E21" s="534"/>
      <c r="F21" s="535"/>
      <c r="G21" s="533"/>
      <c r="H21" s="534"/>
      <c r="I21" s="533"/>
      <c r="J21" s="533"/>
      <c r="K21" s="533"/>
      <c r="L21" s="533"/>
    </row>
    <row r="22" spans="2:12" ht="19">
      <c r="B22" s="536" t="s">
        <v>203</v>
      </c>
      <c r="C22" s="518" t="e">
        <f>E15/(E12+E13)</f>
        <v>#DIV/0!</v>
      </c>
      <c r="D22" s="519"/>
      <c r="E22" s="520" t="s">
        <v>171</v>
      </c>
      <c r="F22" s="521" t="e">
        <f>G7/(SUM($G$7:$G$11))</f>
        <v>#DIV/0!</v>
      </c>
      <c r="G22" s="533"/>
      <c r="H22" s="534"/>
      <c r="I22" s="533"/>
      <c r="J22" s="533"/>
      <c r="K22" s="533"/>
      <c r="L22" s="533"/>
    </row>
    <row r="23" spans="2:12" ht="19">
      <c r="B23" s="537" t="s">
        <v>204</v>
      </c>
      <c r="C23" s="522" t="e">
        <f>(E13+E14)/(E12+E13+E14)</f>
        <v>#DIV/0!</v>
      </c>
      <c r="D23" s="519"/>
      <c r="E23" s="520" t="s">
        <v>172</v>
      </c>
      <c r="F23" s="521" t="e">
        <f>G8/(SUM($G$7:$G$11))</f>
        <v>#DIV/0!</v>
      </c>
      <c r="G23" s="533"/>
      <c r="H23" s="538"/>
      <c r="I23" s="700" t="s">
        <v>205</v>
      </c>
      <c r="J23" s="700"/>
      <c r="K23" s="526" t="e">
        <f>SUM(D44:D46)</f>
        <v>#DIV/0!</v>
      </c>
      <c r="L23" s="506" t="e">
        <f>IF(K23&gt;=0.2,"YES","NO")</f>
        <v>#DIV/0!</v>
      </c>
    </row>
    <row r="24" spans="2:12" ht="19">
      <c r="B24" s="539" t="s">
        <v>206</v>
      </c>
      <c r="C24" s="523">
        <f>E13+E12+E14</f>
        <v>0</v>
      </c>
      <c r="D24" s="519" t="s">
        <v>207</v>
      </c>
      <c r="E24" s="520" t="s">
        <v>173</v>
      </c>
      <c r="F24" s="521" t="e">
        <f>G9/(SUM($G$7:$G$11))</f>
        <v>#DIV/0!</v>
      </c>
      <c r="G24" s="533"/>
      <c r="H24" s="538"/>
      <c r="I24" s="714" t="s">
        <v>208</v>
      </c>
      <c r="J24" s="714"/>
      <c r="K24" s="714"/>
      <c r="L24" s="514"/>
    </row>
    <row r="25" spans="2:12" ht="19">
      <c r="B25" s="539" t="s">
        <v>209</v>
      </c>
      <c r="C25" s="524">
        <f>C24/94</f>
        <v>0</v>
      </c>
      <c r="D25" s="519" t="s">
        <v>210</v>
      </c>
      <c r="E25" s="520" t="s">
        <v>174</v>
      </c>
      <c r="F25" s="521" t="e">
        <f>G10/(SUM($G$7:$G$11))</f>
        <v>#DIV/0!</v>
      </c>
      <c r="G25" s="533"/>
      <c r="H25" s="538"/>
      <c r="I25" s="700" t="s">
        <v>211</v>
      </c>
      <c r="J25" s="700"/>
      <c r="K25" s="526" t="e">
        <f>SUM(D46:D49)</f>
        <v>#DIV/0!</v>
      </c>
      <c r="L25" s="514"/>
    </row>
    <row r="26" spans="2:12" ht="28.5" customHeight="1" thickBot="1">
      <c r="B26" s="540" t="s">
        <v>212</v>
      </c>
      <c r="C26" s="525" t="e">
        <f>(G12+G13+G14+G15)/G17</f>
        <v>#DIV/0!</v>
      </c>
      <c r="D26" s="511"/>
      <c r="E26" s="520" t="s">
        <v>175</v>
      </c>
      <c r="F26" s="521" t="e">
        <f>G11/(SUM($G$7:$G$11))</f>
        <v>#DIV/0!</v>
      </c>
      <c r="G26" s="534"/>
      <c r="H26" s="538"/>
      <c r="I26" s="713" t="s">
        <v>213</v>
      </c>
      <c r="J26" s="713"/>
      <c r="K26" s="713"/>
      <c r="L26" s="506" t="e">
        <f>IF(AND(0.24&lt;=K25, K25&lt;=0.34),"YES","NO")</f>
        <v>#DIV/0!</v>
      </c>
    </row>
    <row r="27" spans="2:12" ht="35" customHeight="1">
      <c r="B27" s="541" t="s">
        <v>214</v>
      </c>
      <c r="C27" s="533"/>
      <c r="D27" s="533"/>
      <c r="E27" s="534"/>
      <c r="F27" s="534"/>
      <c r="G27" s="534"/>
      <c r="H27" s="538"/>
      <c r="I27" s="713" t="s">
        <v>215</v>
      </c>
      <c r="J27" s="713"/>
      <c r="K27" s="713"/>
      <c r="L27" s="506" t="e">
        <f>IF(AND(0.25&lt;=K25, K25&lt;=0.4),"YES","NO")</f>
        <v>#DIV/0!</v>
      </c>
    </row>
    <row r="28" spans="2:12" ht="19" thickBot="1">
      <c r="H28" s="514"/>
      <c r="I28" s="511"/>
      <c r="J28" s="511"/>
      <c r="K28" s="511"/>
      <c r="L28" s="511"/>
    </row>
    <row r="29" spans="2:12" ht="18">
      <c r="B29" s="390" t="s">
        <v>216</v>
      </c>
      <c r="C29" s="710" t="s">
        <v>217</v>
      </c>
      <c r="D29" s="710"/>
      <c r="E29" s="710" t="s">
        <v>218</v>
      </c>
      <c r="F29" s="715"/>
      <c r="H29" s="514"/>
      <c r="I29" s="511"/>
      <c r="J29" s="511"/>
      <c r="K29" s="511"/>
      <c r="L29" s="511"/>
    </row>
    <row r="30" spans="2:12" ht="18">
      <c r="B30" s="376" t="s">
        <v>219</v>
      </c>
      <c r="C30" s="711"/>
      <c r="D30" s="711"/>
      <c r="E30" s="711"/>
      <c r="F30" s="716"/>
      <c r="H30" s="514"/>
      <c r="I30" s="511"/>
      <c r="J30" s="511"/>
      <c r="K30" s="511"/>
      <c r="L30" s="511"/>
    </row>
    <row r="31" spans="2:12" ht="18">
      <c r="B31" s="376" t="s">
        <v>220</v>
      </c>
      <c r="C31" s="711"/>
      <c r="D31" s="711"/>
      <c r="E31" s="711"/>
      <c r="F31" s="716"/>
      <c r="H31" s="514"/>
      <c r="I31" s="511"/>
      <c r="J31" s="511"/>
      <c r="K31" s="511"/>
      <c r="L31" s="511"/>
    </row>
    <row r="32" spans="2:12" ht="18.75" customHeight="1">
      <c r="B32" s="376" t="s">
        <v>221</v>
      </c>
      <c r="C32" s="711"/>
      <c r="D32" s="711"/>
      <c r="E32" s="711"/>
      <c r="F32" s="716"/>
      <c r="H32" s="514"/>
      <c r="I32" s="511"/>
      <c r="J32" s="511"/>
      <c r="K32" s="511"/>
      <c r="L32" s="511"/>
    </row>
    <row r="33" spans="2:16" ht="20" customHeight="1" thickBot="1">
      <c r="B33" s="377" t="s">
        <v>222</v>
      </c>
      <c r="C33" s="717"/>
      <c r="D33" s="717"/>
      <c r="E33" s="717"/>
      <c r="F33" s="718"/>
      <c r="I33" s="373"/>
      <c r="J33" s="373"/>
      <c r="K33" s="373"/>
      <c r="L33" s="373"/>
    </row>
    <row r="34" spans="2:16" ht="20" customHeight="1">
      <c r="B34" s="534"/>
      <c r="C34" s="534"/>
      <c r="D34" s="534"/>
      <c r="E34" s="534"/>
      <c r="F34" s="534"/>
      <c r="G34" s="534"/>
      <c r="H34" s="534"/>
      <c r="I34" s="373"/>
      <c r="J34" s="373"/>
      <c r="K34" s="373"/>
      <c r="L34" s="373"/>
    </row>
    <row r="35" spans="2:16" ht="18">
      <c r="B35" s="541" t="s">
        <v>223</v>
      </c>
      <c r="C35" s="533"/>
      <c r="D35" s="533"/>
      <c r="E35" s="542"/>
      <c r="F35" s="533"/>
      <c r="G35" s="533"/>
      <c r="H35" s="533"/>
      <c r="I35" s="373"/>
      <c r="J35" s="373"/>
      <c r="K35" s="373"/>
      <c r="L35" s="373"/>
    </row>
    <row r="36" spans="2:16" ht="19" thickBot="1">
      <c r="B36" s="533"/>
      <c r="C36" s="533"/>
      <c r="D36" s="533"/>
      <c r="E36" s="533"/>
      <c r="F36" s="533"/>
      <c r="G36" s="533"/>
      <c r="H36" s="533"/>
      <c r="I36" s="373"/>
      <c r="J36" s="373"/>
      <c r="K36" s="373"/>
      <c r="L36" s="373"/>
    </row>
    <row r="37" spans="2:16" ht="38">
      <c r="B37" s="391" t="s">
        <v>170</v>
      </c>
      <c r="C37" s="392" t="s">
        <v>224</v>
      </c>
      <c r="D37" s="392" t="s">
        <v>225</v>
      </c>
      <c r="E37" s="392" t="s">
        <v>226</v>
      </c>
      <c r="F37" s="547" t="s">
        <v>227</v>
      </c>
      <c r="H37" s="534"/>
    </row>
    <row r="38" spans="2:16" ht="19">
      <c r="B38" s="503" t="s">
        <v>176</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150</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136</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177</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178</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161</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179</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180</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163</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164</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181</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9" thickBot="1">
      <c r="B49" s="508" t="s">
        <v>165</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228</v>
      </c>
      <c r="D50" s="513" t="e">
        <f>SUM(D38:D49)</f>
        <v>#DIV/0!</v>
      </c>
      <c r="E50" s="511"/>
      <c r="F50" s="511"/>
      <c r="G50" s="514"/>
      <c r="H50" s="534"/>
      <c r="L50" s="373"/>
    </row>
    <row r="51" spans="2:12" ht="18">
      <c r="B51" s="511"/>
      <c r="C51" s="512"/>
      <c r="D51" s="515"/>
      <c r="E51" s="511"/>
      <c r="F51" s="511"/>
      <c r="G51" s="514"/>
      <c r="H51" s="534"/>
      <c r="L51" s="373"/>
    </row>
    <row r="52" spans="2:12" ht="18">
      <c r="B52" s="700" t="s">
        <v>205</v>
      </c>
      <c r="C52" s="700"/>
      <c r="D52" s="516" t="e">
        <f>SUM(D44:D46)</f>
        <v>#DIV/0!</v>
      </c>
      <c r="E52" s="506" t="e">
        <f>IF(D52&gt;=0.15,"YES","NO")</f>
        <v>#DIV/0!</v>
      </c>
      <c r="F52" s="511"/>
      <c r="G52" s="514"/>
      <c r="H52" s="534"/>
      <c r="L52" s="373"/>
    </row>
    <row r="53" spans="2:12" ht="18">
      <c r="B53" s="701" t="s">
        <v>229</v>
      </c>
      <c r="C53" s="701"/>
      <c r="D53" s="701"/>
      <c r="E53" s="514"/>
      <c r="F53" s="514"/>
      <c r="G53" s="517"/>
      <c r="H53" s="533"/>
      <c r="I53" s="373"/>
      <c r="J53" s="373"/>
      <c r="L53" s="373"/>
    </row>
    <row r="54" spans="2:12" ht="18">
      <c r="B54" s="700" t="s">
        <v>211</v>
      </c>
      <c r="C54" s="700"/>
      <c r="D54" s="516" t="e">
        <f>SUM(D46:D49)</f>
        <v>#DIV/0!</v>
      </c>
      <c r="E54" s="514"/>
      <c r="F54" s="514"/>
      <c r="G54" s="514"/>
      <c r="H54" s="533"/>
      <c r="I54" s="373"/>
      <c r="J54" s="373"/>
      <c r="K54" s="373"/>
      <c r="L54" s="373"/>
    </row>
    <row r="55" spans="2:12" ht="18">
      <c r="B55" s="713" t="s">
        <v>213</v>
      </c>
      <c r="C55" s="713"/>
      <c r="D55" s="713"/>
      <c r="E55" s="506" t="e">
        <f>IF(AND(0.24&lt;=D54, D54&lt;=0.34),"YES","NO")</f>
        <v>#DIV/0!</v>
      </c>
      <c r="F55" s="514"/>
      <c r="G55" s="514"/>
      <c r="H55" s="534"/>
    </row>
    <row r="56" spans="2:12" ht="18">
      <c r="B56" s="713" t="s">
        <v>215</v>
      </c>
      <c r="C56" s="713"/>
      <c r="D56" s="713"/>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baseColWidth="10" defaultColWidth="8.83203125" defaultRowHeight="15"/>
  <cols>
    <col min="1" max="1" width="15.6640625" customWidth="1"/>
    <col min="2" max="2" width="12.5" customWidth="1"/>
    <col min="3" max="3" width="11.6640625" customWidth="1"/>
    <col min="4" max="4" width="14.33203125" customWidth="1"/>
    <col min="5" max="5" width="16.33203125" customWidth="1"/>
    <col min="6" max="7" width="10" customWidth="1"/>
    <col min="9" max="11" width="12.6640625" customWidth="1"/>
    <col min="12" max="12" width="10.6640625" customWidth="1"/>
    <col min="14" max="14" width="19.5" bestFit="1" customWidth="1"/>
    <col min="18" max="18" width="14" customWidth="1"/>
    <col min="22" max="22" width="11.33203125" customWidth="1"/>
    <col min="26" max="26" width="12.5" customWidth="1"/>
    <col min="27" max="27" width="12.6640625" customWidth="1"/>
    <col min="28" max="28" width="16.6640625" customWidth="1"/>
    <col min="29" max="29" width="10.5" bestFit="1" customWidth="1"/>
    <col min="32" max="32" width="15.5" customWidth="1"/>
    <col min="33" max="33" width="13.33203125" customWidth="1"/>
    <col min="34" max="34" width="10.6640625" customWidth="1"/>
    <col min="35" max="35" width="10.5" customWidth="1"/>
    <col min="36" max="36" width="12" customWidth="1"/>
    <col min="37" max="37" width="10.33203125" customWidth="1"/>
    <col min="39" max="39" width="15.6640625" customWidth="1"/>
    <col min="40" max="40" width="12.33203125" customWidth="1"/>
    <col min="41" max="41" width="13.6640625" customWidth="1"/>
    <col min="42" max="42" width="12.33203125" bestFit="1" customWidth="1"/>
    <col min="43" max="43" width="9.33203125" customWidth="1"/>
    <col min="50" max="50" width="15.33203125" customWidth="1"/>
    <col min="62" max="62" width="19.33203125" customWidth="1"/>
    <col min="64" max="64" width="11.33203125" customWidth="1"/>
    <col min="66" max="66" width="10.5" customWidth="1"/>
    <col min="67" max="67" width="14" customWidth="1"/>
    <col min="69" max="69" width="15.33203125" customWidth="1"/>
    <col min="71" max="71" width="12.6640625" customWidth="1"/>
    <col min="72" max="72" width="10.6640625" customWidth="1"/>
    <col min="73" max="73" width="11.5" customWidth="1"/>
    <col min="74" max="74" width="10.6640625" customWidth="1"/>
    <col min="75" max="75" width="17.6640625" customWidth="1"/>
    <col min="76" max="76" width="11.5" customWidth="1"/>
    <col min="77" max="77" width="13.33203125" customWidth="1"/>
    <col min="78" max="78" width="12.33203125" customWidth="1"/>
    <col min="79" max="79" width="13.33203125" customWidth="1"/>
  </cols>
  <sheetData>
    <row r="1" spans="14:111" ht="19" thickBot="1">
      <c r="Q1" s="343"/>
      <c r="R1" s="270"/>
      <c r="S1" s="132"/>
      <c r="U1" s="343"/>
      <c r="V1" s="270"/>
      <c r="W1" s="371"/>
      <c r="Z1" s="50"/>
      <c r="BH1" s="29"/>
      <c r="BI1" s="79"/>
      <c r="BJ1" s="79"/>
      <c r="BK1" s="79"/>
      <c r="BL1" s="117"/>
      <c r="BM1" s="134"/>
      <c r="BN1" s="134"/>
      <c r="BO1" s="134"/>
      <c r="BP1" s="134"/>
      <c r="BQ1" s="134"/>
      <c r="BR1" s="369"/>
      <c r="BS1" s="134"/>
      <c r="BT1" s="71"/>
      <c r="BU1" s="370"/>
      <c r="BX1" s="356" t="s">
        <v>230</v>
      </c>
      <c r="BY1" s="354">
        <v>1.021405182655144E-14</v>
      </c>
      <c r="BZ1" s="354">
        <v>4.4408920985006262E-15</v>
      </c>
      <c r="CA1" s="354">
        <v>0</v>
      </c>
      <c r="CB1" s="352">
        <f>AVERAGE(BY1:CA1)</f>
        <v>4.8849813083506888E-15</v>
      </c>
      <c r="CC1" s="352">
        <f>STDEV(BY1:CA1)</f>
        <v>5.121486610213742E-15</v>
      </c>
    </row>
    <row r="2" spans="14:111" ht="17"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231</v>
      </c>
      <c r="H46" s="54" t="s">
        <v>232</v>
      </c>
    </row>
    <row r="47" spans="2:8">
      <c r="B47" s="60" t="s">
        <v>233</v>
      </c>
      <c r="C47" s="61"/>
      <c r="G47" s="58">
        <v>0.8</v>
      </c>
      <c r="H47" s="51">
        <v>0.26500000000000001</v>
      </c>
    </row>
    <row r="48" spans="2:8">
      <c r="B48" s="62" t="s">
        <v>234</v>
      </c>
      <c r="C48" s="63" t="s">
        <v>235</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9"/>
      <c r="AD56" s="719"/>
      <c r="AE56" s="719"/>
      <c r="AF56" s="719"/>
      <c r="AG56" s="719"/>
      <c r="BO56" s="29"/>
      <c r="BP56" s="29"/>
      <c r="BQ56" s="29"/>
      <c r="BR56" s="29"/>
      <c r="BW56" s="29"/>
      <c r="BX56" s="252"/>
      <c r="BZ56" s="29"/>
      <c r="CA56" s="29"/>
      <c r="CB56" s="29"/>
      <c r="CK56" s="29"/>
      <c r="CL56" s="1"/>
    </row>
    <row r="57" spans="2:90">
      <c r="AC57" s="719"/>
      <c r="AD57" s="719"/>
      <c r="AE57" s="719"/>
      <c r="AF57" s="719"/>
      <c r="AG57" s="719"/>
      <c r="AN57" s="29"/>
      <c r="AO57" s="29"/>
      <c r="AP57" s="29"/>
      <c r="BS57" s="1"/>
      <c r="BU57" s="345"/>
      <c r="BV57" s="154"/>
      <c r="BW57" s="133"/>
      <c r="BX57" s="252"/>
      <c r="BY57" s="289"/>
      <c r="CA57" s="214"/>
      <c r="CB57" s="223"/>
      <c r="CK57" s="29"/>
      <c r="CL57" s="1"/>
    </row>
    <row r="58" spans="2:90">
      <c r="B58" s="104" t="s">
        <v>236</v>
      </c>
      <c r="C58" s="104" t="s">
        <v>237</v>
      </c>
      <c r="D58" s="104" t="s">
        <v>238</v>
      </c>
      <c r="E58" s="104" t="s">
        <v>239</v>
      </c>
      <c r="H58" s="26" t="s">
        <v>240</v>
      </c>
      <c r="I58" s="24"/>
      <c r="J58" s="24"/>
      <c r="K58" s="7"/>
      <c r="N58" s="157"/>
      <c r="BE58" s="29" t="s">
        <v>231</v>
      </c>
      <c r="BF58" s="29" t="s">
        <v>232</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241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8">
      <c r="B60" s="93">
        <v>1</v>
      </c>
      <c r="C60" s="101">
        <v>25</v>
      </c>
      <c r="D60" s="99">
        <f t="shared" si="0"/>
        <v>25000</v>
      </c>
      <c r="E60" s="102">
        <f t="shared" si="1"/>
        <v>95.295634032720628</v>
      </c>
      <c r="H60" s="8" t="s">
        <v>170</v>
      </c>
      <c r="I60" s="23" t="s">
        <v>242</v>
      </c>
      <c r="J60" s="23" t="s">
        <v>243</v>
      </c>
      <c r="K60" s="7" t="s">
        <v>244</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9"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20"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161</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8">
      <c r="B65" s="96" t="s">
        <v>179</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8">
      <c r="B66" s="96" t="s">
        <v>180</v>
      </c>
      <c r="C66" s="101">
        <v>1.18</v>
      </c>
      <c r="D66" s="99">
        <f t="shared" si="0"/>
        <v>1180</v>
      </c>
      <c r="E66" s="100">
        <f t="shared" si="1"/>
        <v>24.11831168315992</v>
      </c>
      <c r="F66" s="74"/>
      <c r="G66" s="74"/>
      <c r="H66" s="20" t="s">
        <v>161</v>
      </c>
      <c r="I66" s="228" t="e">
        <f>B$78*'Tarantula Curve Mix Design'!#REF!+'Tarantula Curve Mix Design'!#REF!*C$78+D$78*'Tarantula Curve Mix Design'!#REF!</f>
        <v>#REF!</v>
      </c>
      <c r="J66" s="65" t="e">
        <f t="shared" si="2"/>
        <v>#REF!</v>
      </c>
      <c r="K66" s="230" t="e">
        <f t="shared" si="3"/>
        <v>#REF!</v>
      </c>
      <c r="L66" s="60" t="s">
        <v>246</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8">
      <c r="B67" s="96" t="s">
        <v>163</v>
      </c>
      <c r="C67" s="101">
        <v>0.6</v>
      </c>
      <c r="D67" s="99">
        <f t="shared" si="0"/>
        <v>600</v>
      </c>
      <c r="E67" s="100">
        <f t="shared" si="1"/>
        <v>17.789676992918196</v>
      </c>
      <c r="F67" s="74"/>
      <c r="G67" s="74"/>
      <c r="H67" s="21" t="s">
        <v>179</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8">
      <c r="B68" s="96" t="s">
        <v>164</v>
      </c>
      <c r="C68" s="101">
        <v>0.3</v>
      </c>
      <c r="D68" s="99">
        <f t="shared" si="0"/>
        <v>300</v>
      </c>
      <c r="E68" s="100">
        <f t="shared" si="1"/>
        <v>13.02280581041226</v>
      </c>
      <c r="F68" s="74"/>
      <c r="G68" s="74"/>
      <c r="H68" s="21" t="s">
        <v>180</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8">
      <c r="B69" s="96" t="s">
        <v>181</v>
      </c>
      <c r="C69" s="101">
        <v>0.15</v>
      </c>
      <c r="D69" s="99">
        <f t="shared" si="0"/>
        <v>150</v>
      </c>
      <c r="E69" s="100">
        <f t="shared" si="1"/>
        <v>9.533251854051084</v>
      </c>
      <c r="F69" s="74"/>
      <c r="G69" s="74"/>
      <c r="H69" s="21" t="s">
        <v>163</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9" thickBot="1">
      <c r="B70" s="97" t="s">
        <v>165</v>
      </c>
      <c r="C70" s="103">
        <v>7.4999999999999997E-2</v>
      </c>
      <c r="D70" s="103">
        <f t="shared" si="0"/>
        <v>75</v>
      </c>
      <c r="E70" s="102">
        <f t="shared" si="1"/>
        <v>6.9787488376816533</v>
      </c>
      <c r="F70" s="74"/>
      <c r="G70" s="74"/>
      <c r="H70" s="21" t="s">
        <v>164</v>
      </c>
      <c r="I70" s="228" t="e">
        <f>B$78*'Tarantula Curve Mix Design'!C47+'Tarantula Curve Mix Design'!#REF!*C$78+D$78*'Tarantula Curve Mix Design'!#REF!</f>
        <v>#DIV/0!</v>
      </c>
      <c r="J70" s="65" t="e">
        <f t="shared" si="2"/>
        <v>#DIV/0!</v>
      </c>
      <c r="K70" s="65" t="e">
        <f t="shared" si="3"/>
        <v>#REF!</v>
      </c>
      <c r="L70" s="60" t="s">
        <v>247</v>
      </c>
      <c r="M70" s="337"/>
      <c r="N70" s="29"/>
      <c r="O70" s="72"/>
      <c r="P70" s="71"/>
      <c r="Q70" s="72"/>
      <c r="AV70" s="29"/>
      <c r="AW70" s="79"/>
      <c r="AX70" s="79"/>
      <c r="BI70" s="162" t="s">
        <v>248</v>
      </c>
      <c r="BJ70" s="163" t="s">
        <v>147</v>
      </c>
      <c r="BK70" s="164" t="s">
        <v>249</v>
      </c>
      <c r="BL70" s="165"/>
      <c r="BM70" s="166"/>
      <c r="BN70" s="167" t="s">
        <v>250</v>
      </c>
      <c r="BO70" s="168"/>
      <c r="BX70" s="365"/>
      <c r="BY70" s="366"/>
      <c r="BZ70" s="366"/>
      <c r="CA70" s="366"/>
      <c r="CB70" s="352"/>
      <c r="CC70" s="352"/>
    </row>
    <row r="71" spans="1:81" ht="16" thickTop="1">
      <c r="F71" s="74"/>
      <c r="G71" s="74"/>
      <c r="H71" s="21" t="s">
        <v>181</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251</v>
      </c>
      <c r="BJ71" s="170" t="s">
        <v>252</v>
      </c>
      <c r="BK71" s="170" t="s">
        <v>253</v>
      </c>
      <c r="BL71" s="170" t="s">
        <v>178</v>
      </c>
      <c r="BM71" s="170" t="s">
        <v>254</v>
      </c>
      <c r="BN71" s="170" t="s">
        <v>255</v>
      </c>
      <c r="BO71" s="170" t="s">
        <v>256</v>
      </c>
    </row>
    <row r="72" spans="1:81">
      <c r="F72" s="74"/>
      <c r="G72" s="74"/>
      <c r="H72" s="21" t="s">
        <v>165</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257</v>
      </c>
      <c r="BK72" s="172">
        <v>0.75</v>
      </c>
      <c r="BL72" s="172">
        <v>0.25</v>
      </c>
      <c r="BM72" s="172">
        <v>0</v>
      </c>
      <c r="BN72" s="172">
        <v>108.02666666666669</v>
      </c>
      <c r="BO72" s="173">
        <v>7.6635979978430724</v>
      </c>
    </row>
    <row r="73" spans="1:81">
      <c r="A73" s="7" t="s">
        <v>258</v>
      </c>
      <c r="B73" s="4" t="s">
        <v>259</v>
      </c>
      <c r="C73" s="4" t="s">
        <v>178</v>
      </c>
      <c r="D73" s="4" t="s">
        <v>260</v>
      </c>
      <c r="E73" s="4" t="s">
        <v>228</v>
      </c>
      <c r="F73" s="74"/>
      <c r="G73" s="74"/>
      <c r="AV73" s="29"/>
      <c r="AW73" s="79"/>
      <c r="AX73" s="79"/>
      <c r="BI73" s="174">
        <v>5</v>
      </c>
      <c r="BJ73" s="174" t="s">
        <v>257</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257</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261</v>
      </c>
      <c r="AG75" s="11" t="s">
        <v>149</v>
      </c>
      <c r="AJ75" s="7" t="s">
        <v>258</v>
      </c>
      <c r="AK75" s="27" t="s">
        <v>262</v>
      </c>
      <c r="AL75" s="27" t="s">
        <v>193</v>
      </c>
      <c r="AN75" s="29"/>
      <c r="AO75" s="29"/>
      <c r="AV75" s="29"/>
      <c r="AW75" s="79"/>
      <c r="AX75" s="79"/>
      <c r="BI75" s="174">
        <v>7</v>
      </c>
      <c r="BJ75" s="174" t="s">
        <v>257</v>
      </c>
      <c r="BK75" s="175">
        <v>0.80645161290322587</v>
      </c>
      <c r="BL75" s="175">
        <v>0.19354838709677419</v>
      </c>
      <c r="BM75" s="175">
        <v>0</v>
      </c>
      <c r="BN75" s="175">
        <v>105.45333333333333</v>
      </c>
      <c r="BO75" s="176">
        <v>7.110591027247632</v>
      </c>
    </row>
    <row r="76" spans="1:81">
      <c r="B76" s="12" t="s">
        <v>263</v>
      </c>
      <c r="C76" s="13"/>
      <c r="D76" s="14"/>
      <c r="F76" s="50">
        <v>0.48979096777502334</v>
      </c>
      <c r="G76" s="50"/>
      <c r="H76" s="152">
        <v>2132.267249349793</v>
      </c>
      <c r="I76" s="152">
        <v>6.306409804893919</v>
      </c>
      <c r="J76" s="152">
        <v>1227.0722332265495</v>
      </c>
      <c r="N76" s="1"/>
      <c r="AF76" s="11" t="s">
        <v>264</v>
      </c>
      <c r="AG76" s="128" t="e">
        <f>K65/K67</f>
        <v>#REF!</v>
      </c>
      <c r="AJ76" s="11">
        <v>2</v>
      </c>
      <c r="AK76" s="99">
        <v>392</v>
      </c>
      <c r="AL76" s="123">
        <v>78</v>
      </c>
      <c r="AN76" s="213"/>
      <c r="AO76" s="29"/>
      <c r="AV76" s="29"/>
      <c r="AW76" s="79"/>
      <c r="AX76" s="79"/>
      <c r="BI76" s="174">
        <v>8</v>
      </c>
      <c r="BJ76" s="174" t="s">
        <v>257</v>
      </c>
      <c r="BK76" s="175">
        <v>0.87719298245614041</v>
      </c>
      <c r="BL76" s="175">
        <v>0.12280701754385967</v>
      </c>
      <c r="BM76" s="175">
        <v>0</v>
      </c>
      <c r="BN76" s="175">
        <v>104.04</v>
      </c>
      <c r="BO76" s="176">
        <v>6.4175998360252713</v>
      </c>
    </row>
    <row r="77" spans="1:81">
      <c r="B77" s="4" t="s">
        <v>253</v>
      </c>
      <c r="C77" s="4" t="s">
        <v>178</v>
      </c>
      <c r="D77" s="4" t="s">
        <v>260</v>
      </c>
      <c r="F77" s="50">
        <v>0.13521912537420402</v>
      </c>
      <c r="G77" s="50"/>
      <c r="I77" s="152">
        <v>6.2164839970423236</v>
      </c>
      <c r="J77" s="152">
        <v>1255.6498250057255</v>
      </c>
      <c r="N77" s="1"/>
      <c r="AF77" s="11" t="s">
        <v>265</v>
      </c>
      <c r="AG77" s="128" t="e">
        <f>(I67*100+2.5*((AK76+AL76)-564)/94)/100</f>
        <v>#REF!</v>
      </c>
      <c r="AV77" s="29"/>
      <c r="AW77" s="79"/>
      <c r="AX77" s="79"/>
      <c r="BI77" s="174">
        <v>9</v>
      </c>
      <c r="BJ77" s="174" t="s">
        <v>257</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257</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257</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257</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257</v>
      </c>
      <c r="BK81" s="175">
        <v>0.65359477124183007</v>
      </c>
      <c r="BL81" s="175">
        <v>0.34640522875816993</v>
      </c>
      <c r="BM81" s="175">
        <v>0</v>
      </c>
      <c r="BN81" s="175">
        <v>110.53333333333335</v>
      </c>
      <c r="BO81" s="176">
        <v>8.6079955227908496</v>
      </c>
    </row>
    <row r="82" spans="1:81">
      <c r="N82" s="49"/>
      <c r="AV82" s="29"/>
      <c r="AW82" s="79"/>
      <c r="AX82" s="79"/>
      <c r="BI82" s="174">
        <v>14</v>
      </c>
      <c r="BJ82" s="174" t="s">
        <v>257</v>
      </c>
      <c r="BK82" s="175">
        <v>0.75187969924812026</v>
      </c>
      <c r="BL82" s="175">
        <v>0.24812030075187969</v>
      </c>
      <c r="BM82" s="175">
        <v>0</v>
      </c>
      <c r="BN82" s="175">
        <v>108.58666666666666</v>
      </c>
      <c r="BO82" s="176">
        <v>7.6451842319048797</v>
      </c>
    </row>
    <row r="83" spans="1:81">
      <c r="N83" s="49"/>
      <c r="AV83" s="29"/>
      <c r="AW83" s="79"/>
      <c r="AX83" s="79"/>
      <c r="BI83" s="174">
        <v>15</v>
      </c>
      <c r="BJ83" s="174" t="s">
        <v>257</v>
      </c>
      <c r="BK83" s="175">
        <v>0.7246376811594204</v>
      </c>
      <c r="BL83" s="175">
        <v>0.27536231884057971</v>
      </c>
      <c r="BM83" s="175">
        <v>0</v>
      </c>
      <c r="BN83" s="175">
        <v>112.05333333333334</v>
      </c>
      <c r="BO83" s="176">
        <v>7.9120504049221863</v>
      </c>
    </row>
    <row r="84" spans="1:81">
      <c r="N84" s="49"/>
      <c r="AV84" s="29"/>
      <c r="AW84" s="79"/>
      <c r="AX84" s="79"/>
      <c r="BI84" s="174">
        <v>16</v>
      </c>
      <c r="BJ84" s="174" t="s">
        <v>257</v>
      </c>
      <c r="BK84" s="175">
        <v>0.69930069930069938</v>
      </c>
      <c r="BL84" s="175">
        <v>0.30069930069930073</v>
      </c>
      <c r="BM84" s="175">
        <v>0</v>
      </c>
      <c r="BN84" s="175">
        <v>110.69333333333334</v>
      </c>
      <c r="BO84" s="176">
        <v>8.1602546077984215</v>
      </c>
    </row>
    <row r="85" spans="1:81">
      <c r="A85" s="7" t="s">
        <v>258</v>
      </c>
      <c r="B85" s="4" t="s">
        <v>259</v>
      </c>
      <c r="C85" s="4" t="s">
        <v>178</v>
      </c>
      <c r="D85" s="4" t="s">
        <v>260</v>
      </c>
      <c r="E85" s="4" t="s">
        <v>228</v>
      </c>
      <c r="H85" s="22"/>
      <c r="I85" s="6"/>
      <c r="J85" s="25" t="s">
        <v>266</v>
      </c>
      <c r="K85" s="15"/>
      <c r="N85" s="49"/>
      <c r="AV85" s="29"/>
      <c r="AW85" s="79"/>
      <c r="AX85" s="79"/>
      <c r="BI85" s="174">
        <v>17</v>
      </c>
      <c r="BJ85" s="174" t="s">
        <v>257</v>
      </c>
      <c r="BK85" s="175">
        <v>0.67567567567567566</v>
      </c>
      <c r="BL85" s="175">
        <v>0.32432432432432434</v>
      </c>
      <c r="BM85" s="175">
        <v>0</v>
      </c>
      <c r="BN85" s="175">
        <v>112.08</v>
      </c>
      <c r="BO85" s="176">
        <v>8.3916882564262636</v>
      </c>
    </row>
    <row r="86" spans="1:81" ht="28">
      <c r="A86" s="11">
        <v>7</v>
      </c>
      <c r="B86" s="5">
        <v>1503</v>
      </c>
      <c r="C86" s="5">
        <v>560</v>
      </c>
      <c r="D86" s="5">
        <v>1271</v>
      </c>
      <c r="E86" s="7">
        <f>B86+C86+D86</f>
        <v>3334</v>
      </c>
      <c r="H86" s="8" t="s">
        <v>170</v>
      </c>
      <c r="I86" s="23" t="s">
        <v>242</v>
      </c>
      <c r="J86" s="23" t="s">
        <v>243</v>
      </c>
      <c r="K86" s="23" t="s">
        <v>244</v>
      </c>
      <c r="N86" s="49"/>
      <c r="AV86" s="29"/>
      <c r="AW86" s="79"/>
      <c r="AX86" s="79"/>
      <c r="BI86" s="174">
        <v>18</v>
      </c>
      <c r="BJ86" s="174" t="s">
        <v>257</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257</v>
      </c>
      <c r="BK87" s="177">
        <v>0.86</v>
      </c>
      <c r="BL87" s="177">
        <v>0.14000000000000001</v>
      </c>
      <c r="BM87" s="175">
        <v>0</v>
      </c>
      <c r="BN87" s="175">
        <v>106.61333333333334</v>
      </c>
      <c r="BO87" s="176">
        <v>6.5860244151399527</v>
      </c>
    </row>
    <row r="88" spans="1:81">
      <c r="B88" s="12" t="s">
        <v>263</v>
      </c>
      <c r="C88" s="13"/>
      <c r="D88" s="14"/>
      <c r="H88" s="19">
        <v>1</v>
      </c>
      <c r="I88" s="88" t="e">
        <f>B$90*'Tarantula Curve Mix Design'!#REF!+'Tarantula Curve Mix Design'!#REF!*C$90+D$90*'Tarantula Curve Mix Design'!#REF!</f>
        <v>#REF!</v>
      </c>
      <c r="J88" s="64" t="e">
        <f>I87-I88</f>
        <v>#REF!</v>
      </c>
      <c r="K88" s="59" t="e">
        <f>J87+J88</f>
        <v>#REF!</v>
      </c>
      <c r="L88" s="29"/>
      <c r="BI88" s="174">
        <v>21</v>
      </c>
      <c r="BJ88" s="174" t="s">
        <v>257</v>
      </c>
      <c r="BK88" s="178">
        <v>0.76</v>
      </c>
      <c r="BL88" s="179">
        <v>0.24</v>
      </c>
      <c r="BM88" s="175">
        <v>0</v>
      </c>
      <c r="BN88" s="175">
        <v>108</v>
      </c>
      <c r="BO88" s="176">
        <v>7.5656367630518817</v>
      </c>
    </row>
    <row r="89" spans="1:81">
      <c r="B89" s="4" t="s">
        <v>253</v>
      </c>
      <c r="C89" s="4" t="s">
        <v>178</v>
      </c>
      <c r="D89" s="4" t="s">
        <v>260</v>
      </c>
      <c r="H89" s="19">
        <v>0.75</v>
      </c>
      <c r="I89" s="88" t="e">
        <f>B$90*'Tarantula Curve Mix Design'!#REF!+'Tarantula Curve Mix Design'!#REF!*C$90+D$90*'Tarantula Curve Mix Design'!#REF!</f>
        <v>#REF!</v>
      </c>
      <c r="J89" s="64" t="e">
        <f t="shared" ref="J89:J98" si="4">I88-I89</f>
        <v>#REF!</v>
      </c>
      <c r="K89" s="59" t="e">
        <f>J88+J89</f>
        <v>#REF!</v>
      </c>
      <c r="L89" s="29"/>
      <c r="BI89" s="174">
        <v>22</v>
      </c>
      <c r="BJ89" s="174" t="s">
        <v>257</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257</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257</v>
      </c>
      <c r="BK91" s="175">
        <v>0.62</v>
      </c>
      <c r="BL91" s="175">
        <v>0.38</v>
      </c>
      <c r="BM91" s="175">
        <v>0</v>
      </c>
      <c r="BN91" s="175">
        <v>108.32000000000001</v>
      </c>
      <c r="BO91" s="176">
        <v>8.9370940501285805</v>
      </c>
    </row>
    <row r="92" spans="1:81">
      <c r="H92" s="20" t="s">
        <v>161</v>
      </c>
      <c r="I92" s="88" t="e">
        <f>B$90*'Tarantula Curve Mix Design'!#REF!+'Tarantula Curve Mix Design'!#REF!*C$90+D$90*'Tarantula Curve Mix Design'!#REF!</f>
        <v>#REF!</v>
      </c>
      <c r="J92" s="64" t="e">
        <f t="shared" si="4"/>
        <v>#REF!</v>
      </c>
      <c r="K92" s="59" t="e">
        <f t="shared" si="5"/>
        <v>#REF!</v>
      </c>
      <c r="BI92" s="174">
        <v>25</v>
      </c>
      <c r="BJ92" s="174" t="s">
        <v>257</v>
      </c>
      <c r="BK92" s="175">
        <v>0.57000000000000006</v>
      </c>
      <c r="BL92" s="175">
        <v>0.43</v>
      </c>
      <c r="BM92" s="175">
        <v>0</v>
      </c>
      <c r="BN92" s="175">
        <v>109.60000000000002</v>
      </c>
      <c r="BO92" s="176">
        <v>9.4269002240845445</v>
      </c>
    </row>
    <row r="93" spans="1:81">
      <c r="H93" s="21" t="s">
        <v>179</v>
      </c>
      <c r="I93" s="108" t="e">
        <f>B$90*'Tarantula Curve Mix Design'!#REF!+'Tarantula Curve Mix Design'!#REF!*C$90+D$90*'Tarantula Curve Mix Design'!#REF!</f>
        <v>#REF!</v>
      </c>
      <c r="J93" s="64" t="e">
        <f t="shared" si="4"/>
        <v>#REF!</v>
      </c>
      <c r="K93" s="87" t="e">
        <f t="shared" si="5"/>
        <v>#REF!</v>
      </c>
      <c r="BI93" s="174">
        <v>26</v>
      </c>
      <c r="BJ93" s="174" t="s">
        <v>257</v>
      </c>
      <c r="BK93" s="175">
        <v>0.52</v>
      </c>
      <c r="BL93" s="175">
        <v>0.48</v>
      </c>
      <c r="BM93" s="175">
        <v>0</v>
      </c>
      <c r="BN93" s="175">
        <v>109.36000000000001</v>
      </c>
      <c r="BO93" s="176">
        <v>9.9167063980405086</v>
      </c>
    </row>
    <row r="94" spans="1:81">
      <c r="H94" s="21" t="s">
        <v>180</v>
      </c>
      <c r="I94" s="88" t="e">
        <f>B$90*'Tarantula Curve Mix Design'!C45+'Tarantula Curve Mix Design'!#REF!*C$90+D$90*'Tarantula Curve Mix Design'!#REF!</f>
        <v>#DIV/0!</v>
      </c>
      <c r="J94" s="64" t="e">
        <f t="shared" si="4"/>
        <v>#REF!</v>
      </c>
      <c r="K94" s="59" t="e">
        <f t="shared" si="5"/>
        <v>#REF!</v>
      </c>
      <c r="BI94" s="174">
        <v>27</v>
      </c>
      <c r="BJ94" s="174" t="s">
        <v>257</v>
      </c>
      <c r="BK94" s="175">
        <v>0.48</v>
      </c>
      <c r="BL94" s="175">
        <v>0.52</v>
      </c>
      <c r="BM94" s="175">
        <v>0</v>
      </c>
      <c r="BN94" s="175">
        <v>111.68</v>
      </c>
      <c r="BO94" s="176">
        <v>10.308551337205278</v>
      </c>
      <c r="BX94" t="s">
        <v>267</v>
      </c>
    </row>
    <row r="95" spans="1:81" ht="16" thickBot="1">
      <c r="H95" s="21" t="s">
        <v>163</v>
      </c>
      <c r="I95" s="88" t="e">
        <f>B$90*'Tarantula Curve Mix Design'!C46+'Tarantula Curve Mix Design'!#REF!*C$90+D$90*'Tarantula Curve Mix Design'!#REF!</f>
        <v>#DIV/0!</v>
      </c>
      <c r="J95" s="64" t="e">
        <f t="shared" si="4"/>
        <v>#DIV/0!</v>
      </c>
      <c r="K95" s="59" t="e">
        <f t="shared" si="5"/>
        <v>#REF!</v>
      </c>
      <c r="BI95" s="180">
        <v>2</v>
      </c>
      <c r="BJ95" s="180" t="s">
        <v>259</v>
      </c>
      <c r="BK95" s="181">
        <v>1</v>
      </c>
      <c r="BL95" s="181">
        <v>0</v>
      </c>
      <c r="BM95" s="181">
        <v>0</v>
      </c>
      <c r="BN95" s="181">
        <v>100.85333333333335</v>
      </c>
      <c r="BO95" s="182">
        <v>5.214567128063254</v>
      </c>
    </row>
    <row r="96" spans="1:81" ht="20" thickTop="1" thickBot="1">
      <c r="H96" s="21" t="s">
        <v>164</v>
      </c>
      <c r="I96" s="88" t="e">
        <f>B$90*'Tarantula Curve Mix Design'!C47+'Tarantula Curve Mix Design'!#REF!*C$90+D$90*'Tarantula Curve Mix Design'!#REF!</f>
        <v>#DIV/0!</v>
      </c>
      <c r="J96" s="64" t="e">
        <f t="shared" si="4"/>
        <v>#DIV/0!</v>
      </c>
      <c r="K96" s="59" t="e">
        <f t="shared" si="5"/>
        <v>#REF!</v>
      </c>
      <c r="BI96" s="180">
        <v>19</v>
      </c>
      <c r="BJ96" s="180" t="s">
        <v>259</v>
      </c>
      <c r="BK96" s="181">
        <v>1</v>
      </c>
      <c r="BL96" s="181">
        <v>0</v>
      </c>
      <c r="BM96" s="181">
        <v>0</v>
      </c>
      <c r="BN96" s="181">
        <v>105.04</v>
      </c>
      <c r="BO96" s="182">
        <v>5.214567128063254</v>
      </c>
      <c r="BX96" s="347"/>
      <c r="BY96" s="348"/>
      <c r="BZ96" s="348"/>
      <c r="CA96" s="349"/>
      <c r="CB96" s="350"/>
      <c r="CC96" s="350"/>
    </row>
    <row r="97" spans="1:81" ht="18">
      <c r="H97" s="21" t="s">
        <v>181</v>
      </c>
      <c r="I97" s="88" t="e">
        <f>B$90*'Tarantula Curve Mix Design'!C48+'Tarantula Curve Mix Design'!#REF!*C$90+D$90*'Tarantula Curve Mix Design'!#REF!</f>
        <v>#DIV/0!</v>
      </c>
      <c r="J97" s="64" t="e">
        <f t="shared" si="4"/>
        <v>#DIV/0!</v>
      </c>
      <c r="K97" s="59" t="e">
        <f t="shared" si="5"/>
        <v>#REF!</v>
      </c>
      <c r="BI97" s="183">
        <v>3</v>
      </c>
      <c r="BJ97" s="183" t="s">
        <v>178</v>
      </c>
      <c r="BK97" s="184">
        <v>0</v>
      </c>
      <c r="BL97" s="184">
        <v>1</v>
      </c>
      <c r="BM97" s="184">
        <v>0</v>
      </c>
      <c r="BN97" s="184">
        <v>101.89333333333333</v>
      </c>
      <c r="BO97" s="185">
        <v>15.010690607182534</v>
      </c>
      <c r="BX97" s="361"/>
      <c r="BY97" s="351"/>
      <c r="BZ97" s="351"/>
      <c r="CA97" s="351"/>
      <c r="CB97" s="367"/>
      <c r="CC97" s="367"/>
    </row>
    <row r="98" spans="1:81" ht="18">
      <c r="H98" s="21" t="s">
        <v>165</v>
      </c>
      <c r="I98" s="88" t="e">
        <f>B$90*'Tarantula Curve Mix Design'!#REF!+'Tarantula Curve Mix Design'!#REF!*C$90+D$90*'Tarantula Curve Mix Design'!#REF!</f>
        <v>#REF!</v>
      </c>
      <c r="J98" s="64" t="e">
        <f t="shared" si="4"/>
        <v>#DIV/0!</v>
      </c>
      <c r="K98" s="82" t="e">
        <f t="shared" si="5"/>
        <v>#REF!</v>
      </c>
      <c r="BI98" s="183">
        <v>28</v>
      </c>
      <c r="BJ98" s="183" t="s">
        <v>178</v>
      </c>
      <c r="BK98" s="184">
        <v>0</v>
      </c>
      <c r="BL98" s="184">
        <v>1</v>
      </c>
      <c r="BM98" s="184">
        <v>0</v>
      </c>
      <c r="BN98" s="184">
        <v>106</v>
      </c>
      <c r="BO98" s="185">
        <v>15.010690607182534</v>
      </c>
      <c r="BX98" s="353"/>
      <c r="BY98" s="354"/>
      <c r="BZ98" s="354"/>
      <c r="CA98" s="354"/>
      <c r="CB98" s="367"/>
      <c r="CC98" s="367"/>
    </row>
    <row r="99" spans="1:81" ht="18">
      <c r="BI99" s="186">
        <v>4</v>
      </c>
      <c r="BJ99" s="186" t="s">
        <v>260</v>
      </c>
      <c r="BK99" s="187">
        <v>0</v>
      </c>
      <c r="BL99" s="187">
        <v>0</v>
      </c>
      <c r="BM99" s="187">
        <v>1</v>
      </c>
      <c r="BN99" s="187">
        <v>111.76</v>
      </c>
      <c r="BO99" s="188">
        <v>50.701540474337186</v>
      </c>
      <c r="BX99" s="353"/>
      <c r="BY99" s="354"/>
      <c r="BZ99" s="354"/>
      <c r="CA99" s="354"/>
      <c r="CB99" s="367"/>
      <c r="CC99" s="367"/>
    </row>
    <row r="100" spans="1:81" ht="18">
      <c r="BI100" s="189">
        <v>33</v>
      </c>
      <c r="BJ100" s="189" t="s">
        <v>268</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8">
      <c r="BI101" s="189">
        <v>32</v>
      </c>
      <c r="BJ101" s="189" t="s">
        <v>268</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9" thickBot="1">
      <c r="AF102" s="22" t="s">
        <v>261</v>
      </c>
      <c r="AG102" s="11" t="s">
        <v>149</v>
      </c>
      <c r="AJ102" s="11" t="s">
        <v>258</v>
      </c>
      <c r="AK102" s="27" t="s">
        <v>262</v>
      </c>
      <c r="AL102" s="27" t="s">
        <v>193</v>
      </c>
      <c r="BI102" s="192">
        <v>30</v>
      </c>
      <c r="BJ102" s="192" t="s">
        <v>268</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9" thickBot="1">
      <c r="AF103" s="11" t="s">
        <v>264</v>
      </c>
      <c r="AG103" s="77" t="e">
        <f>K91/K93</f>
        <v>#REF!</v>
      </c>
      <c r="AJ103" s="11">
        <v>7</v>
      </c>
      <c r="AK103" s="28">
        <v>290.22500000000002</v>
      </c>
      <c r="AL103" s="7">
        <v>156.27500000000001</v>
      </c>
      <c r="BI103" s="194">
        <v>34</v>
      </c>
      <c r="BJ103" s="195" t="s">
        <v>268</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8">
      <c r="AF104" s="11" t="s">
        <v>265</v>
      </c>
      <c r="AG104" s="77" t="e">
        <f>(I93*100+2.5*((AK103+AL103)-564)/94)/100</f>
        <v>#REF!</v>
      </c>
      <c r="BI104" s="198">
        <v>29</v>
      </c>
      <c r="BJ104" s="198" t="s">
        <v>268</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8">
      <c r="T105" s="29"/>
      <c r="X105" s="80"/>
      <c r="Y105" s="80"/>
      <c r="BI105" s="189">
        <v>43</v>
      </c>
      <c r="BJ105" s="189" t="s">
        <v>268</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8">
      <c r="S106" s="29"/>
      <c r="T106" s="73"/>
      <c r="X106" s="81"/>
      <c r="BI106" s="189">
        <v>37</v>
      </c>
      <c r="BJ106" s="189" t="s">
        <v>268</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8">
      <c r="S107" s="29"/>
      <c r="T107" s="73"/>
      <c r="BI107" s="189">
        <v>31</v>
      </c>
      <c r="BJ107" s="189" t="s">
        <v>268</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9" thickBot="1">
      <c r="BI108" s="189">
        <v>35</v>
      </c>
      <c r="BJ108" s="189" t="s">
        <v>268</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6" thickTop="1">
      <c r="BI109" s="189">
        <v>36</v>
      </c>
      <c r="BJ109" s="189" t="s">
        <v>268</v>
      </c>
      <c r="BK109" s="190">
        <v>0.42337002540220159</v>
      </c>
      <c r="BL109" s="190">
        <v>0.1384419983065199</v>
      </c>
      <c r="BM109" s="190">
        <v>0.43818797629127859</v>
      </c>
      <c r="BN109" s="190">
        <v>134.69333333333336</v>
      </c>
      <c r="BO109" s="191">
        <v>26.502606836389056</v>
      </c>
    </row>
    <row r="110" spans="1:81">
      <c r="BI110" s="200">
        <v>39</v>
      </c>
      <c r="BJ110" s="200" t="s">
        <v>269</v>
      </c>
      <c r="BK110" s="201">
        <v>0.61085972850678727</v>
      </c>
      <c r="BL110" s="201">
        <v>0</v>
      </c>
      <c r="BM110" s="201">
        <v>0.38914027149321262</v>
      </c>
      <c r="BN110" s="201">
        <v>133.14666666666668</v>
      </c>
      <c r="BO110" s="202">
        <v>22.915380285436818</v>
      </c>
    </row>
    <row r="111" spans="1:81" ht="16" thickBot="1">
      <c r="H111" s="26" t="s">
        <v>240</v>
      </c>
      <c r="I111" s="24"/>
      <c r="J111" s="24"/>
      <c r="K111" s="15"/>
      <c r="BI111" s="203">
        <v>38</v>
      </c>
      <c r="BJ111" s="203" t="s">
        <v>269</v>
      </c>
      <c r="BK111" s="204">
        <v>0.59734513274336276</v>
      </c>
      <c r="BL111" s="204">
        <v>0</v>
      </c>
      <c r="BM111" s="204">
        <v>0.40265486725663713</v>
      </c>
      <c r="BN111" s="204">
        <v>133.81333333333333</v>
      </c>
      <c r="BO111" s="205">
        <v>23.530118342713376</v>
      </c>
    </row>
    <row r="112" spans="1:81" ht="16" thickBot="1">
      <c r="A112" s="7" t="s">
        <v>258</v>
      </c>
      <c r="B112" s="4" t="s">
        <v>259</v>
      </c>
      <c r="C112" s="4" t="s">
        <v>178</v>
      </c>
      <c r="D112" s="4" t="s">
        <v>260</v>
      </c>
      <c r="E112" s="4" t="s">
        <v>228</v>
      </c>
      <c r="H112" s="22"/>
      <c r="I112" s="6"/>
      <c r="J112" s="25" t="s">
        <v>270</v>
      </c>
      <c r="K112" s="15"/>
      <c r="BI112" s="206">
        <v>40</v>
      </c>
      <c r="BJ112" s="207" t="s">
        <v>269</v>
      </c>
      <c r="BK112" s="208">
        <v>0.5818965517241379</v>
      </c>
      <c r="BL112" s="208">
        <v>0</v>
      </c>
      <c r="BM112" s="208">
        <v>0.41810344827586204</v>
      </c>
      <c r="BN112" s="208">
        <v>136.66666666666666</v>
      </c>
      <c r="BO112" s="209">
        <v>24.232827535772618</v>
      </c>
    </row>
    <row r="113" spans="1:67" ht="28">
      <c r="A113" s="11">
        <v>10</v>
      </c>
      <c r="B113" s="5">
        <v>1503</v>
      </c>
      <c r="C113" s="5">
        <v>560</v>
      </c>
      <c r="D113" s="5">
        <v>1260</v>
      </c>
      <c r="E113" s="7">
        <f>B113+C113+D113</f>
        <v>3323</v>
      </c>
      <c r="H113" s="8" t="s">
        <v>170</v>
      </c>
      <c r="I113" s="23" t="s">
        <v>242</v>
      </c>
      <c r="J113" s="23" t="s">
        <v>243</v>
      </c>
      <c r="K113" s="23" t="s">
        <v>244</v>
      </c>
      <c r="BI113" s="210">
        <v>41</v>
      </c>
      <c r="BJ113" s="210" t="s">
        <v>269</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269</v>
      </c>
      <c r="BK114" s="201">
        <v>0.5524861878453039</v>
      </c>
      <c r="BL114" s="201">
        <v>0</v>
      </c>
      <c r="BM114" s="201">
        <v>0.44751381215469616</v>
      </c>
      <c r="BN114" s="201">
        <v>135.76000000000002</v>
      </c>
      <c r="BO114" s="202">
        <v>25.570615973633362</v>
      </c>
    </row>
    <row r="115" spans="1:67">
      <c r="B115" s="45" t="s">
        <v>263</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161</v>
      </c>
      <c r="I119" s="88" t="e">
        <f>B$116*'Tarantula Curve Mix Design'!#REF!+'Tarantula Curve Mix Design'!#REF!*C$116+D$116*'Tarantula Curve Mix Design'!#REF!</f>
        <v>#REF!</v>
      </c>
      <c r="J119" s="64" t="e">
        <f t="shared" si="6"/>
        <v>#REF!</v>
      </c>
      <c r="K119" s="59" t="e">
        <f t="shared" si="7"/>
        <v>#REF!</v>
      </c>
    </row>
    <row r="120" spans="1:67">
      <c r="H120" s="21" t="s">
        <v>179</v>
      </c>
      <c r="I120" s="108" t="e">
        <f>B$116*'Tarantula Curve Mix Design'!#REF!+'Tarantula Curve Mix Design'!#REF!*C$116+D$116*'Tarantula Curve Mix Design'!#REF!</f>
        <v>#REF!</v>
      </c>
      <c r="J120" s="64" t="e">
        <f t="shared" si="6"/>
        <v>#REF!</v>
      </c>
      <c r="K120" s="87" t="e">
        <f t="shared" si="7"/>
        <v>#REF!</v>
      </c>
    </row>
    <row r="121" spans="1:67">
      <c r="H121" s="21" t="s">
        <v>180</v>
      </c>
      <c r="I121" s="88" t="e">
        <f>B$116*'Tarantula Curve Mix Design'!C45+'Tarantula Curve Mix Design'!#REF!*C$116+D$116*'Tarantula Curve Mix Design'!#REF!</f>
        <v>#DIV/0!</v>
      </c>
      <c r="J121" s="64" t="e">
        <f t="shared" si="6"/>
        <v>#REF!</v>
      </c>
      <c r="K121" s="59" t="e">
        <f t="shared" si="7"/>
        <v>#REF!</v>
      </c>
    </row>
    <row r="122" spans="1:67">
      <c r="H122" s="21" t="s">
        <v>163</v>
      </c>
      <c r="I122" s="88" t="e">
        <f>B$116*'Tarantula Curve Mix Design'!C46+'Tarantula Curve Mix Design'!#REF!*C$116+D$116*'Tarantula Curve Mix Design'!#REF!</f>
        <v>#DIV/0!</v>
      </c>
      <c r="J122" s="64" t="e">
        <f t="shared" si="6"/>
        <v>#DIV/0!</v>
      </c>
      <c r="K122" s="59" t="e">
        <f t="shared" si="7"/>
        <v>#REF!</v>
      </c>
    </row>
    <row r="123" spans="1:67">
      <c r="H123" s="21" t="s">
        <v>164</v>
      </c>
      <c r="I123" s="88" t="e">
        <f>B$116*'Tarantula Curve Mix Design'!C47+'Tarantula Curve Mix Design'!#REF!*C$116+D$116*'Tarantula Curve Mix Design'!#REF!</f>
        <v>#DIV/0!</v>
      </c>
      <c r="J123" s="64" t="e">
        <f t="shared" si="6"/>
        <v>#DIV/0!</v>
      </c>
      <c r="K123" s="59" t="e">
        <f t="shared" si="7"/>
        <v>#REF!</v>
      </c>
    </row>
    <row r="124" spans="1:67">
      <c r="H124" s="21" t="s">
        <v>181</v>
      </c>
      <c r="I124" s="88" t="e">
        <f>B$116*'Tarantula Curve Mix Design'!C48+'Tarantula Curve Mix Design'!#REF!*C$116+D$116*'Tarantula Curve Mix Design'!#REF!</f>
        <v>#DIV/0!</v>
      </c>
      <c r="J124" s="64" t="e">
        <f t="shared" si="6"/>
        <v>#DIV/0!</v>
      </c>
      <c r="K124" s="59" t="e">
        <f t="shared" si="7"/>
        <v>#REF!</v>
      </c>
    </row>
    <row r="125" spans="1:67">
      <c r="H125" s="21" t="s">
        <v>165</v>
      </c>
      <c r="I125" s="88" t="e">
        <f>B$116*'Tarantula Curve Mix Design'!#REF!+'Tarantula Curve Mix Design'!#REF!*C$116+D$116*'Tarantula Curve Mix Design'!#REF!</f>
        <v>#REF!</v>
      </c>
      <c r="J125" s="64" t="e">
        <f t="shared" si="6"/>
        <v>#DIV/0!</v>
      </c>
      <c r="K125" s="82" t="e">
        <f t="shared" si="7"/>
        <v>#REF!</v>
      </c>
    </row>
    <row r="130" spans="1:38">
      <c r="AF130" s="78" t="s">
        <v>261</v>
      </c>
      <c r="AG130" s="11" t="s">
        <v>149</v>
      </c>
      <c r="AJ130" s="7" t="s">
        <v>258</v>
      </c>
      <c r="AK130" s="7" t="s">
        <v>262</v>
      </c>
      <c r="AL130" s="7" t="s">
        <v>193</v>
      </c>
    </row>
    <row r="131" spans="1:38">
      <c r="AF131" s="11" t="s">
        <v>264</v>
      </c>
      <c r="AG131" s="77" t="e">
        <f>K118/K120</f>
        <v>#REF!</v>
      </c>
      <c r="AJ131" s="7">
        <v>3</v>
      </c>
      <c r="AK131" s="7">
        <v>290.2</v>
      </c>
      <c r="AL131" s="7">
        <v>156.19999999999999</v>
      </c>
    </row>
    <row r="132" spans="1:38">
      <c r="AF132" s="11" t="s">
        <v>265</v>
      </c>
      <c r="AG132" s="77" t="e">
        <f>(I120*100+2.5*((AK131+AL131)-564)/94)/100</f>
        <v>#REF!</v>
      </c>
    </row>
    <row r="136" spans="1:38">
      <c r="B136" s="136" t="s">
        <v>271</v>
      </c>
      <c r="C136" s="11" t="s">
        <v>272</v>
      </c>
      <c r="D136" s="137" t="s">
        <v>273</v>
      </c>
    </row>
    <row r="137" spans="1:38">
      <c r="A137" s="139">
        <v>14</v>
      </c>
      <c r="B137" s="140">
        <v>275</v>
      </c>
      <c r="C137" s="140">
        <v>148</v>
      </c>
      <c r="D137" s="140">
        <v>190.35</v>
      </c>
    </row>
    <row r="138" spans="1:38">
      <c r="H138" s="26" t="s">
        <v>240</v>
      </c>
      <c r="I138" s="24"/>
      <c r="J138" s="24"/>
      <c r="K138" s="15"/>
    </row>
    <row r="139" spans="1:38">
      <c r="A139" s="7" t="s">
        <v>258</v>
      </c>
      <c r="B139" s="4" t="s">
        <v>259</v>
      </c>
      <c r="C139" s="4" t="s">
        <v>178</v>
      </c>
      <c r="D139" s="4" t="s">
        <v>260</v>
      </c>
      <c r="E139" s="4" t="s">
        <v>228</v>
      </c>
      <c r="H139" s="22"/>
      <c r="I139" s="6"/>
      <c r="J139" s="25" t="s">
        <v>274</v>
      </c>
      <c r="K139" s="15"/>
    </row>
    <row r="140" spans="1:38" ht="28">
      <c r="A140" s="11">
        <v>14</v>
      </c>
      <c r="B140" s="5">
        <v>1626.8</v>
      </c>
      <c r="C140" s="5">
        <v>467</v>
      </c>
      <c r="D140" s="5">
        <v>1265.5999999999999</v>
      </c>
      <c r="E140" s="7">
        <f>SUM(B140:D140)</f>
        <v>3359.4</v>
      </c>
      <c r="H140" s="8" t="s">
        <v>170</v>
      </c>
      <c r="I140" s="23" t="s">
        <v>242</v>
      </c>
      <c r="J140" s="23" t="s">
        <v>243</v>
      </c>
      <c r="K140" s="23" t="s">
        <v>244</v>
      </c>
    </row>
    <row r="141" spans="1:38">
      <c r="H141" s="19">
        <v>1.5</v>
      </c>
      <c r="I141" s="88" t="e">
        <f>B$143*'Tarantula Curve Mix Design'!#REF!+'Tarantula Curve Mix Design'!#REF!*C$143+D$143*'Tarantula Curve Mix Design'!#REF!</f>
        <v>#REF!</v>
      </c>
      <c r="J141" s="89" t="e">
        <f>1-I141</f>
        <v>#REF!</v>
      </c>
      <c r="K141" s="58" t="e">
        <f>J141</f>
        <v>#REF!</v>
      </c>
    </row>
    <row r="142" spans="1:38">
      <c r="B142" s="45" t="s">
        <v>263</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275</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259</v>
      </c>
      <c r="B146" s="4" t="s">
        <v>178</v>
      </c>
      <c r="C146" s="4" t="s">
        <v>260</v>
      </c>
      <c r="D146" s="4" t="s">
        <v>262</v>
      </c>
      <c r="E146" s="4" t="s">
        <v>276</v>
      </c>
      <c r="F146" s="112" t="s">
        <v>277</v>
      </c>
      <c r="G146" s="74"/>
      <c r="H146" s="20" t="s">
        <v>161</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179</v>
      </c>
      <c r="I147" s="108" t="e">
        <f>B$143*'Tarantula Curve Mix Design'!#REF!+'Tarantula Curve Mix Design'!#REF!*C$143+D$143*'Tarantula Curve Mix Design'!#REF!</f>
        <v>#REF!</v>
      </c>
      <c r="J147" s="64" t="e">
        <f t="shared" si="8"/>
        <v>#REF!</v>
      </c>
      <c r="K147" s="87" t="e">
        <f t="shared" si="9"/>
        <v>#REF!</v>
      </c>
    </row>
    <row r="148" spans="1:38">
      <c r="F148" s="50"/>
      <c r="G148" s="50"/>
      <c r="H148" s="21" t="s">
        <v>180</v>
      </c>
      <c r="I148" s="88" t="e">
        <f>B$143*'Tarantula Curve Mix Design'!C45+'Tarantula Curve Mix Design'!#REF!*C$143+D$143*'Tarantula Curve Mix Design'!#REF!</f>
        <v>#DIV/0!</v>
      </c>
      <c r="J148" s="64" t="e">
        <f t="shared" si="8"/>
        <v>#REF!</v>
      </c>
      <c r="K148" s="59" t="e">
        <f t="shared" si="9"/>
        <v>#REF!</v>
      </c>
    </row>
    <row r="149" spans="1:38">
      <c r="A149" s="130" t="s">
        <v>278</v>
      </c>
      <c r="B149" s="4" t="s">
        <v>259</v>
      </c>
      <c r="C149" s="4" t="s">
        <v>178</v>
      </c>
      <c r="D149" s="4" t="s">
        <v>260</v>
      </c>
      <c r="F149" s="50"/>
      <c r="G149" s="50"/>
      <c r="H149" s="21" t="s">
        <v>163</v>
      </c>
      <c r="I149" s="88" t="e">
        <f>B$143*'Tarantula Curve Mix Design'!C46+'Tarantula Curve Mix Design'!#REF!*C$143+D$143*'Tarantula Curve Mix Design'!#REF!</f>
        <v>#DIV/0!</v>
      </c>
      <c r="J149" s="64" t="e">
        <f t="shared" si="8"/>
        <v>#DIV/0!</v>
      </c>
      <c r="K149" s="59" t="e">
        <f t="shared" si="9"/>
        <v>#REF!</v>
      </c>
    </row>
    <row r="150" spans="1:38">
      <c r="A150" s="11" t="s">
        <v>279</v>
      </c>
      <c r="B150" s="142">
        <f>B140/A147/62.4</f>
        <v>9.8379293662312524</v>
      </c>
      <c r="C150" s="142">
        <f>C140/B147/62.4</f>
        <v>2.8241412675374939</v>
      </c>
      <c r="D150" s="142">
        <f>D140/C147/62.4</f>
        <v>7.6536042573778422</v>
      </c>
      <c r="E150" s="142">
        <f>SUM(B150:D150)</f>
        <v>20.315674891146589</v>
      </c>
      <c r="F150" s="50"/>
      <c r="G150" s="50"/>
      <c r="H150" s="21" t="s">
        <v>164</v>
      </c>
      <c r="I150" s="88" t="e">
        <f>B$143*'Tarantula Curve Mix Design'!C47+'Tarantula Curve Mix Design'!#REF!*C$143+D$143*'Tarantula Curve Mix Design'!#REF!</f>
        <v>#DIV/0!</v>
      </c>
      <c r="J150" s="64" t="e">
        <f t="shared" si="8"/>
        <v>#DIV/0!</v>
      </c>
      <c r="K150" s="59" t="e">
        <f t="shared" si="9"/>
        <v>#REF!</v>
      </c>
    </row>
    <row r="151" spans="1:38">
      <c r="F151" s="50"/>
      <c r="G151" s="50"/>
      <c r="H151" s="21" t="s">
        <v>181</v>
      </c>
      <c r="I151" s="88" t="e">
        <f>B$143*'Tarantula Curve Mix Design'!C48+'Tarantula Curve Mix Design'!#REF!*C$143+D$143*'Tarantula Curve Mix Design'!#REF!</f>
        <v>#DIV/0!</v>
      </c>
      <c r="J151" s="64" t="e">
        <f t="shared" si="8"/>
        <v>#DIV/0!</v>
      </c>
      <c r="K151" s="59" t="e">
        <f t="shared" si="9"/>
        <v>#REF!</v>
      </c>
    </row>
    <row r="152" spans="1:38">
      <c r="A152" s="130" t="s">
        <v>278</v>
      </c>
      <c r="B152" s="4" t="s">
        <v>262</v>
      </c>
      <c r="C152" s="4" t="s">
        <v>276</v>
      </c>
      <c r="D152" s="77" t="s">
        <v>277</v>
      </c>
      <c r="F152" s="50"/>
      <c r="G152" s="50"/>
      <c r="H152" s="21" t="s">
        <v>165</v>
      </c>
      <c r="I152" s="88" t="e">
        <f>B$143*'Tarantula Curve Mix Design'!#REF!+'Tarantula Curve Mix Design'!#REF!*C$143+D$143*'Tarantula Curve Mix Design'!#REF!</f>
        <v>#REF!</v>
      </c>
      <c r="J152" s="64" t="e">
        <f t="shared" si="8"/>
        <v>#DIV/0!</v>
      </c>
      <c r="K152" s="82" t="e">
        <f t="shared" si="9"/>
        <v>#REF!</v>
      </c>
    </row>
    <row r="153" spans="1:38">
      <c r="A153" s="7" t="s">
        <v>280</v>
      </c>
      <c r="B153" s="142">
        <f>B137/D147/62.4</f>
        <v>1.4216294458229941</v>
      </c>
      <c r="C153" s="142">
        <f>C137/E147/62.4</f>
        <v>0.94871794871794879</v>
      </c>
      <c r="D153" s="142">
        <f>D137/F147/62.4</f>
        <v>3.0504807692307692</v>
      </c>
      <c r="E153" s="143">
        <f>SUM(B153:D153)</f>
        <v>5.4208281637717119</v>
      </c>
      <c r="F153" s="50"/>
      <c r="G153" s="50"/>
    </row>
    <row r="154" spans="1:38">
      <c r="A154" s="29" t="s">
        <v>281</v>
      </c>
      <c r="B154" s="143">
        <f>27-E150-E153</f>
        <v>1.2634969450816991</v>
      </c>
      <c r="C154" s="143"/>
      <c r="D154" s="143"/>
      <c r="E154" s="143"/>
      <c r="F154" s="50"/>
      <c r="G154" s="50"/>
    </row>
    <row r="155" spans="1:38">
      <c r="A155" t="s">
        <v>282</v>
      </c>
      <c r="B155" s="144">
        <f>B154/27</f>
        <v>4.6796183151174037E-2</v>
      </c>
    </row>
    <row r="158" spans="1:38">
      <c r="AF158" s="78" t="s">
        <v>261</v>
      </c>
      <c r="AG158" s="11" t="s">
        <v>149</v>
      </c>
      <c r="AJ158" s="11" t="s">
        <v>258</v>
      </c>
      <c r="AK158" s="27" t="s">
        <v>262</v>
      </c>
      <c r="AL158" s="27" t="s">
        <v>193</v>
      </c>
    </row>
    <row r="159" spans="1:38">
      <c r="AF159" s="11" t="s">
        <v>264</v>
      </c>
      <c r="AG159" s="77" t="e">
        <f>K145/K147</f>
        <v>#REF!</v>
      </c>
      <c r="AJ159" s="11">
        <v>14</v>
      </c>
      <c r="AK159" s="28">
        <v>275</v>
      </c>
      <c r="AL159" s="28">
        <v>148</v>
      </c>
    </row>
    <row r="160" spans="1:38">
      <c r="AF160" s="11" t="s">
        <v>265</v>
      </c>
      <c r="AG160" s="77" t="e">
        <f>(I147*100+2.5*((AK159+AL159)-564)/94)/100</f>
        <v>#REF!</v>
      </c>
    </row>
    <row r="162" spans="1:11">
      <c r="D162" s="129" t="s">
        <v>275</v>
      </c>
      <c r="E162" s="43"/>
      <c r="F162" s="44"/>
    </row>
    <row r="163" spans="1:11">
      <c r="A163" s="4" t="s">
        <v>259</v>
      </c>
      <c r="B163" s="4" t="s">
        <v>178</v>
      </c>
      <c r="C163" s="4" t="s">
        <v>260</v>
      </c>
      <c r="D163" s="4" t="s">
        <v>262</v>
      </c>
      <c r="E163" s="4" t="s">
        <v>276</v>
      </c>
      <c r="F163" s="112" t="s">
        <v>277</v>
      </c>
      <c r="H163" s="11" t="s">
        <v>258</v>
      </c>
      <c r="I163" s="30" t="s">
        <v>271</v>
      </c>
      <c r="J163" s="57" t="s">
        <v>272</v>
      </c>
      <c r="K163" s="135" t="s">
        <v>273</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240</v>
      </c>
      <c r="I166" s="24"/>
      <c r="J166" s="24"/>
      <c r="K166" s="15"/>
    </row>
    <row r="167" spans="1:11">
      <c r="A167" s="11" t="s">
        <v>258</v>
      </c>
      <c r="B167" s="4" t="s">
        <v>259</v>
      </c>
      <c r="C167" s="4" t="s">
        <v>178</v>
      </c>
      <c r="D167" s="4" t="s">
        <v>260</v>
      </c>
      <c r="E167" s="4" t="s">
        <v>228</v>
      </c>
      <c r="H167" s="22"/>
      <c r="I167" s="6"/>
      <c r="J167" s="25" t="s">
        <v>283</v>
      </c>
      <c r="K167" s="15"/>
    </row>
    <row r="168" spans="1:11" ht="18" customHeight="1">
      <c r="A168" s="11">
        <v>15</v>
      </c>
      <c r="B168" s="11">
        <v>1650.3</v>
      </c>
      <c r="C168" s="11">
        <v>473.6</v>
      </c>
      <c r="D168" s="11">
        <v>1283.9000000000001</v>
      </c>
      <c r="E168" s="11">
        <f>SUM(B168:D168)</f>
        <v>3407.8</v>
      </c>
      <c r="H168" s="8" t="s">
        <v>170</v>
      </c>
      <c r="I168" s="23" t="s">
        <v>242</v>
      </c>
      <c r="J168" s="23" t="s">
        <v>243</v>
      </c>
      <c r="K168" s="23" t="s">
        <v>244</v>
      </c>
    </row>
    <row r="169" spans="1:11">
      <c r="H169" s="19">
        <v>1.5</v>
      </c>
      <c r="I169" s="82" t="e">
        <f>B$171*'Tarantula Curve Mix Design'!#REF!+'Tarantula Curve Mix Design'!#REF!*C$171+D$171*'Tarantula Curve Mix Design'!#REF!</f>
        <v>#REF!</v>
      </c>
      <c r="J169" s="89" t="e">
        <f>1-I169</f>
        <v>#REF!</v>
      </c>
      <c r="K169" s="58" t="e">
        <f>J169</f>
        <v>#REF!</v>
      </c>
    </row>
    <row r="170" spans="1:11">
      <c r="B170" s="17" t="s">
        <v>263</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284</v>
      </c>
      <c r="B173" s="148" t="s">
        <v>262</v>
      </c>
      <c r="C173" s="148" t="s">
        <v>276</v>
      </c>
      <c r="D173" s="58" t="s">
        <v>277</v>
      </c>
      <c r="E173" s="11" t="s">
        <v>285</v>
      </c>
      <c r="F173" s="11" t="s">
        <v>197</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286</v>
      </c>
      <c r="B174" s="142">
        <f>I164/D164/62.4</f>
        <v>1.3425351530190239</v>
      </c>
      <c r="C174" s="142">
        <f>J164/E164/62.4</f>
        <v>0.89615384615384619</v>
      </c>
      <c r="D174" s="142">
        <f>K164/F164/62.4</f>
        <v>2.8814102564102568</v>
      </c>
      <c r="E174" s="11">
        <f>4.5/100*27</f>
        <v>1.2149999999999999</v>
      </c>
      <c r="F174" s="142">
        <f>SUM(B174:E174)</f>
        <v>6.3350992555831267</v>
      </c>
      <c r="H174" s="20" t="s">
        <v>161</v>
      </c>
      <c r="I174" s="82" t="e">
        <f>B$171*'Tarantula Curve Mix Design'!#REF!+'Tarantula Curve Mix Design'!#REF!*C$171+D$171*'Tarantula Curve Mix Design'!#REF!</f>
        <v>#REF!</v>
      </c>
      <c r="J174" s="64" t="e">
        <f t="shared" si="10"/>
        <v>#REF!</v>
      </c>
      <c r="K174" s="59" t="e">
        <f t="shared" si="11"/>
        <v>#REF!</v>
      </c>
    </row>
    <row r="175" spans="1:11">
      <c r="H175" s="21" t="s">
        <v>179</v>
      </c>
      <c r="I175" s="114" t="e">
        <f>B$171*'Tarantula Curve Mix Design'!#REF!+'Tarantula Curve Mix Design'!#REF!*C$171+D$171*'Tarantula Curve Mix Design'!#REF!</f>
        <v>#REF!</v>
      </c>
      <c r="J175" s="64" t="e">
        <f t="shared" si="10"/>
        <v>#REF!</v>
      </c>
      <c r="K175" s="87" t="e">
        <f t="shared" si="11"/>
        <v>#REF!</v>
      </c>
    </row>
    <row r="176" spans="1:11">
      <c r="B176" s="11" t="s">
        <v>197</v>
      </c>
      <c r="C176" s="149" t="s">
        <v>259</v>
      </c>
      <c r="D176" s="4" t="s">
        <v>178</v>
      </c>
      <c r="E176" s="4" t="s">
        <v>260</v>
      </c>
      <c r="H176" s="21" t="s">
        <v>180</v>
      </c>
      <c r="I176" s="82" t="e">
        <f>B$171*'Tarantula Curve Mix Design'!C45+'Tarantula Curve Mix Design'!#REF!*C$171+D$171*'Tarantula Curve Mix Design'!#REF!</f>
        <v>#DIV/0!</v>
      </c>
      <c r="J176" s="64" t="e">
        <f t="shared" si="10"/>
        <v>#REF!</v>
      </c>
      <c r="K176" s="59" t="e">
        <f t="shared" si="11"/>
        <v>#REF!</v>
      </c>
    </row>
    <row r="177" spans="1:38">
      <c r="A177" t="s">
        <v>287</v>
      </c>
      <c r="B177" s="142">
        <f>27-F174</f>
        <v>20.664900744416872</v>
      </c>
      <c r="H177" s="21" t="s">
        <v>163</v>
      </c>
      <c r="I177" s="82" t="e">
        <f>B$171*'Tarantula Curve Mix Design'!C46+'Tarantula Curve Mix Design'!#REF!*C$171+D$171*'Tarantula Curve Mix Design'!#REF!</f>
        <v>#DIV/0!</v>
      </c>
      <c r="J177" s="64" t="e">
        <f t="shared" si="10"/>
        <v>#DIV/0!</v>
      </c>
      <c r="K177" s="59" t="e">
        <f t="shared" si="11"/>
        <v>#REF!</v>
      </c>
    </row>
    <row r="178" spans="1:38">
      <c r="H178" s="21" t="s">
        <v>164</v>
      </c>
      <c r="I178" s="82" t="e">
        <f>B$171*'Tarantula Curve Mix Design'!C47+'Tarantula Curve Mix Design'!#REF!*C$171+D$171*'Tarantula Curve Mix Design'!#REF!</f>
        <v>#DIV/0!</v>
      </c>
      <c r="J178" s="64" t="e">
        <f t="shared" si="10"/>
        <v>#DIV/0!</v>
      </c>
      <c r="K178" s="59" t="e">
        <f t="shared" si="11"/>
        <v>#REF!</v>
      </c>
    </row>
    <row r="179" spans="1:38">
      <c r="H179" s="21" t="s">
        <v>181</v>
      </c>
      <c r="I179" s="82" t="e">
        <f>B$171*'Tarantula Curve Mix Design'!C48+'Tarantula Curve Mix Design'!#REF!*C$171+D$171*'Tarantula Curve Mix Design'!#REF!</f>
        <v>#DIV/0!</v>
      </c>
      <c r="J179" s="64" t="e">
        <f t="shared" si="10"/>
        <v>#DIV/0!</v>
      </c>
      <c r="K179" s="59" t="e">
        <f t="shared" si="11"/>
        <v>#REF!</v>
      </c>
    </row>
    <row r="180" spans="1:38">
      <c r="H180" s="21" t="s">
        <v>165</v>
      </c>
      <c r="I180" s="82" t="e">
        <f>B$171*'Tarantula Curve Mix Design'!#REF!+'Tarantula Curve Mix Design'!#REF!*C$171+D$171*'Tarantula Curve Mix Design'!#REF!</f>
        <v>#REF!</v>
      </c>
      <c r="J180" s="64" t="e">
        <f t="shared" si="10"/>
        <v>#DIV/0!</v>
      </c>
      <c r="K180" s="82" t="e">
        <f t="shared" si="11"/>
        <v>#REF!</v>
      </c>
    </row>
    <row r="186" spans="1:38">
      <c r="AF186" s="78" t="s">
        <v>261</v>
      </c>
      <c r="AG186" s="11" t="s">
        <v>149</v>
      </c>
      <c r="AJ186" s="11" t="s">
        <v>258</v>
      </c>
      <c r="AK186" s="7" t="s">
        <v>262</v>
      </c>
      <c r="AL186" s="7" t="s">
        <v>193</v>
      </c>
    </row>
    <row r="187" spans="1:38">
      <c r="AF187" s="11" t="s">
        <v>264</v>
      </c>
      <c r="AG187" s="77" t="e">
        <f>K173/K175</f>
        <v>#REF!</v>
      </c>
      <c r="AJ187" s="11">
        <v>15</v>
      </c>
      <c r="AK187" s="28">
        <v>259.7</v>
      </c>
      <c r="AL187" s="28">
        <v>139.80000000000001</v>
      </c>
    </row>
    <row r="188" spans="1:38">
      <c r="AF188" s="11" t="s">
        <v>265</v>
      </c>
      <c r="AG188" s="77" t="e">
        <f>(I175*100+2.5*((AK187+AL187)-564)/94)/100</f>
        <v>#REF!</v>
      </c>
    </row>
    <row r="195" spans="1:71">
      <c r="H195" s="110" t="s">
        <v>240</v>
      </c>
      <c r="I195" s="43"/>
      <c r="J195" s="43"/>
      <c r="K195" s="44"/>
    </row>
    <row r="196" spans="1:71">
      <c r="A196" s="7" t="s">
        <v>258</v>
      </c>
      <c r="B196" s="4" t="s">
        <v>259</v>
      </c>
      <c r="C196" s="4" t="s">
        <v>178</v>
      </c>
      <c r="D196" s="4" t="s">
        <v>260</v>
      </c>
      <c r="E196" s="4" t="s">
        <v>228</v>
      </c>
      <c r="H196" s="22"/>
      <c r="I196" s="34"/>
      <c r="J196" s="34" t="s">
        <v>288</v>
      </c>
      <c r="K196" s="35"/>
    </row>
    <row r="197" spans="1:71" ht="29">
      <c r="A197" s="7">
        <v>17</v>
      </c>
      <c r="B197" s="7">
        <v>1913.6</v>
      </c>
      <c r="C197" s="7">
        <v>0</v>
      </c>
      <c r="D197" s="7">
        <v>1375</v>
      </c>
      <c r="E197" s="7">
        <f>SUM(B197:D197)</f>
        <v>3288.6</v>
      </c>
      <c r="H197" s="111" t="s">
        <v>170</v>
      </c>
      <c r="I197" s="109" t="s">
        <v>242</v>
      </c>
      <c r="J197" t="s">
        <v>243</v>
      </c>
      <c r="K197" s="7" t="s">
        <v>244</v>
      </c>
    </row>
    <row r="198" spans="1:71">
      <c r="H198" s="32">
        <v>1.5</v>
      </c>
      <c r="I198" s="59" t="e">
        <f>B$200*'Tarantula Curve Mix Design'!#REF!+'Tarantula Curve Mix Design'!#REF!*C$200+D$200*'Tarantula Curve Mix Design'!#REF!</f>
        <v>#REF!</v>
      </c>
      <c r="J198" s="89" t="e">
        <f>1-I198</f>
        <v>#REF!</v>
      </c>
      <c r="K198" s="58" t="e">
        <f>J198</f>
        <v>#REF!</v>
      </c>
    </row>
    <row r="199" spans="1:71">
      <c r="B199" s="17" t="s">
        <v>263</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161</v>
      </c>
      <c r="I203" s="59" t="e">
        <f>B$200*'Tarantula Curve Mix Design'!#REF!+'Tarantula Curve Mix Design'!#REF!*C$200+D$200*'Tarantula Curve Mix Design'!#REF!</f>
        <v>#REF!</v>
      </c>
      <c r="J203" s="64" t="e">
        <f t="shared" si="12"/>
        <v>#REF!</v>
      </c>
      <c r="K203" s="59" t="e">
        <f t="shared" si="13"/>
        <v>#REF!</v>
      </c>
    </row>
    <row r="204" spans="1:71">
      <c r="H204" s="32" t="s">
        <v>179</v>
      </c>
      <c r="I204" s="90" t="e">
        <f>B$200*'Tarantula Curve Mix Design'!#REF!+'Tarantula Curve Mix Design'!#REF!*C$200+D$200*'Tarantula Curve Mix Design'!#REF!</f>
        <v>#REF!</v>
      </c>
      <c r="J204" s="64" t="e">
        <f t="shared" si="12"/>
        <v>#REF!</v>
      </c>
      <c r="K204" s="87" t="e">
        <f t="shared" si="13"/>
        <v>#REF!</v>
      </c>
    </row>
    <row r="205" spans="1:71">
      <c r="H205" s="32" t="s">
        <v>180</v>
      </c>
      <c r="I205" s="59" t="e">
        <f>B$200*'Tarantula Curve Mix Design'!C45+'Tarantula Curve Mix Design'!#REF!*C$200+D$200*'Tarantula Curve Mix Design'!#REF!</f>
        <v>#DIV/0!</v>
      </c>
      <c r="J205" s="64" t="e">
        <f t="shared" si="12"/>
        <v>#REF!</v>
      </c>
      <c r="K205" s="59" t="e">
        <f t="shared" si="13"/>
        <v>#REF!</v>
      </c>
    </row>
    <row r="206" spans="1:71">
      <c r="H206" s="32" t="s">
        <v>163</v>
      </c>
      <c r="I206" s="59" t="e">
        <f>B$200*'Tarantula Curve Mix Design'!C46+'Tarantula Curve Mix Design'!#REF!*C$200+D$200*'Tarantula Curve Mix Design'!#REF!</f>
        <v>#DIV/0!</v>
      </c>
      <c r="J206" s="64" t="e">
        <f t="shared" si="12"/>
        <v>#DIV/0!</v>
      </c>
      <c r="K206" s="59" t="e">
        <f t="shared" si="13"/>
        <v>#REF!</v>
      </c>
    </row>
    <row r="207" spans="1:71">
      <c r="H207" s="32" t="s">
        <v>164</v>
      </c>
      <c r="I207" s="59" t="e">
        <f>B$200*'Tarantula Curve Mix Design'!C47+'Tarantula Curve Mix Design'!#REF!*C$200+D$200*'Tarantula Curve Mix Design'!#REF!</f>
        <v>#DIV/0!</v>
      </c>
      <c r="J207" s="64" t="e">
        <f t="shared" si="12"/>
        <v>#DIV/0!</v>
      </c>
      <c r="K207" s="59" t="e">
        <f t="shared" si="13"/>
        <v>#REF!</v>
      </c>
    </row>
    <row r="208" spans="1:71">
      <c r="H208" s="32" t="s">
        <v>181</v>
      </c>
      <c r="I208" s="59" t="e">
        <f>B$200*'Tarantula Curve Mix Design'!C48+'Tarantula Curve Mix Design'!#REF!*C$200+D$200*'Tarantula Curve Mix Design'!#REF!</f>
        <v>#DIV/0!</v>
      </c>
      <c r="J208" s="64" t="e">
        <f t="shared" si="12"/>
        <v>#DIV/0!</v>
      </c>
      <c r="K208" s="59" t="e">
        <f t="shared" si="13"/>
        <v>#REF!</v>
      </c>
      <c r="BR208" s="29"/>
      <c r="BS208" s="29"/>
    </row>
    <row r="209" spans="1:98">
      <c r="H209" s="33" t="s">
        <v>165</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261</v>
      </c>
      <c r="AG215" s="11" t="s">
        <v>149</v>
      </c>
      <c r="AJ215" s="11" t="s">
        <v>258</v>
      </c>
      <c r="AK215" s="7" t="s">
        <v>262</v>
      </c>
      <c r="AL215" s="7" t="s">
        <v>193</v>
      </c>
      <c r="BQ215" s="29"/>
    </row>
    <row r="216" spans="1:98">
      <c r="AF216" s="11" t="s">
        <v>264</v>
      </c>
      <c r="AG216" s="77" t="e">
        <f>K202/K204</f>
        <v>#REF!</v>
      </c>
      <c r="AJ216" s="11">
        <v>17</v>
      </c>
      <c r="AK216" s="28">
        <v>305.5</v>
      </c>
      <c r="AL216" s="28">
        <v>164.5</v>
      </c>
      <c r="BQ216" s="29"/>
    </row>
    <row r="217" spans="1:98">
      <c r="AF217" s="11" t="s">
        <v>265</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240</v>
      </c>
      <c r="I223" s="41"/>
      <c r="J223" s="41"/>
      <c r="K223" s="42"/>
      <c r="BR223" s="341"/>
      <c r="BS223" s="156"/>
      <c r="BW223" s="269"/>
      <c r="BX223" s="269"/>
      <c r="CQ223" s="320"/>
    </row>
    <row r="224" spans="1:98">
      <c r="A224" s="7" t="s">
        <v>258</v>
      </c>
      <c r="B224" s="4" t="s">
        <v>259</v>
      </c>
      <c r="C224" s="4" t="s">
        <v>178</v>
      </c>
      <c r="D224" s="4" t="s">
        <v>260</v>
      </c>
      <c r="E224" s="4" t="s">
        <v>228</v>
      </c>
      <c r="H224" s="22"/>
      <c r="I224" s="36"/>
      <c r="J224" s="36" t="s">
        <v>289</v>
      </c>
      <c r="K224" s="16"/>
      <c r="BK224" s="29"/>
      <c r="BL224" s="29"/>
      <c r="BM224" s="342"/>
      <c r="BN224" s="113"/>
      <c r="BP224" s="29"/>
      <c r="BQ224" s="29"/>
      <c r="BR224" s="342"/>
      <c r="BS224" s="113"/>
      <c r="BU224" s="29"/>
      <c r="BV224" s="29"/>
      <c r="BW224" s="342"/>
      <c r="BX224" s="113"/>
      <c r="CA224" s="29"/>
      <c r="CB224" s="29"/>
    </row>
    <row r="225" spans="1:111" ht="29">
      <c r="A225" s="7">
        <v>18</v>
      </c>
      <c r="B225" s="7">
        <v>1941</v>
      </c>
      <c r="C225" s="7">
        <v>0</v>
      </c>
      <c r="D225" s="7">
        <v>1395</v>
      </c>
      <c r="E225" s="7">
        <f>SUM(B225:D225)</f>
        <v>3336</v>
      </c>
      <c r="H225" s="111" t="s">
        <v>170</v>
      </c>
      <c r="I225" s="7" t="s">
        <v>242</v>
      </c>
      <c r="J225" s="6" t="s">
        <v>243</v>
      </c>
      <c r="K225" s="15" t="s">
        <v>244</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290</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161</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179</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180</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163</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164</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181</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165</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40" topLeftCell="BJ1" activePane="topRight"/>
      <selection activeCell="F22" sqref="F22:F23"/>
      <selection pane="topRight" activeCell="BK20" sqref="BK20:BK21"/>
    </sheetView>
  </sheetViews>
  <sheetFormatPr baseColWidth="10" defaultColWidth="8.83203125" defaultRowHeight="15"/>
  <cols>
    <col min="9" max="9" width="10.5" style="29" customWidth="1"/>
    <col min="48" max="48" width="11.33203125" customWidth="1"/>
    <col min="70" max="70" width="18.6640625" customWidth="1"/>
    <col min="74" max="74" width="11.33203125" customWidth="1"/>
    <col min="78" max="78" width="12.332031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6" thickBot="1">
      <c r="AU16" s="72"/>
      <c r="AV16" s="72"/>
      <c r="AW16" s="214"/>
      <c r="AX16" s="214"/>
      <c r="AY16" s="214"/>
      <c r="AZ16" s="214"/>
      <c r="BQ16" s="272" t="s">
        <v>248</v>
      </c>
      <c r="BR16" s="273" t="s">
        <v>147</v>
      </c>
      <c r="BS16" s="274" t="s">
        <v>249</v>
      </c>
      <c r="BT16" s="275"/>
      <c r="BU16" s="276"/>
      <c r="BV16" s="277" t="s">
        <v>250</v>
      </c>
      <c r="BZ16" s="29"/>
    </row>
    <row r="17" spans="1:87" ht="16" thickBot="1">
      <c r="AU17" s="72"/>
      <c r="AV17" s="72"/>
      <c r="AW17" s="214"/>
      <c r="AX17" s="214"/>
      <c r="AY17" s="214"/>
      <c r="AZ17" s="214"/>
      <c r="BQ17" s="278" t="s">
        <v>251</v>
      </c>
      <c r="BR17" s="279" t="s">
        <v>252</v>
      </c>
      <c r="BS17" s="279" t="s">
        <v>253</v>
      </c>
      <c r="BT17" s="279" t="s">
        <v>178</v>
      </c>
      <c r="BU17" s="279" t="s">
        <v>254</v>
      </c>
      <c r="BV17" s="279" t="s">
        <v>255</v>
      </c>
      <c r="BW17" s="280" t="s">
        <v>291</v>
      </c>
      <c r="BX17" s="281" t="s">
        <v>292</v>
      </c>
      <c r="BY17" s="290" t="s">
        <v>293</v>
      </c>
      <c r="BZ17" s="291" t="s">
        <v>294</v>
      </c>
      <c r="CI17" s="22" t="s">
        <v>295</v>
      </c>
    </row>
    <row r="18" spans="1:87" ht="16" thickBot="1">
      <c r="N18" s="50"/>
      <c r="O18" s="50"/>
      <c r="AU18" s="72"/>
      <c r="AV18" s="72"/>
      <c r="AW18" s="214"/>
      <c r="AX18" s="214"/>
      <c r="AY18" s="214"/>
      <c r="AZ18" s="214"/>
      <c r="BQ18" s="282">
        <v>1</v>
      </c>
      <c r="BR18" s="283" t="s">
        <v>257</v>
      </c>
      <c r="BS18" s="284">
        <v>0.75</v>
      </c>
      <c r="BT18" s="284">
        <v>0.25</v>
      </c>
      <c r="BU18" s="284"/>
      <c r="BV18" s="285">
        <v>108.02666666666669</v>
      </c>
      <c r="BW18">
        <v>27.006666666666671</v>
      </c>
      <c r="BX18">
        <v>0.16332043218835673</v>
      </c>
      <c r="BY18" s="286">
        <v>0.65328172875342694</v>
      </c>
      <c r="BZ18" s="134">
        <f t="shared" ref="BZ18:BZ60" si="0">1-BY18</f>
        <v>0.34671827124657306</v>
      </c>
      <c r="CF18" s="11" t="s">
        <v>264</v>
      </c>
      <c r="CG18" s="11" t="s">
        <v>265</v>
      </c>
      <c r="CI18" s="121" t="s">
        <v>296</v>
      </c>
    </row>
    <row r="19" spans="1:87" ht="16" thickBot="1">
      <c r="AU19" s="72"/>
      <c r="AV19" s="72"/>
      <c r="AW19" s="214"/>
      <c r="AX19" s="214"/>
      <c r="AY19" s="214"/>
      <c r="AZ19" s="214"/>
      <c r="BQ19" s="282">
        <v>2</v>
      </c>
      <c r="BR19" s="283" t="s">
        <v>259</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6" thickBot="1">
      <c r="AU20" s="72"/>
      <c r="AV20" s="72"/>
      <c r="AW20" s="214"/>
      <c r="AX20" s="214"/>
      <c r="AY20" s="214"/>
      <c r="AZ20" s="214"/>
      <c r="BQ20" s="282">
        <v>3</v>
      </c>
      <c r="BR20" s="283" t="s">
        <v>178</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6" thickBot="1">
      <c r="AU21" s="72"/>
      <c r="AV21" s="72"/>
      <c r="AW21" s="214"/>
      <c r="AX21" s="214"/>
      <c r="AY21" s="214"/>
      <c r="AZ21" s="214"/>
      <c r="BQ21" s="282">
        <v>4</v>
      </c>
      <c r="BR21" s="283" t="s">
        <v>260</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257</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257</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261</v>
      </c>
      <c r="AE24" s="11" t="s">
        <v>149</v>
      </c>
      <c r="AH24" s="7" t="s">
        <v>258</v>
      </c>
      <c r="AI24" s="27" t="s">
        <v>262</v>
      </c>
      <c r="AJ24" s="27" t="s">
        <v>193</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257</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261</v>
      </c>
      <c r="K25" s="11" t="s">
        <v>149</v>
      </c>
      <c r="M25" s="7" t="s">
        <v>258</v>
      </c>
      <c r="N25" s="27" t="s">
        <v>262</v>
      </c>
      <c r="O25" s="27" t="s">
        <v>193</v>
      </c>
      <c r="Q25" s="190">
        <v>0.48447478528958382</v>
      </c>
      <c r="R25" s="190">
        <v>0.19951552521471044</v>
      </c>
      <c r="S25" s="190">
        <v>0.31490861043822949</v>
      </c>
      <c r="U25" s="190">
        <v>132.02666666666667</v>
      </c>
      <c r="AD25" s="11" t="s">
        <v>264</v>
      </c>
      <c r="AE25" s="128">
        <v>0.75295277138654582</v>
      </c>
      <c r="AH25" s="11">
        <v>2</v>
      </c>
      <c r="AI25" s="99">
        <v>470</v>
      </c>
      <c r="AJ25" s="123">
        <v>0</v>
      </c>
      <c r="AU25" s="223"/>
      <c r="AV25" s="223"/>
      <c r="AW25" s="214"/>
      <c r="AX25" s="214"/>
      <c r="AY25" s="214"/>
      <c r="AZ25" s="214"/>
      <c r="BA25" s="134"/>
      <c r="BQ25" s="282">
        <v>8</v>
      </c>
      <c r="BR25" s="283" t="s">
        <v>257</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6" thickBot="1">
      <c r="J26" s="11" t="s">
        <v>264</v>
      </c>
      <c r="K26" s="128">
        <v>0.55856166329815216</v>
      </c>
      <c r="M26" s="11"/>
      <c r="N26" s="99">
        <v>470</v>
      </c>
      <c r="O26" s="123">
        <v>0</v>
      </c>
      <c r="AD26" s="11" t="s">
        <v>265</v>
      </c>
      <c r="AE26" s="128">
        <v>0.31386306587748147</v>
      </c>
      <c r="BQ26" s="282">
        <v>9</v>
      </c>
      <c r="BR26" s="283" t="s">
        <v>257</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6" thickBot="1">
      <c r="J27" s="11" t="s">
        <v>265</v>
      </c>
      <c r="K27" s="128">
        <v>0.26675413378132928</v>
      </c>
      <c r="AY27" t="s">
        <v>297</v>
      </c>
      <c r="AZ27" t="s">
        <v>298</v>
      </c>
      <c r="BA27" s="11" t="s">
        <v>264</v>
      </c>
      <c r="BB27" s="11" t="s">
        <v>265</v>
      </c>
      <c r="BC27" s="29" t="s">
        <v>299</v>
      </c>
      <c r="BQ27" s="282">
        <v>10</v>
      </c>
      <c r="BR27" s="283" t="s">
        <v>257</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257</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6"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257</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6"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257</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297</v>
      </c>
      <c r="F31" t="s">
        <v>298</v>
      </c>
      <c r="G31" s="11" t="s">
        <v>264</v>
      </c>
      <c r="H31" s="11" t="s">
        <v>265</v>
      </c>
      <c r="I31" s="29" t="s">
        <v>299</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257</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257</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257</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257</v>
      </c>
      <c r="BS34" s="284">
        <v>0.67567567567567566</v>
      </c>
      <c r="BT34" s="284">
        <v>0.32432432432432434</v>
      </c>
      <c r="BU34" s="284"/>
      <c r="BV34" s="285">
        <v>112.08</v>
      </c>
      <c r="BW34">
        <v>28.02</v>
      </c>
      <c r="BX34">
        <v>0.16944847605224964</v>
      </c>
      <c r="BY34" s="286">
        <v>0.67779390420899854</v>
      </c>
      <c r="BZ34" s="134">
        <f t="shared" si="0"/>
        <v>0.32220609579100146</v>
      </c>
    </row>
    <row r="35" spans="1:85" ht="16"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257</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6"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259</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257</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6"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257</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6"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257</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6"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257</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257</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6"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257</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6"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257</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257</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178</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268</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268</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268</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268</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268</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268</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261</v>
      </c>
      <c r="AE52" s="11" t="s">
        <v>149</v>
      </c>
      <c r="AH52" s="7" t="s">
        <v>258</v>
      </c>
      <c r="AI52" s="27" t="s">
        <v>262</v>
      </c>
      <c r="AJ52" s="27" t="s">
        <v>193</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268</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261</v>
      </c>
      <c r="K53" s="11" t="s">
        <v>149</v>
      </c>
      <c r="M53" s="7" t="s">
        <v>258</v>
      </c>
      <c r="N53" s="27" t="s">
        <v>262</v>
      </c>
      <c r="O53" s="27" t="s">
        <v>193</v>
      </c>
      <c r="Q53" s="190">
        <v>0.48479506390480392</v>
      </c>
      <c r="R53" s="190">
        <v>0.16923754958131337</v>
      </c>
      <c r="S53" s="190">
        <v>0.34596738651388281</v>
      </c>
      <c r="U53" s="190">
        <v>133.65333333333334</v>
      </c>
      <c r="AD53" s="11" t="s">
        <v>264</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268</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264</v>
      </c>
      <c r="K54" s="128">
        <v>0.57763635880680286</v>
      </c>
      <c r="M54" s="11"/>
      <c r="N54" s="99">
        <v>470</v>
      </c>
      <c r="O54" s="123">
        <v>0</v>
      </c>
      <c r="AD54" s="11" t="s">
        <v>265</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268</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6" thickBot="1">
      <c r="J55" s="11" t="s">
        <v>265</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269</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6"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269</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269</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6"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269</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6"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269</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268</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6"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6"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6"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6"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6" thickBot="1"/>
    <row r="80" spans="28:62" ht="16" thickBot="1">
      <c r="AB80" s="127" t="e">
        <f>#REF!</f>
        <v>#REF!</v>
      </c>
      <c r="AD80" s="78" t="s">
        <v>261</v>
      </c>
      <c r="AE80" s="11" t="s">
        <v>149</v>
      </c>
      <c r="AH80" s="7" t="s">
        <v>258</v>
      </c>
      <c r="AI80" s="27" t="s">
        <v>262</v>
      </c>
      <c r="AJ80" s="27" t="s">
        <v>193</v>
      </c>
      <c r="AL80" s="208">
        <v>0.5818965517241379</v>
      </c>
      <c r="AM80" s="208">
        <v>0</v>
      </c>
      <c r="AN80" s="208">
        <v>0.41810344827586204</v>
      </c>
      <c r="AP80" s="208">
        <v>136.66666666666666</v>
      </c>
      <c r="AR80" s="126">
        <v>0.36700757734423034</v>
      </c>
    </row>
    <row r="81" spans="7:36">
      <c r="J81" s="78" t="s">
        <v>261</v>
      </c>
      <c r="K81" s="11" t="s">
        <v>149</v>
      </c>
      <c r="M81" s="7" t="s">
        <v>258</v>
      </c>
      <c r="N81" s="27" t="s">
        <v>262</v>
      </c>
      <c r="O81" s="27" t="s">
        <v>193</v>
      </c>
      <c r="Q81" s="193">
        <v>0.45372050816696918</v>
      </c>
      <c r="R81" s="193">
        <v>0.19918330308529944</v>
      </c>
      <c r="S81" s="193">
        <v>0.3470961887477314</v>
      </c>
      <c r="U81" s="193">
        <v>131.49333333333334</v>
      </c>
      <c r="AD81" s="11" t="s">
        <v>264</v>
      </c>
      <c r="AE81" s="128">
        <v>0.74515480021471081</v>
      </c>
      <c r="AH81" s="11">
        <v>2</v>
      </c>
      <c r="AI81" s="99">
        <v>470</v>
      </c>
      <c r="AJ81" s="123">
        <v>0</v>
      </c>
    </row>
    <row r="82" spans="7:36">
      <c r="G82" s="126">
        <v>0.32189526844113597</v>
      </c>
      <c r="H82" s="127"/>
      <c r="J82" s="11" t="s">
        <v>264</v>
      </c>
      <c r="K82" s="128">
        <v>0.54342120395432714</v>
      </c>
      <c r="M82" s="11"/>
      <c r="N82" s="99">
        <v>470</v>
      </c>
      <c r="O82" s="123">
        <v>0</v>
      </c>
      <c r="AD82" s="11" t="s">
        <v>265</v>
      </c>
      <c r="AE82" s="128">
        <v>0.33865453823070957</v>
      </c>
    </row>
    <row r="83" spans="7:36">
      <c r="J83" s="11" t="s">
        <v>265</v>
      </c>
      <c r="K83" s="128">
        <v>0.29428456752433269</v>
      </c>
    </row>
    <row r="108" spans="7:44">
      <c r="G108" s="126">
        <v>0.34482637033034785</v>
      </c>
      <c r="H108" s="127"/>
      <c r="J108" s="78" t="s">
        <v>261</v>
      </c>
      <c r="K108" s="11" t="s">
        <v>149</v>
      </c>
      <c r="M108" s="7" t="s">
        <v>258</v>
      </c>
      <c r="N108" s="27" t="s">
        <v>262</v>
      </c>
      <c r="O108" s="27" t="s">
        <v>193</v>
      </c>
      <c r="Q108" s="199">
        <v>0.45392646391284608</v>
      </c>
      <c r="R108" s="199">
        <v>0.1693145710394916</v>
      </c>
      <c r="S108" s="199">
        <v>0.37675896504766226</v>
      </c>
      <c r="U108" s="199">
        <v>131.09333333333333</v>
      </c>
      <c r="AB108" s="127" t="e">
        <f>#REF!</f>
        <v>#REF!</v>
      </c>
      <c r="AD108" s="78" t="s">
        <v>261</v>
      </c>
      <c r="AE108" s="11" t="s">
        <v>149</v>
      </c>
      <c r="AH108" s="7" t="s">
        <v>258</v>
      </c>
      <c r="AI108" s="27" t="s">
        <v>262</v>
      </c>
      <c r="AJ108" s="27" t="s">
        <v>193</v>
      </c>
      <c r="AL108" s="211">
        <v>0.56657223796033995</v>
      </c>
      <c r="AM108" s="211">
        <v>0</v>
      </c>
      <c r="AN108" s="211">
        <v>0.43342776203966005</v>
      </c>
      <c r="AP108" s="211">
        <v>135.22666666666669</v>
      </c>
      <c r="AR108" s="126">
        <v>0.38003625275209435</v>
      </c>
    </row>
    <row r="109" spans="7:44">
      <c r="J109" s="11" t="s">
        <v>264</v>
      </c>
      <c r="K109" s="128">
        <v>0.56253188891860884</v>
      </c>
      <c r="M109" s="11">
        <v>2</v>
      </c>
      <c r="N109" s="99">
        <v>470</v>
      </c>
      <c r="O109" s="123">
        <v>0</v>
      </c>
      <c r="AD109" s="11" t="s">
        <v>264</v>
      </c>
      <c r="AE109" s="128">
        <v>0.74077833774877022</v>
      </c>
      <c r="AH109" s="11">
        <v>2</v>
      </c>
      <c r="AI109" s="99">
        <v>470</v>
      </c>
      <c r="AJ109" s="123">
        <v>0</v>
      </c>
    </row>
    <row r="110" spans="7:44">
      <c r="J110" s="11" t="s">
        <v>265</v>
      </c>
      <c r="K110" s="128">
        <v>0.31721412851042335</v>
      </c>
      <c r="AD110" s="11" t="s">
        <v>265</v>
      </c>
      <c r="AE110" s="128">
        <v>0.35177161802683821</v>
      </c>
    </row>
    <row r="132" spans="7:49">
      <c r="AU132" s="214"/>
      <c r="AV132" s="214"/>
      <c r="AW132" s="214"/>
    </row>
    <row r="133" spans="7:49">
      <c r="AU133" s="214"/>
      <c r="AV133" s="214"/>
      <c r="AW133" s="214"/>
    </row>
    <row r="134" spans="7:49">
      <c r="G134" s="126">
        <v>0.34720003867538729</v>
      </c>
    </row>
    <row r="135" spans="7:49">
      <c r="H135" s="127"/>
      <c r="J135" s="78" t="s">
        <v>261</v>
      </c>
      <c r="K135" s="11" t="s">
        <v>149</v>
      </c>
      <c r="M135" s="7" t="s">
        <v>258</v>
      </c>
      <c r="N135" s="27" t="s">
        <v>262</v>
      </c>
      <c r="O135" s="27" t="s">
        <v>193</v>
      </c>
      <c r="Q135" s="190">
        <v>0.42390843577787196</v>
      </c>
      <c r="R135" s="190">
        <v>0.19923696481559983</v>
      </c>
      <c r="S135" s="190">
        <v>0.37685459940652821</v>
      </c>
      <c r="U135" s="190">
        <v>130.16</v>
      </c>
      <c r="AB135" s="127" t="e">
        <f>#REF!</f>
        <v>#REF!</v>
      </c>
      <c r="AD135" s="78" t="s">
        <v>261</v>
      </c>
      <c r="AE135" s="11" t="s">
        <v>149</v>
      </c>
      <c r="AH135" s="7" t="s">
        <v>258</v>
      </c>
      <c r="AI135" s="27" t="s">
        <v>262</v>
      </c>
      <c r="AJ135" s="27" t="s">
        <v>193</v>
      </c>
      <c r="AL135" s="201">
        <v>0.5524861878453039</v>
      </c>
      <c r="AM135" s="201">
        <v>0</v>
      </c>
      <c r="AN135" s="201">
        <v>0.44751381215469616</v>
      </c>
      <c r="AP135" s="201">
        <v>135.76000000000002</v>
      </c>
      <c r="AR135" s="126">
        <v>0.39201216204690681</v>
      </c>
      <c r="AU135" s="214"/>
      <c r="AV135" s="214"/>
      <c r="AW135" s="214"/>
    </row>
    <row r="136" spans="7:49">
      <c r="J136" s="11" t="s">
        <v>264</v>
      </c>
      <c r="K136" s="128">
        <v>0.52746843688890843</v>
      </c>
      <c r="M136" s="11"/>
      <c r="N136" s="99">
        <v>470</v>
      </c>
      <c r="O136" s="123">
        <v>0</v>
      </c>
      <c r="AD136" s="11" t="s">
        <v>264</v>
      </c>
      <c r="AE136" s="128">
        <v>0.73659006348867362</v>
      </c>
      <c r="AH136" s="11">
        <v>2</v>
      </c>
      <c r="AI136" s="99">
        <v>470</v>
      </c>
      <c r="AJ136" s="123">
        <v>0</v>
      </c>
      <c r="AU136" s="214"/>
      <c r="AV136" s="214"/>
      <c r="AW136" s="214"/>
    </row>
    <row r="137" spans="7:49">
      <c r="J137" s="11" t="s">
        <v>265</v>
      </c>
      <c r="K137" s="128">
        <v>0.31976115336472843</v>
      </c>
      <c r="AD137" s="11" t="s">
        <v>265</v>
      </c>
      <c r="AE137" s="128">
        <v>0.36382878719076445</v>
      </c>
    </row>
    <row r="160" spans="6:6">
      <c r="F160" s="126">
        <v>0.36902466379497156</v>
      </c>
    </row>
    <row r="162" spans="8:21">
      <c r="H162" s="127"/>
      <c r="J162" s="78" t="s">
        <v>261</v>
      </c>
      <c r="K162" s="11" t="s">
        <v>149</v>
      </c>
      <c r="M162" s="7" t="s">
        <v>258</v>
      </c>
      <c r="N162" s="27" t="s">
        <v>262</v>
      </c>
      <c r="O162" s="27" t="s">
        <v>193</v>
      </c>
      <c r="Q162" s="190">
        <v>0.4533091568449682</v>
      </c>
      <c r="R162" s="190">
        <v>0.13871260199456029</v>
      </c>
      <c r="S162" s="190">
        <v>0.40797824116047138</v>
      </c>
      <c r="U162" s="190">
        <v>132.48000000000002</v>
      </c>
    </row>
    <row r="163" spans="8:21">
      <c r="J163" s="11" t="s">
        <v>264</v>
      </c>
      <c r="K163" s="128">
        <v>0.58313792558127309</v>
      </c>
      <c r="M163" s="11">
        <v>2</v>
      </c>
      <c r="N163" s="99">
        <v>470</v>
      </c>
      <c r="O163" s="123">
        <v>0</v>
      </c>
    </row>
    <row r="164" spans="8:21">
      <c r="J164" s="11" t="s">
        <v>265</v>
      </c>
      <c r="K164" s="128">
        <v>0.34141559127621851</v>
      </c>
    </row>
    <row r="188" spans="5:21">
      <c r="E188" s="72"/>
      <c r="G188" s="72"/>
    </row>
    <row r="189" spans="5:21">
      <c r="E189" s="72"/>
      <c r="F189" s="127"/>
      <c r="H189" s="127"/>
      <c r="J189" s="78" t="s">
        <v>261</v>
      </c>
      <c r="K189" s="11" t="s">
        <v>149</v>
      </c>
      <c r="M189" s="7" t="s">
        <v>258</v>
      </c>
      <c r="N189" s="27" t="s">
        <v>262</v>
      </c>
      <c r="O189" s="27" t="s">
        <v>193</v>
      </c>
      <c r="Q189" s="190">
        <v>0.42390843577787196</v>
      </c>
      <c r="R189" s="190">
        <v>0.16913946587537093</v>
      </c>
      <c r="S189" s="190">
        <v>0.40695209834675711</v>
      </c>
      <c r="U189" s="190">
        <v>135.62666666666669</v>
      </c>
    </row>
    <row r="190" spans="5:21">
      <c r="F190" s="127"/>
      <c r="J190" s="11" t="s">
        <v>264</v>
      </c>
      <c r="K190" s="128">
        <v>0.54680540434311609</v>
      </c>
      <c r="M190" s="11">
        <v>2</v>
      </c>
      <c r="N190" s="99">
        <v>470</v>
      </c>
      <c r="O190" s="123">
        <v>0</v>
      </c>
    </row>
    <row r="191" spans="5:21">
      <c r="F191" s="127"/>
      <c r="J191" s="11" t="s">
        <v>265</v>
      </c>
      <c r="K191" s="128">
        <v>0.34304397478921717</v>
      </c>
    </row>
    <row r="213" spans="4:21">
      <c r="D213" s="72"/>
    </row>
    <row r="214" spans="4:21">
      <c r="D214" s="72"/>
    </row>
    <row r="216" spans="4:21">
      <c r="G216" s="72"/>
      <c r="H216" s="127"/>
      <c r="J216" s="78" t="s">
        <v>261</v>
      </c>
      <c r="K216" s="11" t="s">
        <v>149</v>
      </c>
      <c r="M216" s="7" t="s">
        <v>258</v>
      </c>
      <c r="N216" s="27" t="s">
        <v>262</v>
      </c>
      <c r="O216" s="27" t="s">
        <v>193</v>
      </c>
      <c r="Q216" s="190">
        <v>0.42337002540220159</v>
      </c>
      <c r="R216" s="190">
        <v>0.1384419983065199</v>
      </c>
      <c r="S216" s="190">
        <v>0.43818797629127859</v>
      </c>
      <c r="U216" s="190">
        <v>134.69333333333336</v>
      </c>
    </row>
    <row r="217" spans="4:21">
      <c r="J217" s="11" t="s">
        <v>264</v>
      </c>
      <c r="K217" s="128">
        <v>0.5677676230218065</v>
      </c>
      <c r="M217" s="11">
        <v>2</v>
      </c>
      <c r="N217" s="99">
        <v>470</v>
      </c>
      <c r="O217" s="123">
        <v>0</v>
      </c>
    </row>
    <row r="218" spans="4:21">
      <c r="J218" s="11" t="s">
        <v>265</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6" thickBot="1">
      <c r="G242" s="126">
        <v>0.34233921511046433</v>
      </c>
      <c r="AA242" s="214"/>
      <c r="AB242" s="214"/>
      <c r="AC242" s="214"/>
    </row>
    <row r="243" spans="7:30" ht="16" thickBot="1">
      <c r="H243" s="127"/>
      <c r="J243" s="78" t="s">
        <v>261</v>
      </c>
      <c r="K243" s="11" t="s">
        <v>149</v>
      </c>
      <c r="M243" s="7" t="s">
        <v>258</v>
      </c>
      <c r="N243" s="27" t="s">
        <v>262</v>
      </c>
      <c r="O243" s="27" t="s">
        <v>193</v>
      </c>
      <c r="Q243" s="196">
        <v>0.48447478528958382</v>
      </c>
      <c r="R243" s="196">
        <v>0.13895617705351243</v>
      </c>
      <c r="S243" s="196">
        <v>0.3765690376569038</v>
      </c>
      <c r="U243" s="196">
        <v>136.08000000000001</v>
      </c>
      <c r="AA243" s="214"/>
      <c r="AB243" s="214"/>
      <c r="AC243" s="214"/>
      <c r="AD243" s="214"/>
    </row>
    <row r="244" spans="7:30">
      <c r="J244" s="11" t="s">
        <v>264</v>
      </c>
      <c r="K244" s="128">
        <v>0.5978902457411267</v>
      </c>
      <c r="M244" s="11">
        <v>2</v>
      </c>
      <c r="N244" s="99">
        <v>470</v>
      </c>
      <c r="O244" s="123">
        <v>0</v>
      </c>
      <c r="AA244" s="214"/>
      <c r="AB244" s="214"/>
      <c r="AC244" s="214"/>
    </row>
    <row r="245" spans="7:30">
      <c r="J245" s="11" t="s">
        <v>265</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baseColWidth="10" defaultColWidth="8.83203125" defaultRowHeight="15"/>
  <cols>
    <col min="2" max="2" width="10.5" customWidth="1"/>
    <col min="10" max="10" width="9.33203125" bestFit="1" customWidth="1"/>
    <col min="12" max="12" width="11.5" customWidth="1"/>
    <col min="14" max="14" width="11.33203125" customWidth="1"/>
  </cols>
  <sheetData>
    <row r="2" spans="2:68" ht="16" thickBot="1"/>
    <row r="3" spans="2:68" ht="16">
      <c r="C3" s="239"/>
      <c r="D3" s="239" t="s">
        <v>300</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301</v>
      </c>
      <c r="AD4" s="324"/>
      <c r="AF4" s="315" t="s">
        <v>302</v>
      </c>
      <c r="AG4" s="315"/>
      <c r="AH4" s="316"/>
      <c r="AI4" s="316"/>
      <c r="AJ4" s="316"/>
      <c r="AK4" s="316"/>
      <c r="AL4" s="316"/>
      <c r="AN4" s="317" t="s">
        <v>303</v>
      </c>
      <c r="AO4" s="317"/>
      <c r="AP4" s="318"/>
      <c r="AW4" s="332"/>
      <c r="BC4" s="317" t="s">
        <v>304</v>
      </c>
      <c r="BD4" s="317"/>
      <c r="BE4" s="318"/>
      <c r="BP4" s="325"/>
    </row>
    <row r="5" spans="2:68" ht="19.5" customHeight="1">
      <c r="D5" t="s">
        <v>305</v>
      </c>
      <c r="AD5" s="324"/>
      <c r="AJ5" s="319" t="s">
        <v>306</v>
      </c>
      <c r="AW5" s="332"/>
      <c r="BP5" s="325"/>
    </row>
    <row r="6" spans="2:68">
      <c r="D6" t="s">
        <v>307</v>
      </c>
      <c r="AD6" s="324"/>
      <c r="AG6" s="320" t="s">
        <v>308</v>
      </c>
      <c r="AN6" s="6" t="s">
        <v>309</v>
      </c>
      <c r="AO6" s="24"/>
      <c r="AP6" s="24"/>
      <c r="AQ6" s="15"/>
      <c r="AW6" s="332"/>
      <c r="BP6" s="325"/>
    </row>
    <row r="7" spans="2:68">
      <c r="D7" t="s">
        <v>310</v>
      </c>
      <c r="AD7" s="324"/>
      <c r="AG7" t="s">
        <v>311</v>
      </c>
      <c r="AH7" t="s">
        <v>312</v>
      </c>
      <c r="AK7" t="s">
        <v>313</v>
      </c>
      <c r="AN7" s="48" t="s">
        <v>314</v>
      </c>
      <c r="AP7" s="119"/>
      <c r="AQ7" t="s">
        <v>315</v>
      </c>
      <c r="AW7" s="332"/>
      <c r="BP7" s="325"/>
    </row>
    <row r="8" spans="2:68">
      <c r="D8" t="s">
        <v>316</v>
      </c>
      <c r="AD8" s="326"/>
      <c r="AG8" s="320" t="s">
        <v>317</v>
      </c>
      <c r="AN8" s="85" t="s">
        <v>318</v>
      </c>
      <c r="AO8" s="118"/>
      <c r="AP8" s="120"/>
      <c r="AQ8" t="s">
        <v>319</v>
      </c>
      <c r="AW8" s="332"/>
      <c r="BP8" s="325"/>
    </row>
    <row r="9" spans="2:68">
      <c r="D9" t="s">
        <v>320</v>
      </c>
      <c r="AD9" s="324"/>
      <c r="AW9" s="332"/>
      <c r="BP9" s="325"/>
    </row>
    <row r="10" spans="2:68">
      <c r="D10" t="s">
        <v>321</v>
      </c>
      <c r="AD10" s="324"/>
      <c r="AW10" s="332"/>
      <c r="BP10" s="325"/>
    </row>
    <row r="11" spans="2:68">
      <c r="D11" t="s">
        <v>322</v>
      </c>
      <c r="AD11" s="324"/>
      <c r="AE11" s="11" t="s">
        <v>323</v>
      </c>
      <c r="AF11" s="11" t="s">
        <v>324</v>
      </c>
      <c r="AG11" s="314" t="s">
        <v>295</v>
      </c>
      <c r="AH11" s="314" t="s">
        <v>325</v>
      </c>
      <c r="AI11" s="11" t="s">
        <v>326</v>
      </c>
      <c r="AJ11" s="314" t="s">
        <v>327</v>
      </c>
      <c r="AK11" s="29"/>
      <c r="AL11" s="313" t="s">
        <v>328</v>
      </c>
      <c r="AM11" s="11" t="s">
        <v>329</v>
      </c>
      <c r="AN11" s="11" t="s">
        <v>330</v>
      </c>
      <c r="AO11" s="11" t="s">
        <v>331</v>
      </c>
      <c r="AP11" s="29"/>
      <c r="AQ11" s="306"/>
      <c r="AR11" s="29"/>
      <c r="AW11" s="332"/>
      <c r="AY11" s="11" t="s">
        <v>323</v>
      </c>
      <c r="AZ11" s="11" t="s">
        <v>324</v>
      </c>
      <c r="BA11" s="314" t="s">
        <v>295</v>
      </c>
      <c r="BB11" s="314" t="s">
        <v>325</v>
      </c>
      <c r="BC11" s="11" t="s">
        <v>326</v>
      </c>
      <c r="BD11" s="314" t="s">
        <v>327</v>
      </c>
      <c r="BE11" s="29"/>
      <c r="BF11" s="313" t="s">
        <v>328</v>
      </c>
      <c r="BG11" s="11" t="s">
        <v>329</v>
      </c>
      <c r="BH11" s="11" t="s">
        <v>330</v>
      </c>
      <c r="BI11" s="11" t="s">
        <v>331</v>
      </c>
      <c r="BJ11" s="29"/>
      <c r="BK11" s="306"/>
      <c r="BL11" s="29"/>
      <c r="BP11" s="325"/>
    </row>
    <row r="12" spans="2:68">
      <c r="D12" t="s">
        <v>332</v>
      </c>
      <c r="AD12" s="324"/>
      <c r="AE12">
        <f>(1-AO12)^1.3</f>
        <v>0.68876865498860407</v>
      </c>
      <c r="AF12">
        <f>0.7*(1-AN12)+0.3*(1-AN12)^12</f>
        <v>0.67413528672471656</v>
      </c>
      <c r="AG12" s="261" t="s">
        <v>333</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333</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334</v>
      </c>
      <c r="AD13" s="324"/>
      <c r="AG13" s="150" t="s">
        <v>178</v>
      </c>
      <c r="AH13" s="11">
        <v>9.5</v>
      </c>
      <c r="AI13" s="11">
        <v>2</v>
      </c>
      <c r="AJ13" s="33">
        <v>0.62</v>
      </c>
      <c r="AK13" s="29"/>
      <c r="AL13" s="77">
        <v>0.15</v>
      </c>
      <c r="AM13" s="11">
        <v>2</v>
      </c>
      <c r="AN13" s="29"/>
      <c r="AO13" s="29"/>
      <c r="AP13" s="29"/>
      <c r="AQ13" s="73"/>
      <c r="AR13" s="29"/>
      <c r="AW13" s="332"/>
      <c r="BA13" s="11" t="s">
        <v>254</v>
      </c>
      <c r="BB13" s="11">
        <v>1.18</v>
      </c>
      <c r="BC13" s="11">
        <v>2</v>
      </c>
      <c r="BD13" s="11">
        <v>0.62</v>
      </c>
      <c r="BE13" s="29"/>
      <c r="BF13" s="77">
        <v>0.6</v>
      </c>
      <c r="BG13" s="11">
        <v>2</v>
      </c>
      <c r="BH13" s="29"/>
      <c r="BI13" s="29"/>
      <c r="BJ13" s="29"/>
      <c r="BK13" s="73"/>
      <c r="BL13" s="29"/>
      <c r="BP13" s="325"/>
    </row>
    <row r="14" spans="2:68" ht="16" thickBot="1">
      <c r="C14" s="10"/>
      <c r="D14" s="10"/>
      <c r="E14" s="10"/>
      <c r="F14" s="10"/>
      <c r="G14" s="10"/>
      <c r="H14" s="10"/>
      <c r="I14" s="10"/>
      <c r="J14" s="10"/>
      <c r="K14" s="10"/>
      <c r="L14" s="10"/>
      <c r="M14" s="10"/>
      <c r="N14" s="10"/>
      <c r="O14" s="10"/>
      <c r="AD14" s="324"/>
      <c r="AG14" s="150" t="s">
        <v>335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6" thickBot="1">
      <c r="B15" s="241"/>
      <c r="C15" s="10"/>
      <c r="D15" s="242" t="s">
        <v>336</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6"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337</v>
      </c>
      <c r="AM16" s="29"/>
      <c r="AN16" s="29"/>
      <c r="AQ16" s="7">
        <f>AJ12/(1-(1-AJ12+AJ12*(1-1/AJ13))*AL13-(1-AJ12/AJ13)*AL13)</f>
        <v>0.60586319218241047</v>
      </c>
      <c r="AR16" s="29"/>
      <c r="AS16" s="29"/>
      <c r="AT16" s="29" t="s">
        <v>338</v>
      </c>
      <c r="AU16" s="29"/>
      <c r="AV16" s="29"/>
      <c r="AW16" s="332"/>
      <c r="BA16" s="29"/>
      <c r="BB16" s="29"/>
      <c r="BC16" s="307">
        <f>BD12/(1-(1-BD12+AY12*BD12*(1-1/BD13))*BF13-(1-AZ12*BD12/BD13)*BF13)</f>
        <v>0.67790087504679886</v>
      </c>
      <c r="BD16" s="29"/>
      <c r="BE16" s="29"/>
      <c r="BF16" s="29" t="s">
        <v>337</v>
      </c>
      <c r="BG16" s="29"/>
      <c r="BH16" s="29"/>
      <c r="BK16" s="7">
        <f>BD12/(1-(1-BD12+BD12*(1-1/BD13))*BF13-(1-BD12/BD13)*BF13)</f>
        <v>0.62416107382550334</v>
      </c>
      <c r="BL16" s="29"/>
      <c r="BM16" s="29"/>
      <c r="BN16" s="29" t="s">
        <v>338</v>
      </c>
      <c r="BO16" s="29"/>
      <c r="BP16" s="327"/>
    </row>
    <row r="17" spans="3:68">
      <c r="C17" s="10"/>
      <c r="D17" s="161" t="s">
        <v>339</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340</v>
      </c>
      <c r="E19" s="161"/>
      <c r="F19" s="10"/>
      <c r="G19" s="10"/>
      <c r="H19" s="10"/>
      <c r="I19" s="10" t="s">
        <v>341</v>
      </c>
      <c r="J19" s="10"/>
      <c r="K19" s="10"/>
      <c r="L19" s="10"/>
      <c r="M19" s="10" t="s">
        <v>342</v>
      </c>
      <c r="N19" s="10"/>
      <c r="O19" s="10"/>
      <c r="S19" t="s">
        <v>343</v>
      </c>
      <c r="AD19" s="324"/>
      <c r="AE19" s="11" t="s">
        <v>323</v>
      </c>
      <c r="AF19" s="11" t="s">
        <v>324</v>
      </c>
      <c r="AG19" s="11" t="s">
        <v>295</v>
      </c>
      <c r="AH19" s="11" t="s">
        <v>325</v>
      </c>
      <c r="AI19" s="11" t="s">
        <v>326</v>
      </c>
      <c r="AJ19" s="11" t="s">
        <v>327</v>
      </c>
      <c r="AK19" s="29"/>
      <c r="AL19" s="305" t="s">
        <v>328</v>
      </c>
      <c r="AM19" s="11" t="s">
        <v>329</v>
      </c>
      <c r="AN19" s="261" t="s">
        <v>330</v>
      </c>
      <c r="AO19" s="11" t="s">
        <v>331</v>
      </c>
      <c r="AQ19" s="29"/>
      <c r="AR19" s="29"/>
      <c r="AS19" s="29"/>
      <c r="AT19" s="29"/>
      <c r="AU19" s="29"/>
      <c r="AV19" s="306"/>
      <c r="AW19" s="333"/>
      <c r="AY19" s="11" t="s">
        <v>323</v>
      </c>
      <c r="AZ19" s="11" t="s">
        <v>324</v>
      </c>
      <c r="BA19" s="314" t="s">
        <v>295</v>
      </c>
      <c r="BB19" s="314" t="s">
        <v>325</v>
      </c>
      <c r="BC19" s="11" t="s">
        <v>326</v>
      </c>
      <c r="BD19" s="314" t="s">
        <v>327</v>
      </c>
      <c r="BE19" s="29"/>
      <c r="BF19" s="313" t="s">
        <v>328</v>
      </c>
      <c r="BG19" s="11" t="s">
        <v>329</v>
      </c>
      <c r="BH19" s="11" t="s">
        <v>330</v>
      </c>
      <c r="BI19" s="11" t="s">
        <v>331</v>
      </c>
      <c r="BP19" s="325"/>
    </row>
    <row r="20" spans="3:68">
      <c r="C20" s="10"/>
      <c r="D20" s="10"/>
      <c r="E20" s="10"/>
      <c r="F20" s="10"/>
      <c r="G20" s="161"/>
      <c r="H20" s="10"/>
      <c r="I20" s="10"/>
      <c r="J20" s="161" t="s">
        <v>340</v>
      </c>
      <c r="K20" s="161"/>
      <c r="L20" s="161"/>
      <c r="M20" s="10" t="s">
        <v>344</v>
      </c>
      <c r="N20" s="10"/>
      <c r="O20" s="10"/>
      <c r="S20" t="s">
        <v>345</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346</v>
      </c>
      <c r="E21" s="10"/>
      <c r="F21" s="10"/>
      <c r="G21" s="246"/>
      <c r="H21" s="10"/>
      <c r="I21" s="10"/>
      <c r="J21" s="10"/>
      <c r="K21" s="10"/>
      <c r="L21" s="10"/>
      <c r="M21" s="10"/>
      <c r="N21" s="10"/>
      <c r="O21" s="10"/>
      <c r="S21" t="s">
        <v>347</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348</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7" thickBot="1">
      <c r="C23" s="10"/>
      <c r="D23" s="10"/>
      <c r="E23" s="10"/>
      <c r="F23" s="10"/>
      <c r="G23" s="10"/>
      <c r="H23" s="10"/>
      <c r="I23" s="248" t="s">
        <v>349</v>
      </c>
      <c r="J23" s="248"/>
      <c r="K23" s="10"/>
      <c r="L23" s="10"/>
      <c r="M23" s="10"/>
      <c r="N23" s="10"/>
      <c r="O23" s="10"/>
      <c r="S23" t="s">
        <v>350</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6" thickBot="1">
      <c r="C24" s="10"/>
      <c r="D24" s="10"/>
      <c r="E24" s="10"/>
      <c r="F24" s="10"/>
      <c r="G24" s="10"/>
      <c r="H24" s="10"/>
      <c r="I24" s="249"/>
      <c r="J24" s="249"/>
      <c r="K24" s="10"/>
      <c r="L24" s="10"/>
      <c r="S24" t="s">
        <v>351</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338</v>
      </c>
      <c r="AU24" s="29"/>
      <c r="AV24" s="29"/>
      <c r="AW24" s="332"/>
      <c r="BA24" s="29"/>
      <c r="BB24" s="29"/>
      <c r="BC24" s="307">
        <f>BD20/(1-(1-BD20+AY20*BD20*(1-1/BD21))*BF21-(1-AZ20*BD20/BD21)*BF21)</f>
        <v>0.63780194714196947</v>
      </c>
      <c r="BD24" s="29"/>
      <c r="BE24" s="29"/>
      <c r="BF24" s="29" t="s">
        <v>337</v>
      </c>
      <c r="BG24" s="29"/>
      <c r="BH24" s="29"/>
      <c r="BK24" s="7">
        <f>BD20/(1-(1-BD20+BD20*(1-1/BD21))*BF21-(1-BD20/BD21)*BF21)</f>
        <v>0.60389610389610382</v>
      </c>
      <c r="BL24" s="29"/>
      <c r="BM24" s="29"/>
      <c r="BN24" s="29" t="s">
        <v>338</v>
      </c>
      <c r="BO24" s="29"/>
      <c r="BP24" s="327"/>
    </row>
    <row r="25" spans="3:68" ht="16">
      <c r="C25" s="10"/>
      <c r="D25" s="10"/>
      <c r="E25" s="10"/>
      <c r="F25" s="10"/>
      <c r="G25" s="10"/>
      <c r="H25" s="10"/>
      <c r="I25" s="248" t="s">
        <v>352</v>
      </c>
      <c r="J25" s="248"/>
      <c r="K25" s="10"/>
      <c r="L25" s="10"/>
      <c r="S25" t="s">
        <v>353</v>
      </c>
      <c r="AD25" s="324"/>
      <c r="AL25" s="122"/>
      <c r="AW25" s="332"/>
      <c r="BP25" s="325"/>
    </row>
    <row r="26" spans="3:68" ht="16" thickBot="1">
      <c r="I26" s="247"/>
      <c r="J26" s="247"/>
      <c r="S26" t="s">
        <v>354</v>
      </c>
      <c r="AD26" s="324"/>
      <c r="AW26" s="332"/>
      <c r="BP26" s="325"/>
    </row>
    <row r="27" spans="3:68" ht="17" thickTop="1" thickBot="1">
      <c r="F27" s="29" t="s">
        <v>355</v>
      </c>
      <c r="G27" s="29" t="s">
        <v>356</v>
      </c>
      <c r="L27" t="s">
        <v>357</v>
      </c>
      <c r="M27" s="252" t="s">
        <v>325</v>
      </c>
      <c r="N27" s="7" t="s">
        <v>293</v>
      </c>
      <c r="O27" s="258" t="s">
        <v>358</v>
      </c>
      <c r="S27" t="s">
        <v>359</v>
      </c>
      <c r="T27" s="240"/>
      <c r="AD27" s="324"/>
      <c r="AE27" s="11" t="s">
        <v>323</v>
      </c>
      <c r="AF27" s="11" t="s">
        <v>324</v>
      </c>
      <c r="AG27" s="11" t="s">
        <v>295</v>
      </c>
      <c r="AH27" s="11" t="s">
        <v>325</v>
      </c>
      <c r="AI27" s="11" t="s">
        <v>326</v>
      </c>
      <c r="AJ27" s="11" t="s">
        <v>327</v>
      </c>
      <c r="AK27" s="29"/>
      <c r="AL27" s="305" t="s">
        <v>328</v>
      </c>
      <c r="AM27" s="11" t="s">
        <v>329</v>
      </c>
      <c r="AN27" s="11" t="s">
        <v>330</v>
      </c>
      <c r="AO27" s="11" t="s">
        <v>331</v>
      </c>
      <c r="AQ27" s="29"/>
      <c r="AR27" s="29"/>
      <c r="AS27" s="29"/>
      <c r="AT27" s="29"/>
      <c r="AU27" s="29"/>
      <c r="AV27" s="306"/>
      <c r="AW27" s="333"/>
      <c r="AY27" t="s">
        <v>360</v>
      </c>
      <c r="BC27" s="308">
        <f>MIN(BC24,BC16)</f>
        <v>0.63780194714196947</v>
      </c>
      <c r="BK27" s="309">
        <f>MIN(BK24,BK16)</f>
        <v>0.60389610389610382</v>
      </c>
      <c r="BL27" s="29"/>
      <c r="BM27" s="29"/>
      <c r="BN27" s="29" t="s">
        <v>338</v>
      </c>
      <c r="BO27" s="29"/>
      <c r="BP27" s="327"/>
    </row>
    <row r="28" spans="3:68" ht="16" thickBot="1">
      <c r="F28" s="106">
        <f>L28</f>
        <v>0.45</v>
      </c>
      <c r="G28" s="106">
        <f>L29</f>
        <v>0.15</v>
      </c>
      <c r="H28" s="7"/>
      <c r="L28" s="257">
        <v>0.45</v>
      </c>
      <c r="M28" s="252">
        <v>25</v>
      </c>
      <c r="N28" s="250">
        <v>0.60990162876955345</v>
      </c>
      <c r="O28" s="259" t="s">
        <v>253</v>
      </c>
      <c r="S28" t="s">
        <v>361</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6" thickBot="1">
      <c r="F29" s="106">
        <f>L29</f>
        <v>0.15</v>
      </c>
      <c r="G29" s="106">
        <f>L30</f>
        <v>0.4</v>
      </c>
      <c r="H29" s="7"/>
      <c r="L29" s="88">
        <v>0.15</v>
      </c>
      <c r="M29" s="29">
        <v>9.5</v>
      </c>
      <c r="N29" s="251">
        <v>0.61619093694565397</v>
      </c>
      <c r="O29" s="260" t="s">
        <v>178</v>
      </c>
      <c r="S29" t="s">
        <v>362</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6" thickBot="1">
      <c r="F30" s="106">
        <f>L30</f>
        <v>0.4</v>
      </c>
      <c r="G30" s="106">
        <f>L28</f>
        <v>0.45</v>
      </c>
      <c r="H30" s="7"/>
      <c r="L30" s="88">
        <v>0.4</v>
      </c>
      <c r="M30" s="29">
        <v>1.18</v>
      </c>
      <c r="N30" s="251">
        <v>0.67585873246250616</v>
      </c>
      <c r="O30" s="260" t="s">
        <v>254</v>
      </c>
      <c r="S30" t="s">
        <v>363</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6" thickBot="1">
      <c r="F31" s="122">
        <f>SUM(F28:F30)</f>
        <v>1</v>
      </c>
      <c r="G31" s="122">
        <f>SUM(G28:G30)</f>
        <v>1</v>
      </c>
      <c r="L31" s="122">
        <f>SUM(L28:L30)</f>
        <v>1</v>
      </c>
      <c r="O31" s="29"/>
      <c r="S31" t="s">
        <v>364</v>
      </c>
      <c r="AD31" s="324"/>
      <c r="AG31" s="29"/>
      <c r="AH31" s="29"/>
      <c r="AI31" s="29"/>
      <c r="AJ31" s="29"/>
      <c r="AK31" s="29"/>
      <c r="AL31" s="117">
        <f>SUM(AL28:AL30)</f>
        <v>1</v>
      </c>
      <c r="AM31" s="29"/>
      <c r="AN31" s="29"/>
      <c r="AO31" s="29"/>
      <c r="AW31" s="332"/>
      <c r="BP31" s="325"/>
    </row>
    <row r="32" spans="3:68" ht="16" thickBot="1">
      <c r="L32" s="29"/>
      <c r="S32" t="s">
        <v>365</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338</v>
      </c>
      <c r="AU32" s="29"/>
      <c r="AV32" s="29"/>
      <c r="AW32" s="332"/>
      <c r="AZ32" s="335" t="s">
        <v>366</v>
      </c>
      <c r="BP32" s="325"/>
    </row>
    <row r="33" spans="6:68">
      <c r="F33" s="261" t="s">
        <v>367</v>
      </c>
      <c r="G33" s="11" t="s">
        <v>368</v>
      </c>
      <c r="H33" s="11" t="s">
        <v>369</v>
      </c>
      <c r="I33" s="29" t="s">
        <v>370</v>
      </c>
      <c r="J33" s="29" t="s">
        <v>231</v>
      </c>
      <c r="K33" s="29" t="s">
        <v>371</v>
      </c>
      <c r="L33" s="29"/>
      <c r="S33" t="s">
        <v>372</v>
      </c>
      <c r="X33" t="s">
        <v>373</v>
      </c>
      <c r="Z33" t="s">
        <v>374</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375</v>
      </c>
      <c r="AD34" s="324"/>
      <c r="AW34" s="332"/>
      <c r="AZ34" t="s">
        <v>376</v>
      </c>
      <c r="BP34" s="325"/>
    </row>
    <row r="35" spans="6:68" ht="16"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377</v>
      </c>
      <c r="AD35" s="324"/>
      <c r="AW35" s="332"/>
      <c r="AZ35" t="s">
        <v>378</v>
      </c>
      <c r="BN35" t="s">
        <v>379</v>
      </c>
      <c r="BP35" s="325"/>
    </row>
    <row r="36" spans="6:68" ht="17" thickTop="1" thickBot="1">
      <c r="F36" s="261">
        <f t="shared" si="2"/>
        <v>0.30000000000000004</v>
      </c>
      <c r="G36" s="11">
        <f t="shared" si="3"/>
        <v>0.32727272727272727</v>
      </c>
      <c r="H36" s="7">
        <f t="shared" si="4"/>
        <v>0.62727272727272732</v>
      </c>
      <c r="I36">
        <f>(M28-M30)/(M28+M30)</f>
        <v>0.90985485103132169</v>
      </c>
      <c r="S36" t="s">
        <v>380</v>
      </c>
      <c r="AD36" s="324"/>
      <c r="AE36" t="s">
        <v>360</v>
      </c>
      <c r="AI36" s="308">
        <f>MIN(AI16,AI24,AI32)</f>
        <v>0.64805193936620697</v>
      </c>
      <c r="AJ36" s="29"/>
      <c r="AK36" s="29"/>
      <c r="AL36" s="29" t="s">
        <v>337</v>
      </c>
      <c r="AM36" s="29"/>
      <c r="AN36" s="29"/>
      <c r="AQ36" s="310">
        <f>MIN(AQ16,AQ24,AQ32)</f>
        <v>0.60586319218241047</v>
      </c>
      <c r="AR36" s="29"/>
      <c r="AS36" s="29"/>
      <c r="AT36" s="29" t="s">
        <v>338</v>
      </c>
      <c r="AU36" s="29"/>
      <c r="AV36" s="29"/>
      <c r="AW36" s="332"/>
      <c r="AZ36" t="s">
        <v>381</v>
      </c>
      <c r="BP36" s="325"/>
    </row>
    <row r="37" spans="6:68" ht="16" thickTop="1">
      <c r="G37" s="21" t="s">
        <v>382</v>
      </c>
      <c r="H37" s="11">
        <f>SUM(H34:H36)</f>
        <v>1</v>
      </c>
      <c r="S37" t="s">
        <v>383</v>
      </c>
      <c r="AD37" s="324"/>
      <c r="AW37" s="332"/>
      <c r="BP37" s="325"/>
    </row>
    <row r="38" spans="6:68">
      <c r="S38" t="s">
        <v>384</v>
      </c>
      <c r="AD38" s="324"/>
      <c r="AW38" s="332"/>
      <c r="BP38" s="325"/>
    </row>
    <row r="39" spans="6:68" ht="16"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385</v>
      </c>
      <c r="AC40" s="11" t="s">
        <v>236</v>
      </c>
    </row>
    <row r="41" spans="6:68">
      <c r="U41" s="252"/>
      <c r="AB41" s="253"/>
      <c r="AC41" s="254">
        <v>1.5</v>
      </c>
    </row>
    <row r="42" spans="6:68" ht="16" thickBot="1">
      <c r="U42" s="10"/>
      <c r="AB42" s="32" t="s">
        <v>150</v>
      </c>
      <c r="AC42" s="255">
        <v>1</v>
      </c>
    </row>
    <row r="43" spans="6:68" ht="16" thickBot="1">
      <c r="F43" s="29" t="s">
        <v>386</v>
      </c>
      <c r="G43" s="29" t="s">
        <v>387</v>
      </c>
      <c r="H43" s="29" t="s">
        <v>388</v>
      </c>
      <c r="I43" s="29" t="s">
        <v>231</v>
      </c>
      <c r="J43" t="s">
        <v>389</v>
      </c>
      <c r="K43" t="s">
        <v>390</v>
      </c>
      <c r="L43" t="s">
        <v>357</v>
      </c>
      <c r="M43" t="s">
        <v>357</v>
      </c>
      <c r="N43" s="252" t="s">
        <v>325</v>
      </c>
      <c r="O43" s="7" t="s">
        <v>293</v>
      </c>
      <c r="P43" s="258" t="s">
        <v>358</v>
      </c>
      <c r="AB43" s="32" t="s">
        <v>136</v>
      </c>
      <c r="AC43" s="255">
        <v>0.75</v>
      </c>
      <c r="AD43" s="121">
        <v>19</v>
      </c>
    </row>
    <row r="44" spans="6:68" ht="16"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253</v>
      </c>
      <c r="AB44" s="32" t="s">
        <v>177</v>
      </c>
      <c r="AC44" s="255">
        <v>0.5</v>
      </c>
      <c r="AD44" s="121">
        <v>12.5</v>
      </c>
    </row>
    <row r="45" spans="6:68" ht="16" thickBot="1">
      <c r="L45" s="88">
        <f>M45/(M44+M45)</f>
        <v>0.30769230769230771</v>
      </c>
      <c r="M45" s="50">
        <v>0.2</v>
      </c>
      <c r="N45" s="29">
        <v>9.5</v>
      </c>
      <c r="O45" s="251">
        <v>0.61619093694565397</v>
      </c>
      <c r="P45" s="260" t="s">
        <v>178</v>
      </c>
      <c r="AB45" s="32" t="s">
        <v>178</v>
      </c>
      <c r="AC45" s="121">
        <f>3/8</f>
        <v>0.375</v>
      </c>
      <c r="AD45" s="121">
        <v>9.5</v>
      </c>
    </row>
    <row r="46" spans="6:68" ht="16" thickBot="1">
      <c r="L46" s="88"/>
      <c r="M46" s="50">
        <v>0.35</v>
      </c>
      <c r="N46" s="29">
        <v>1.18</v>
      </c>
      <c r="O46" s="251">
        <v>0.67585873246250616</v>
      </c>
      <c r="P46" s="260" t="s">
        <v>254</v>
      </c>
      <c r="AB46" s="256" t="s">
        <v>161</v>
      </c>
      <c r="AC46">
        <f t="shared" ref="AC46:AC51" si="5">AD46/25.4</f>
        <v>0.18700787401574803</v>
      </c>
      <c r="AD46" s="121">
        <v>4.75</v>
      </c>
    </row>
    <row r="47" spans="6:68">
      <c r="L47" s="122">
        <f>SUM(L44:L45)</f>
        <v>1</v>
      </c>
      <c r="M47" s="50">
        <f>SUM(M44:M46)</f>
        <v>1</v>
      </c>
      <c r="O47" s="29"/>
      <c r="AB47" s="32" t="s">
        <v>179</v>
      </c>
      <c r="AC47">
        <f t="shared" si="5"/>
        <v>9.2913385826771652E-2</v>
      </c>
      <c r="AD47" s="121">
        <v>2.36</v>
      </c>
    </row>
    <row r="48" spans="6:68" ht="16" thickBot="1">
      <c r="AB48" s="32" t="s">
        <v>180</v>
      </c>
      <c r="AC48">
        <f t="shared" si="5"/>
        <v>4.6456692913385826E-2</v>
      </c>
      <c r="AD48" s="121">
        <v>1.18</v>
      </c>
    </row>
    <row r="49" spans="6:30">
      <c r="L49" s="262" t="s">
        <v>391</v>
      </c>
      <c r="M49" s="263" t="s">
        <v>392</v>
      </c>
      <c r="N49" s="264" t="s">
        <v>393</v>
      </c>
      <c r="O49" s="265" t="s">
        <v>394</v>
      </c>
      <c r="AB49" s="32" t="s">
        <v>163</v>
      </c>
      <c r="AC49">
        <f t="shared" si="5"/>
        <v>2.3622047244094488E-2</v>
      </c>
      <c r="AD49" s="121">
        <v>0.6</v>
      </c>
    </row>
    <row r="50" spans="6:30" ht="16" thickBot="1">
      <c r="L50" s="266">
        <f>1/(O50+N50-M50)</f>
        <v>0.67158635679454437</v>
      </c>
      <c r="M50" s="267">
        <f>((1/O44)-1)*L44*K44*F44</f>
        <v>0.14544763234174285</v>
      </c>
      <c r="N50" s="267">
        <f>L44/O44</f>
        <v>1.1351136964569009</v>
      </c>
      <c r="O50" s="268">
        <f>L45/O45</f>
        <v>0.499345721015441</v>
      </c>
      <c r="AB50" s="32" t="s">
        <v>164</v>
      </c>
      <c r="AC50">
        <f t="shared" si="5"/>
        <v>1.1811023622047244E-2</v>
      </c>
      <c r="AD50" s="121">
        <v>0.3</v>
      </c>
    </row>
    <row r="51" spans="6:30">
      <c r="AB51" s="33" t="s">
        <v>181</v>
      </c>
      <c r="AC51" s="118">
        <f t="shared" si="5"/>
        <v>5.905511811023622E-3</v>
      </c>
      <c r="AD51" s="23">
        <v>0.15</v>
      </c>
    </row>
    <row r="52" spans="6:30" ht="16" thickBot="1"/>
    <row r="53" spans="6:30" ht="16" thickBot="1">
      <c r="F53" s="29" t="s">
        <v>386</v>
      </c>
      <c r="G53" s="29" t="s">
        <v>387</v>
      </c>
      <c r="H53" s="29" t="s">
        <v>388</v>
      </c>
      <c r="I53" s="29" t="s">
        <v>231</v>
      </c>
      <c r="J53" t="s">
        <v>389</v>
      </c>
      <c r="K53" t="s">
        <v>390</v>
      </c>
      <c r="L53" t="s">
        <v>357</v>
      </c>
      <c r="M53" t="s">
        <v>357</v>
      </c>
      <c r="N53" t="s">
        <v>395</v>
      </c>
      <c r="O53" s="252" t="s">
        <v>325</v>
      </c>
      <c r="P53" s="7" t="s">
        <v>293</v>
      </c>
      <c r="Q53" s="258" t="s">
        <v>358</v>
      </c>
    </row>
    <row r="54" spans="6:30" ht="16" thickBot="1">
      <c r="L54" s="257"/>
      <c r="M54" s="50">
        <v>0.45</v>
      </c>
      <c r="O54" s="252">
        <v>25</v>
      </c>
      <c r="P54" s="250">
        <v>0.60990162876955345</v>
      </c>
      <c r="Q54" s="259" t="s">
        <v>253</v>
      </c>
    </row>
    <row r="55" spans="6:30" ht="16"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178</v>
      </c>
    </row>
    <row r="56" spans="6:30" ht="16" thickBot="1">
      <c r="L56" s="88">
        <f>M56/(M55+M56)</f>
        <v>0.63636363636363624</v>
      </c>
      <c r="M56" s="50">
        <v>0.35</v>
      </c>
      <c r="N56">
        <v>1.18</v>
      </c>
      <c r="O56" s="29">
        <v>1.18</v>
      </c>
      <c r="P56" s="251">
        <v>0.67585873246250616</v>
      </c>
      <c r="Q56" s="260" t="s">
        <v>254</v>
      </c>
    </row>
    <row r="57" spans="6:30">
      <c r="L57" s="122">
        <f>SUM(L55:L56)</f>
        <v>0.99999999999999989</v>
      </c>
      <c r="M57" s="50">
        <f>SUM(M54:M56)</f>
        <v>1</v>
      </c>
      <c r="O57" s="29"/>
    </row>
    <row r="58" spans="6:30" ht="16" thickBot="1"/>
    <row r="59" spans="6:30">
      <c r="L59" s="311" t="s">
        <v>391</v>
      </c>
      <c r="M59" s="263" t="s">
        <v>392</v>
      </c>
      <c r="N59" s="264" t="s">
        <v>393</v>
      </c>
      <c r="O59" s="265" t="s">
        <v>394</v>
      </c>
    </row>
    <row r="60" spans="6:30" ht="16"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12</vt:i4>
      </vt:variant>
      <vt:variant>
        <vt:lpstr>Charts</vt:lpstr>
      </vt:variant>
      <vt:variant>
        <vt:i4>1</vt:i4>
      </vt:variant>
      <vt:variant>
        <vt:lpstr>Named Ranges</vt:lpstr>
      </vt:variant>
      <vt:variant>
        <vt:i4>6</vt:i4>
      </vt:variant>
    </vt:vector>
  </HeadingPairs>
  <TitlesOfParts>
    <vt:vector size="19" baseType="lpstr">
      <vt:lpstr>Procedures</vt:lpstr>
      <vt:lpstr>Mix Design Description</vt:lpstr>
      <vt:lpstr> Mix Design</vt:lpstr>
      <vt:lpstr>Mix Design Test Results</vt:lpstr>
      <vt:lpstr>Data</vt:lpstr>
      <vt:lpstr>TAG</vt:lpstr>
      <vt:lpstr>Tarantula Sieve Transfer</vt:lpstr>
      <vt:lpstr>Sieve Analysis</vt:lpstr>
      <vt:lpstr>Tarantula Curve Mix Design</vt:lpstr>
      <vt:lpstr>Sheet5</vt:lpstr>
      <vt:lpstr>Sheet3</vt:lpstr>
      <vt:lpstr>Sheet4</vt:lpstr>
      <vt:lpstr>Chart-Gradation Band</vt:lpstr>
      <vt:lpstr>' Mix Design'!Print_Area</vt:lpstr>
      <vt:lpstr>Data!Print_Area</vt:lpstr>
      <vt:lpstr>'Mix Design Description'!Print_Area</vt:lpstr>
      <vt:lpstr>'Mix Design Test Results'!Print_Area</vt:lpstr>
      <vt:lpstr>Procedures!Print_Area</vt:lpstr>
      <vt:lpstr>TAG!Print_Area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Carter Janssen</cp:lastModifiedBy>
  <cp:revision/>
  <dcterms:created xsi:type="dcterms:W3CDTF">2011-05-20T00:14:59Z</dcterms:created>
  <dcterms:modified xsi:type="dcterms:W3CDTF">2026-02-24T20:08:58Z</dcterms:modified>
  <cp:category/>
  <cp:contentStatus/>
</cp:coreProperties>
</file>