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rte\Downloads\Dew It Logistics\Company Information\Marc'd\Business Documents\"/>
    </mc:Choice>
  </mc:AlternateContent>
  <xr:revisionPtr revIDLastSave="0" documentId="13_ncr:1_{558E17D8-4002-47E9-983B-C117FB74DDBA}" xr6:coauthVersionLast="47" xr6:coauthVersionMax="47" xr10:uidLastSave="{00000000-0000-0000-0000-000000000000}"/>
  <bookViews>
    <workbookView xWindow="28680" yWindow="-120" windowWidth="29040" windowHeight="16440" xr2:uid="{427D939F-DDDD-4395-942B-FD130C892EF4}"/>
  </bookViews>
  <sheets>
    <sheet name="Insurance Company Projections" sheetId="14" r:id="rId1"/>
    <sheet name="Summary" sheetId="8" r:id="rId2"/>
    <sheet name="12-Month P&amp;L" sheetId="1" r:id="rId3"/>
    <sheet name="Year 2 P&amp;L" sheetId="2" r:id="rId4"/>
    <sheet name="Year 3 P&amp;L" sheetId="7" r:id="rId5"/>
    <sheet name="Sweepstakes" sheetId="9" r:id="rId6"/>
    <sheet name="FMCSA Data" sheetId="11" r:id="rId7"/>
  </sheets>
  <definedNames>
    <definedName name="_xlnm._FilterDatabase" localSheetId="6" hidden="1">'FMCSA Data'!$A$18:$F$38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14" l="1"/>
  <c r="J9" i="14"/>
  <c r="J12" i="14" s="1"/>
  <c r="J8" i="14"/>
  <c r="I10" i="14"/>
  <c r="I9" i="14"/>
  <c r="I12" i="14" s="1"/>
  <c r="I8" i="14"/>
  <c r="H9" i="14"/>
  <c r="H12" i="14" s="1"/>
  <c r="M9" i="14"/>
  <c r="M10" i="14"/>
  <c r="M8" i="14"/>
  <c r="D10" i="14"/>
  <c r="D9" i="14"/>
  <c r="D8" i="14"/>
  <c r="D6" i="8"/>
  <c r="C6" i="8"/>
  <c r="B6" i="8"/>
  <c r="C31" i="7"/>
  <c r="H10" i="7"/>
  <c r="C15" i="7" s="1"/>
  <c r="C32" i="2"/>
  <c r="C26" i="7" s="1"/>
  <c r="C33" i="2"/>
  <c r="C27" i="7" s="1"/>
  <c r="C34" i="2"/>
  <c r="C28" i="7" s="1"/>
  <c r="C36" i="2"/>
  <c r="C30" i="7" s="1"/>
  <c r="C37" i="2"/>
  <c r="C38" i="2"/>
  <c r="C32" i="7" s="1"/>
  <c r="C39" i="2"/>
  <c r="C33" i="7" s="1"/>
  <c r="C40" i="2"/>
  <c r="C34" i="7" s="1"/>
  <c r="C41" i="2"/>
  <c r="C35" i="7" s="1"/>
  <c r="C42" i="2"/>
  <c r="C36" i="7" s="1"/>
  <c r="C43" i="2"/>
  <c r="C37" i="7" s="1"/>
  <c r="C45" i="2"/>
  <c r="C31" i="2"/>
  <c r="C25" i="7" s="1"/>
  <c r="C30" i="2"/>
  <c r="C24" i="7" s="1"/>
  <c r="C11" i="2"/>
  <c r="C8" i="2"/>
  <c r="C10" i="2" s="1"/>
  <c r="C40" i="1"/>
  <c r="C39" i="1"/>
  <c r="C11" i="1"/>
  <c r="C8" i="1"/>
  <c r="D10" i="11"/>
  <c r="G5" i="11"/>
  <c r="G6" i="11"/>
  <c r="G7" i="11"/>
  <c r="G9" i="11"/>
  <c r="C7" i="11"/>
  <c r="C8" i="11"/>
  <c r="C9" i="11"/>
  <c r="C6" i="11"/>
  <c r="C11" i="11" s="1"/>
  <c r="G49" i="11"/>
  <c r="G50" i="11"/>
  <c r="G51" i="11"/>
  <c r="G52" i="11"/>
  <c r="G53" i="11"/>
  <c r="G48" i="11"/>
  <c r="E40" i="11"/>
  <c r="G33" i="11" s="1"/>
  <c r="F38" i="11"/>
  <c r="F37" i="11"/>
  <c r="F35" i="11"/>
  <c r="F32" i="11"/>
  <c r="F31" i="11"/>
  <c r="F30" i="11"/>
  <c r="F29" i="11"/>
  <c r="F25" i="11"/>
  <c r="F22" i="11"/>
  <c r="F21" i="11"/>
  <c r="F20" i="11"/>
  <c r="H8" i="14" l="1"/>
  <c r="H10" i="14"/>
  <c r="C20" i="7"/>
  <c r="C19" i="7"/>
  <c r="C18" i="7"/>
  <c r="F10" i="7"/>
  <c r="G10" i="7"/>
  <c r="C12" i="2"/>
  <c r="C16" i="2" s="1"/>
  <c r="H16" i="2" s="1"/>
  <c r="G16" i="2" s="1"/>
  <c r="C21" i="2" s="1"/>
  <c r="C10" i="1"/>
  <c r="C12" i="1" s="1"/>
  <c r="D11" i="11"/>
  <c r="G11" i="11"/>
  <c r="G38" i="11"/>
  <c r="G21" i="11"/>
  <c r="G20" i="11"/>
  <c r="G32" i="11"/>
  <c r="G29" i="11"/>
  <c r="G22" i="11"/>
  <c r="G30" i="11"/>
  <c r="G31" i="11"/>
  <c r="G28" i="11"/>
  <c r="G27" i="11"/>
  <c r="G26" i="11"/>
  <c r="G37" i="11"/>
  <c r="G25" i="11"/>
  <c r="G36" i="11"/>
  <c r="G24" i="11"/>
  <c r="G35" i="11"/>
  <c r="G23" i="11"/>
  <c r="G34" i="11"/>
  <c r="F40" i="11"/>
  <c r="C26" i="2" l="1"/>
  <c r="C25" i="2"/>
  <c r="C24" i="2"/>
  <c r="F16" i="2"/>
  <c r="C16" i="1"/>
  <c r="H16" i="1" s="1"/>
  <c r="G40" i="11"/>
  <c r="C21" i="7" l="1"/>
  <c r="C27" i="2"/>
  <c r="D5" i="8" s="1"/>
  <c r="F16" i="1"/>
  <c r="C21" i="1" s="1"/>
  <c r="C24" i="1" s="1"/>
  <c r="G16" i="1"/>
  <c r="B5" i="8" s="1"/>
  <c r="C5" i="8" s="1"/>
  <c r="C37" i="1"/>
  <c r="C35" i="2" s="1"/>
  <c r="C26" i="1"/>
  <c r="C25" i="1" l="1"/>
  <c r="C29" i="7"/>
  <c r="C40" i="7" s="1"/>
  <c r="E6" i="8" s="1"/>
  <c r="C46" i="2"/>
  <c r="E5" i="8" s="1"/>
  <c r="C48" i="2"/>
  <c r="C42" i="7" l="1"/>
  <c r="C28" i="1" l="1"/>
  <c r="E4" i="9"/>
  <c r="E5" i="9"/>
  <c r="E6" i="9"/>
  <c r="E7" i="9"/>
  <c r="E8" i="9"/>
  <c r="E3" i="9"/>
  <c r="F4" i="9"/>
  <c r="F5" i="9"/>
  <c r="F6" i="9"/>
  <c r="F7" i="9"/>
  <c r="F8" i="9"/>
  <c r="F3" i="9"/>
  <c r="B11" i="9"/>
  <c r="C4" i="9"/>
  <c r="C5" i="9"/>
  <c r="C6" i="9"/>
  <c r="C7" i="9"/>
  <c r="C8" i="9"/>
  <c r="C9" i="9"/>
  <c r="E9" i="9" s="1"/>
  <c r="C3" i="9"/>
  <c r="D3" i="9" s="1"/>
  <c r="B4" i="8"/>
  <c r="C4" i="8" s="1"/>
  <c r="C38" i="1"/>
  <c r="C29" i="1" l="1"/>
  <c r="D6" i="9"/>
  <c r="D9" i="9"/>
  <c r="F9" i="9" s="1"/>
  <c r="F11" i="9" s="1"/>
  <c r="D8" i="9"/>
  <c r="D7" i="9"/>
  <c r="D5" i="9"/>
  <c r="D4" i="9"/>
  <c r="D11" i="9" s="1"/>
  <c r="C11" i="9"/>
  <c r="E11" i="9"/>
  <c r="C42" i="1" s="1"/>
  <c r="D4" i="8"/>
  <c r="C47" i="1" l="1"/>
  <c r="E4" i="8" l="1"/>
  <c r="F4" i="8" s="1"/>
  <c r="G4" i="8" s="1"/>
  <c r="F6" i="8"/>
  <c r="G6" i="8" s="1"/>
  <c r="C49" i="1"/>
  <c r="F5" i="8"/>
  <c r="G5" i="8" s="1"/>
</calcChain>
</file>

<file path=xl/sharedStrings.xml><?xml version="1.0" encoding="utf-8"?>
<sst xmlns="http://schemas.openxmlformats.org/spreadsheetml/2006/main" count="265" uniqueCount="155">
  <si>
    <t>The U.S. trucking industry is vast, moving 11.46 billion tons of freight and generating $940.8 billion in 2022. It employs 3.54 million drivers and supports 8.4 million industry-related jobs. It is primarily made up of small businesses, with 95.8% of fleets operating fewer than 10 trucks, offering significant opportunities for targeted solutions like Marc’d.</t>
  </si>
  <si>
    <t>Projected 12-Month P&amp;L:</t>
  </si>
  <si>
    <t>Category</t>
  </si>
  <si>
    <t>Amount</t>
  </si>
  <si>
    <t>Revenue</t>
  </si>
  <si>
    <t>Subscription Revenue</t>
  </si>
  <si>
    <t>In-App Purchases</t>
  </si>
  <si>
    <t>Ad Revenue</t>
  </si>
  <si>
    <t>Initial Investment</t>
  </si>
  <si>
    <t>Total Revenue</t>
  </si>
  <si>
    <t>Expenses</t>
  </si>
  <si>
    <t>Marketing &amp; Advertising</t>
  </si>
  <si>
    <t>Salaries (Core Staff)</t>
  </si>
  <si>
    <t>Freelancers/Contractors</t>
  </si>
  <si>
    <t>Software Development</t>
  </si>
  <si>
    <t>Mapping/API Services</t>
  </si>
  <si>
    <t>Office/Operational</t>
  </si>
  <si>
    <t>Insurance</t>
  </si>
  <si>
    <t>Net Profit</t>
  </si>
  <si>
    <t>Digital Advertising</t>
  </si>
  <si>
    <t>Miscellaneous Expenses</t>
  </si>
  <si>
    <t>Data Storage Costs</t>
  </si>
  <si>
    <t>Compute Costs (Server Instances)</t>
  </si>
  <si>
    <t>Database and Analytics Costs</t>
  </si>
  <si>
    <t>Additional Services (AI Integration, Security</t>
  </si>
  <si>
    <t>%</t>
  </si>
  <si>
    <t>&lt;&lt;--- 10% of users subscribe</t>
  </si>
  <si>
    <t>Year</t>
  </si>
  <si>
    <t>Year 1</t>
  </si>
  <si>
    <t>Year 2</t>
  </si>
  <si>
    <t>Year 3</t>
  </si>
  <si>
    <t>Monthly Active Users</t>
  </si>
  <si>
    <t>Monthly Projected Subscribers</t>
  </si>
  <si>
    <t xml:space="preserve">without initial Investment </t>
  </si>
  <si>
    <t>Sweepstakes</t>
  </si>
  <si>
    <t>Regions</t>
  </si>
  <si>
    <t>North West</t>
  </si>
  <si>
    <t>West</t>
  </si>
  <si>
    <t>South West</t>
  </si>
  <si>
    <t>South East</t>
  </si>
  <si>
    <t>Mid-Atlantic</t>
  </si>
  <si>
    <t>North East</t>
  </si>
  <si>
    <t>Monthly</t>
  </si>
  <si>
    <t>Total</t>
  </si>
  <si>
    <t>Amount Y1</t>
  </si>
  <si>
    <t>Amount Y2&amp; Y3</t>
  </si>
  <si>
    <t>Year 2&amp;3</t>
  </si>
  <si>
    <t xml:space="preserve">Total </t>
  </si>
  <si>
    <t>Violation Code</t>
  </si>
  <si>
    <t>Number of Violations</t>
  </si>
  <si>
    <t>392.2-SLLS2</t>
  </si>
  <si>
    <t>False Log Book</t>
  </si>
  <si>
    <t>Seat Belt</t>
  </si>
  <si>
    <t>391.41(a)(1)</t>
  </si>
  <si>
    <t>Medical Certificate</t>
  </si>
  <si>
    <t>391.41(a)</t>
  </si>
  <si>
    <t>392.2-SLLS3</t>
  </si>
  <si>
    <t>392.2-SLLS4</t>
  </si>
  <si>
    <t>392.2-SLLS1</t>
  </si>
  <si>
    <t>395.24D</t>
  </si>
  <si>
    <t>395.22H4</t>
  </si>
  <si>
    <t>392.82(a)1</t>
  </si>
  <si>
    <t>Violation Description</t>
  </si>
  <si>
    <t>392.2C</t>
  </si>
  <si>
    <t>Failure To Obey Traffic Control Device</t>
  </si>
  <si>
    <t>Failure to obey traffic control device</t>
  </si>
  <si>
    <t>Speeding State/Local Laws</t>
  </si>
  <si>
    <t>Speeding 6-10 miles per hour over the speed limit</t>
  </si>
  <si>
    <t>395.8(e)</t>
  </si>
  <si>
    <t>False report of drivers record of duty status</t>
  </si>
  <si>
    <t>392.16</t>
  </si>
  <si>
    <t>Failing to use seat belt while operating a CMV</t>
  </si>
  <si>
    <t>383.23(a)(2)</t>
  </si>
  <si>
    <t>All Other Driver Violations</t>
  </si>
  <si>
    <t>Operating a CMV without a CDL</t>
  </si>
  <si>
    <t>392.2LV</t>
  </si>
  <si>
    <t>Lane Restriction violation</t>
  </si>
  <si>
    <t>Operating a property-carrying vehicle without possessing a valid medical certificate - no previous history</t>
  </si>
  <si>
    <t>395.8A-ELD</t>
  </si>
  <si>
    <t>No Log Book,Log Not Current,General Log Violations</t>
  </si>
  <si>
    <t>ELD - No record of duty status (ELD Required)</t>
  </si>
  <si>
    <t>392.2MI</t>
  </si>
  <si>
    <t>Miscellaneous Traffic Law Violation</t>
  </si>
  <si>
    <t>395.8</t>
  </si>
  <si>
    <t>Log Book Form And Manner</t>
  </si>
  <si>
    <t>Record of Duty Status violation (general/form and manner)</t>
  </si>
  <si>
    <t>No medical certificate in driver's possession</t>
  </si>
  <si>
    <t>Speeding 11-14 miles per hour over the speed limit</t>
  </si>
  <si>
    <t>Speeding 1-5 miles per hour over the speed limit</t>
  </si>
  <si>
    <t>All Other Hours-Of Service</t>
  </si>
  <si>
    <t>ELD cannot transfer ELD records electronically</t>
  </si>
  <si>
    <t>395.8F01</t>
  </si>
  <si>
    <t>Drivers record of duty status not current</t>
  </si>
  <si>
    <t>395.24C2III</t>
  </si>
  <si>
    <t>Driver failed to manually add shipping document number</t>
  </si>
  <si>
    <t>Driver failed to maintain supply of blank drivers records of duty status graph-grids</t>
  </si>
  <si>
    <t>395.30B1</t>
  </si>
  <si>
    <t>Driver failed to certify the accuracy of the information gathered by the ELD</t>
  </si>
  <si>
    <t>Speeding 15 or more miles per hour over the speed limit</t>
  </si>
  <si>
    <t>Using a hand-held mobile telephone while operating a CMV</t>
  </si>
  <si>
    <t>Avoidable with Marc'd</t>
  </si>
  <si>
    <t>Over 53% avoidable with Marc'd</t>
  </si>
  <si>
    <t>Investigations by Carrier Fleet Size, 2018-2022</t>
  </si>
  <si>
    <t>Carrier Fleet Size</t>
  </si>
  <si>
    <t>2018</t>
  </si>
  <si>
    <t>2019</t>
  </si>
  <si>
    <t>2020</t>
  </si>
  <si>
    <t>2021</t>
  </si>
  <si>
    <t>2022</t>
  </si>
  <si>
    <t>Very Small (1-6 Power Units)</t>
  </si>
  <si>
    <t>Small (7-20 Power Units)</t>
  </si>
  <si>
    <t>Medium (21-100 Power Units)</t>
  </si>
  <si>
    <t>Large (&gt;100 Power Units)</t>
  </si>
  <si>
    <t>No Power Units/Unreported</t>
  </si>
  <si>
    <t>Of the carriers inpsected, 82% of them were very small to small carrier fleets which implies these fleets are targeted the most by DOT.</t>
  </si>
  <si>
    <t>Active Carriers</t>
  </si>
  <si>
    <t>YOY Change %</t>
  </si>
  <si>
    <t>Active Motor Carriers (Interstate Freight Carriers), 2018-2022</t>
  </si>
  <si>
    <t>Active Drivers</t>
  </si>
  <si>
    <t>Avg. # of Driver's per carrier</t>
  </si>
  <si>
    <t>Average</t>
  </si>
  <si>
    <t>Active Motor Carriers (Interstate Freight Drivers), 2018-2022</t>
  </si>
  <si>
    <t>N/A</t>
  </si>
  <si>
    <t>Weights</t>
  </si>
  <si>
    <t>*Over the past 4 years, Interstate Carrier Authorities have increased by 7%</t>
  </si>
  <si>
    <t>*Over the past 4 years, the average # of interstate drivers per interstate carrier is 5, excluding year 2021</t>
  </si>
  <si>
    <t>Active Interstate Carriers</t>
  </si>
  <si>
    <t>Carriers Operating 10 or fewer trucks</t>
  </si>
  <si>
    <t>Target Carrier Audience</t>
  </si>
  <si>
    <t>Target Driver Population</t>
  </si>
  <si>
    <t>Avg # of Driver per Carrier</t>
  </si>
  <si>
    <t>3 Year Target</t>
  </si>
  <si>
    <t>Y1 Target</t>
  </si>
  <si>
    <t>Y2 Target</t>
  </si>
  <si>
    <t>Y3 Target</t>
  </si>
  <si>
    <t>Avg. in App Purchase Cost</t>
  </si>
  <si>
    <t>Customer Service Team</t>
  </si>
  <si>
    <t>Industry Related Jobs</t>
  </si>
  <si>
    <t>Driver Penetration %</t>
  </si>
  <si>
    <t>Industry Related Jobs Penetration %</t>
  </si>
  <si>
    <t>5 Randoms</t>
  </si>
  <si>
    <t>Marc’d aims to reach 7% of the 3.7 million drivers and 0.5% of the 8.4 million industry-related jobs, equating to about 185,000 drivers and 42,000 support workers, respectively. A goal of 300,000 active users within three years is realistic given the ongoing demand for parking solutions and community-driven updates.</t>
  </si>
  <si>
    <t>&lt;&lt;--- 14% of users subscribe</t>
  </si>
  <si>
    <t>R&amp;D</t>
  </si>
  <si>
    <t>&lt;&lt;--- 16% of users subscribe</t>
  </si>
  <si>
    <t>Profit Margins</t>
  </si>
  <si>
    <t>Severity Weight</t>
  </si>
  <si>
    <t>Most Frequent Driver Violations in Inspections, 2022</t>
  </si>
  <si>
    <t>The U.S. trucking industry is vast, moving 11.46 billion tons of freight and generating $940.8 billion in 2022. It employs 3.7 million drivers and supports 8.4 million industry-related jobs. It is primarily made up of small businesses, with 95.8% of fleets operating fewer than 10 trucks, offering significant opportunities for targeted solutions like Marc’d.</t>
  </si>
  <si>
    <t>Additional Services (AI Integration, Security)</t>
  </si>
  <si>
    <t>Carier 1</t>
  </si>
  <si>
    <t>Carier 2</t>
  </si>
  <si>
    <t>Target1</t>
  </si>
  <si>
    <t>Target2</t>
  </si>
  <si>
    <t>Target3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</si>
</sst>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[$$-409]* #,##0_);_([$$-409]* \(#,##0\);_([$$-409]* &quot;-&quot;??_);_(@_)"/>
    <numFmt numFmtId="166" formatCode="_(&quot;$&quot;* #,##0_);_(&quot;$&quot;* \(#,##0\);_(&quot;$&quot;* &quot;-&quot;??_);_(@_)"/>
    <numFmt numFmtId="167" formatCode="0.0%"/>
    <numFmt numFmtId="168" formatCode="_(* #,##0_);_(* \(#,##0\);_(* &quot;-&quot;?_);_(@_)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Century Gothic"/>
      <family val="2"/>
    </font>
    <font>
      <i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6" fontId="0" fillId="0" borderId="0" xfId="0" applyNumberFormat="1"/>
    <xf numFmtId="0" fontId="0" fillId="0" borderId="0" xfId="0" applyAlignment="1">
      <alignment horizontal="right"/>
    </xf>
    <xf numFmtId="6" fontId="0" fillId="0" borderId="0" xfId="0" applyNumberFormat="1" applyAlignment="1">
      <alignment horizontal="right"/>
    </xf>
    <xf numFmtId="164" fontId="0" fillId="0" borderId="0" xfId="1" applyNumberFormat="1" applyFont="1"/>
    <xf numFmtId="43" fontId="0" fillId="0" borderId="0" xfId="0" applyNumberFormat="1"/>
    <xf numFmtId="3" fontId="0" fillId="0" borderId="0" xfId="0" applyNumberFormat="1" applyAlignment="1">
      <alignment horizontal="right"/>
    </xf>
    <xf numFmtId="9" fontId="0" fillId="0" borderId="0" xfId="2" applyFont="1"/>
    <xf numFmtId="9" fontId="0" fillId="0" borderId="0" xfId="0" applyNumberFormat="1"/>
    <xf numFmtId="2" fontId="0" fillId="0" borderId="0" xfId="2" applyNumberFormat="1" applyFont="1"/>
    <xf numFmtId="2" fontId="0" fillId="0" borderId="0" xfId="0" applyNumberFormat="1"/>
    <xf numFmtId="0" fontId="2" fillId="0" borderId="0" xfId="0" applyFont="1"/>
    <xf numFmtId="0" fontId="4" fillId="0" borderId="0" xfId="0" applyFont="1"/>
    <xf numFmtId="3" fontId="0" fillId="0" borderId="0" xfId="1" applyNumberFormat="1" applyFont="1" applyAlignment="1">
      <alignment horizontal="center" vertical="center"/>
    </xf>
    <xf numFmtId="165" fontId="0" fillId="0" borderId="0" xfId="0" applyNumberFormat="1"/>
    <xf numFmtId="165" fontId="2" fillId="0" borderId="0" xfId="0" applyNumberFormat="1" applyFont="1"/>
    <xf numFmtId="6" fontId="6" fillId="0" borderId="0" xfId="0" applyNumberFormat="1" applyFont="1" applyAlignment="1">
      <alignment horizontal="right"/>
    </xf>
    <xf numFmtId="0" fontId="6" fillId="0" borderId="0" xfId="0" applyFont="1"/>
    <xf numFmtId="6" fontId="2" fillId="0" borderId="0" xfId="0" applyNumberFormat="1" applyFont="1"/>
    <xf numFmtId="44" fontId="0" fillId="0" borderId="0" xfId="3" applyFont="1"/>
    <xf numFmtId="44" fontId="0" fillId="0" borderId="0" xfId="0" applyNumberFormat="1"/>
    <xf numFmtId="166" fontId="0" fillId="0" borderId="0" xfId="3" applyNumberFormat="1" applyFont="1"/>
    <xf numFmtId="167" fontId="0" fillId="0" borderId="0" xfId="2" applyNumberFormat="1" applyFont="1"/>
    <xf numFmtId="10" fontId="0" fillId="0" borderId="0" xfId="2" applyNumberFormat="1" applyFont="1"/>
    <xf numFmtId="0" fontId="2" fillId="0" borderId="1" xfId="0" applyFont="1" applyBorder="1" applyAlignment="1">
      <alignment horizontal="center" vertical="top"/>
    </xf>
    <xf numFmtId="0" fontId="0" fillId="2" borderId="0" xfId="0" applyFill="1"/>
    <xf numFmtId="164" fontId="0" fillId="2" borderId="0" xfId="1" applyNumberFormat="1" applyFont="1" applyFill="1"/>
    <xf numFmtId="164" fontId="0" fillId="0" borderId="0" xfId="0" applyNumberFormat="1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2" fillId="2" borderId="0" xfId="0" applyFont="1" applyFill="1"/>
    <xf numFmtId="9" fontId="2" fillId="2" borderId="0" xfId="2" applyFont="1" applyFill="1"/>
    <xf numFmtId="9" fontId="2" fillId="0" borderId="0" xfId="2" applyFont="1" applyFill="1"/>
    <xf numFmtId="43" fontId="0" fillId="0" borderId="0" xfId="1" applyFont="1"/>
    <xf numFmtId="0" fontId="0" fillId="0" borderId="0" xfId="0" applyAlignment="1">
      <alignment horizontal="right" vertical="top"/>
    </xf>
    <xf numFmtId="0" fontId="9" fillId="0" borderId="0" xfId="0" applyFont="1" applyAlignment="1">
      <alignment horizontal="right"/>
    </xf>
    <xf numFmtId="164" fontId="0" fillId="0" borderId="0" xfId="1" applyNumberFormat="1" applyFont="1" applyAlignment="1">
      <alignment horizontal="right"/>
    </xf>
    <xf numFmtId="0" fontId="0" fillId="0" borderId="0" xfId="0" applyAlignment="1">
      <alignment horizontal="right" indent="1"/>
    </xf>
    <xf numFmtId="164" fontId="0" fillId="0" borderId="0" xfId="1" applyNumberFormat="1" applyFont="1" applyAlignment="1">
      <alignment horizontal="left" indent="2"/>
    </xf>
    <xf numFmtId="0" fontId="8" fillId="0" borderId="0" xfId="0" applyFont="1" applyAlignment="1">
      <alignment horizontal="center" wrapText="1"/>
    </xf>
    <xf numFmtId="168" fontId="0" fillId="0" borderId="0" xfId="0" applyNumberFormat="1"/>
    <xf numFmtId="164" fontId="2" fillId="2" borderId="0" xfId="1" applyNumberFormat="1" applyFont="1" applyFill="1"/>
    <xf numFmtId="9" fontId="8" fillId="0" borderId="0" xfId="2" applyFont="1" applyAlignment="1">
      <alignment horizontal="center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6" fillId="2" borderId="5" xfId="0" applyFont="1" applyFill="1" applyBorder="1"/>
    <xf numFmtId="6" fontId="6" fillId="2" borderId="6" xfId="0" applyNumberFormat="1" applyFont="1" applyFill="1" applyBorder="1" applyAlignment="1">
      <alignment horizontal="right"/>
    </xf>
    <xf numFmtId="3" fontId="0" fillId="0" borderId="0" xfId="0" applyNumberFormat="1"/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wrapText="1"/>
    </xf>
    <xf numFmtId="0" fontId="8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B3C82-964D-4A97-B310-E8000AC59B4A}">
  <dimension ref="B4:N12"/>
  <sheetViews>
    <sheetView tabSelected="1" workbookViewId="0">
      <selection activeCell="E8" sqref="E8:E10"/>
    </sheetView>
  </sheetViews>
  <sheetFormatPr defaultRowHeight="14.5" x14ac:dyDescent="0.35"/>
  <cols>
    <col min="8" max="8" width="14.90625" bestFit="1" customWidth="1"/>
    <col min="9" max="10" width="14.81640625" bestFit="1" customWidth="1"/>
  </cols>
  <sheetData>
    <row r="4" spans="2:14" x14ac:dyDescent="0.35">
      <c r="E4" t="s">
        <v>152</v>
      </c>
      <c r="F4" t="s">
        <v>153</v>
      </c>
      <c r="G4" t="s">
        <v>154</v>
      </c>
      <c r="H4" t="s">
        <v>132</v>
      </c>
      <c r="I4" t="s">
        <v>133</v>
      </c>
      <c r="J4" t="s">
        <v>134</v>
      </c>
    </row>
    <row r="5" spans="2:14" x14ac:dyDescent="0.35">
      <c r="M5" t="s">
        <v>150</v>
      </c>
      <c r="N5" t="s">
        <v>151</v>
      </c>
    </row>
    <row r="7" spans="2:14" x14ac:dyDescent="0.35">
      <c r="H7" s="5">
        <v>29812.400000000001</v>
      </c>
      <c r="I7" s="5">
        <v>149062</v>
      </c>
      <c r="J7" s="5">
        <v>298124</v>
      </c>
    </row>
    <row r="8" spans="2:14" x14ac:dyDescent="0.35">
      <c r="B8">
        <v>40.99</v>
      </c>
      <c r="C8">
        <v>12</v>
      </c>
      <c r="D8">
        <f>B8*C8</f>
        <v>491.88</v>
      </c>
      <c r="E8" s="8">
        <v>0.05</v>
      </c>
      <c r="F8" s="8">
        <v>7.0000000000000007E-2</v>
      </c>
      <c r="G8" s="8">
        <v>0.09</v>
      </c>
      <c r="H8" s="20">
        <f>D8*$H$7*$E$8</f>
        <v>733206.16560000007</v>
      </c>
      <c r="I8" s="20">
        <f>D8*$I$7*F8</f>
        <v>5132443.1592000006</v>
      </c>
      <c r="J8" s="20">
        <f>D8*$J$7*G8</f>
        <v>13197710.980799999</v>
      </c>
      <c r="M8" s="49">
        <f>1500*C8</f>
        <v>18000</v>
      </c>
    </row>
    <row r="9" spans="2:14" x14ac:dyDescent="0.35">
      <c r="B9">
        <v>10.99</v>
      </c>
      <c r="C9">
        <v>12</v>
      </c>
      <c r="D9">
        <f t="shared" ref="D9:D10" si="0">B9*C9</f>
        <v>131.88</v>
      </c>
      <c r="E9" s="8">
        <v>7.0000000000000007E-2</v>
      </c>
      <c r="F9" s="8">
        <v>0.1</v>
      </c>
      <c r="G9" s="8">
        <v>0.12</v>
      </c>
      <c r="H9" s="20">
        <f>D9*$H$7*$E$9</f>
        <v>275216.15184000001</v>
      </c>
      <c r="I9" s="20">
        <f>D9*$I$7*F9</f>
        <v>1965829.656</v>
      </c>
      <c r="J9" s="20">
        <f>D9*$J$7*G9</f>
        <v>4717991.1743999999</v>
      </c>
      <c r="M9" s="49">
        <f t="shared" ref="M9:M10" si="1">1500*C9</f>
        <v>18000</v>
      </c>
    </row>
    <row r="10" spans="2:14" x14ac:dyDescent="0.35">
      <c r="B10">
        <v>5.99</v>
      </c>
      <c r="C10">
        <v>12</v>
      </c>
      <c r="D10">
        <f t="shared" si="0"/>
        <v>71.88</v>
      </c>
      <c r="E10" s="8">
        <v>0.05</v>
      </c>
      <c r="F10" s="8">
        <v>7.0000000000000007E-2</v>
      </c>
      <c r="G10" s="8">
        <v>0.09</v>
      </c>
      <c r="H10" s="20">
        <f>D10*$H$7*$E$10</f>
        <v>107145.7656</v>
      </c>
      <c r="I10" s="20">
        <f>D10*$I$7*F10</f>
        <v>750020.35919999995</v>
      </c>
      <c r="J10" s="20">
        <f>D10*$J$7*G10</f>
        <v>1928623.7807999996</v>
      </c>
      <c r="M10" s="49">
        <f t="shared" si="1"/>
        <v>18000</v>
      </c>
    </row>
    <row r="12" spans="2:14" x14ac:dyDescent="0.35">
      <c r="B12" t="s">
        <v>43</v>
      </c>
      <c r="H12" s="21">
        <f>SUM(H8:H10)</f>
        <v>1115568.0830400002</v>
      </c>
      <c r="I12" s="21">
        <f t="shared" ref="I12:J12" si="2">SUM(I8:I10)</f>
        <v>7848293.1744000008</v>
      </c>
      <c r="J12" s="21">
        <f t="shared" si="2"/>
        <v>19844325.935999997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DEF16-6D02-4C19-820E-B881FD50ED73}">
  <dimension ref="A3:G18"/>
  <sheetViews>
    <sheetView workbookViewId="0">
      <selection activeCell="A3" sqref="A3:G6"/>
    </sheetView>
  </sheetViews>
  <sheetFormatPr defaultRowHeight="14.5" x14ac:dyDescent="0.35"/>
  <cols>
    <col min="2" max="2" width="18.36328125" bestFit="1" customWidth="1"/>
    <col min="3" max="3" width="26.81640625" customWidth="1"/>
    <col min="4" max="6" width="10.54296875" bestFit="1" customWidth="1"/>
    <col min="7" max="7" width="14.81640625" bestFit="1" customWidth="1"/>
  </cols>
  <sheetData>
    <row r="3" spans="1:7" x14ac:dyDescent="0.35">
      <c r="A3" t="s">
        <v>27</v>
      </c>
      <c r="B3" t="s">
        <v>31</v>
      </c>
      <c r="C3" t="s">
        <v>32</v>
      </c>
      <c r="D3" t="s">
        <v>4</v>
      </c>
      <c r="E3" t="s">
        <v>10</v>
      </c>
      <c r="F3" t="s">
        <v>18</v>
      </c>
      <c r="G3" s="3" t="s">
        <v>145</v>
      </c>
    </row>
    <row r="4" spans="1:7" x14ac:dyDescent="0.35">
      <c r="A4" t="s">
        <v>28</v>
      </c>
      <c r="B4" s="14">
        <f>'12-Month P&amp;L'!C21</f>
        <v>29812.400000000001</v>
      </c>
      <c r="C4" s="14">
        <f>B4*0.1</f>
        <v>2981.2400000000002</v>
      </c>
      <c r="D4" s="2">
        <f>'12-Month P&amp;L'!C28</f>
        <v>741890.7844</v>
      </c>
      <c r="E4" s="2">
        <f>'12-Month P&amp;L'!C47</f>
        <v>643521.20799999998</v>
      </c>
      <c r="F4" s="19">
        <f>D4-E4</f>
        <v>98369.57640000002</v>
      </c>
      <c r="G4" s="8">
        <f>F4/D4</f>
        <v>0.13259306958443468</v>
      </c>
    </row>
    <row r="5" spans="1:7" x14ac:dyDescent="0.35">
      <c r="A5" t="s">
        <v>29</v>
      </c>
      <c r="B5" s="14">
        <f>'12-Month P&amp;L'!G16</f>
        <v>149062</v>
      </c>
      <c r="C5" s="14">
        <f>B5*0.14</f>
        <v>20868.68</v>
      </c>
      <c r="D5" s="2">
        <f>'Year 2 P&amp;L'!C27</f>
        <v>3940513.5948000001</v>
      </c>
      <c r="E5" s="2">
        <f>'Year 2 P&amp;L'!C46</f>
        <v>2794084.8319999999</v>
      </c>
      <c r="F5" s="19">
        <f t="shared" ref="F5:F6" si="0">D5-E5</f>
        <v>1146428.7628000001</v>
      </c>
      <c r="G5" s="8">
        <f t="shared" ref="G5:G6" si="1">F5/D5</f>
        <v>0.29093384281502188</v>
      </c>
    </row>
    <row r="6" spans="1:7" x14ac:dyDescent="0.35">
      <c r="A6" t="s">
        <v>30</v>
      </c>
      <c r="B6" s="14">
        <f>'Year 3 P&amp;L'!H10</f>
        <v>298124</v>
      </c>
      <c r="C6" s="14">
        <f>B6*0.16</f>
        <v>47699.840000000004</v>
      </c>
      <c r="D6" s="2">
        <f>'Year 3 P&amp;L'!C21</f>
        <v>8612086.8623999991</v>
      </c>
      <c r="E6" s="2">
        <f>'Year 3 P&amp;L'!C40</f>
        <v>6677769.6639999999</v>
      </c>
      <c r="F6" s="19">
        <f t="shared" si="0"/>
        <v>1934317.1983999992</v>
      </c>
      <c r="G6" s="8">
        <f t="shared" si="1"/>
        <v>0.22460493365959242</v>
      </c>
    </row>
    <row r="8" spans="1:7" x14ac:dyDescent="0.35">
      <c r="C8" s="20"/>
    </row>
    <row r="17" spans="2:7" x14ac:dyDescent="0.35">
      <c r="B17" s="20"/>
      <c r="D17" s="21"/>
      <c r="G17" s="20"/>
    </row>
    <row r="18" spans="2:7" x14ac:dyDescent="0.35">
      <c r="D18" s="21"/>
      <c r="G18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CBBB6-8ABC-4DB2-945E-8B9EAB49D03B}">
  <dimension ref="B2:N49"/>
  <sheetViews>
    <sheetView topLeftCell="A3" workbookViewId="0">
      <selection activeCell="F13" sqref="F13:H16"/>
    </sheetView>
  </sheetViews>
  <sheetFormatPr defaultRowHeight="14.5" x14ac:dyDescent="0.35"/>
  <cols>
    <col min="2" max="2" width="37.6328125" bestFit="1" customWidth="1"/>
    <col min="3" max="3" width="13" bestFit="1" customWidth="1"/>
    <col min="5" max="5" width="10.1796875" bestFit="1" customWidth="1"/>
    <col min="7" max="8" width="10.1796875" bestFit="1" customWidth="1"/>
    <col min="10" max="10" width="13.81640625" bestFit="1" customWidth="1"/>
    <col min="11" max="11" width="12.1796875" bestFit="1" customWidth="1"/>
  </cols>
  <sheetData>
    <row r="2" spans="2:14" ht="69.5" customHeight="1" x14ac:dyDescent="0.35">
      <c r="B2" s="50" t="s">
        <v>148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</row>
    <row r="3" spans="2:14" x14ac:dyDescent="0.35">
      <c r="B3" s="51" t="s">
        <v>141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</row>
    <row r="4" spans="2:14" x14ac:dyDescent="0.35"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</row>
    <row r="5" spans="2:14" x14ac:dyDescent="0.35"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</row>
    <row r="8" spans="2:14" x14ac:dyDescent="0.35">
      <c r="B8" t="s">
        <v>126</v>
      </c>
      <c r="C8" s="5">
        <f>'FMCSA Data'!B9</f>
        <v>763867</v>
      </c>
      <c r="E8" s="28"/>
    </row>
    <row r="9" spans="2:14" x14ac:dyDescent="0.35">
      <c r="B9" t="s">
        <v>127</v>
      </c>
      <c r="C9" s="23">
        <v>0.95799999999999996</v>
      </c>
      <c r="E9" s="28"/>
    </row>
    <row r="10" spans="2:14" x14ac:dyDescent="0.35">
      <c r="B10" t="s">
        <v>128</v>
      </c>
      <c r="C10" s="5">
        <f>ROUNDDOWN(C8*C9,0)</f>
        <v>731784</v>
      </c>
    </row>
    <row r="11" spans="2:14" x14ac:dyDescent="0.35">
      <c r="B11" t="s">
        <v>130</v>
      </c>
      <c r="C11" s="5">
        <f>'FMCSA Data'!G11</f>
        <v>5</v>
      </c>
    </row>
    <row r="12" spans="2:14" x14ac:dyDescent="0.35">
      <c r="B12" t="s">
        <v>129</v>
      </c>
      <c r="C12" s="5">
        <f>C10*C11</f>
        <v>3658920</v>
      </c>
      <c r="E12" s="28"/>
    </row>
    <row r="13" spans="2:14" x14ac:dyDescent="0.35">
      <c r="B13" t="s">
        <v>138</v>
      </c>
      <c r="C13" s="8">
        <v>7.0000000000000007E-2</v>
      </c>
      <c r="E13" s="28"/>
      <c r="F13" t="s">
        <v>132</v>
      </c>
      <c r="G13" t="s">
        <v>133</v>
      </c>
      <c r="H13" t="s">
        <v>134</v>
      </c>
    </row>
    <row r="14" spans="2:14" x14ac:dyDescent="0.35">
      <c r="B14" t="s">
        <v>137</v>
      </c>
      <c r="C14" s="5">
        <v>8400000</v>
      </c>
      <c r="E14" s="28"/>
    </row>
    <row r="15" spans="2:14" x14ac:dyDescent="0.35">
      <c r="B15" t="s">
        <v>139</v>
      </c>
      <c r="C15" s="24">
        <v>5.0000000000000001E-3</v>
      </c>
      <c r="E15" s="28"/>
    </row>
    <row r="16" spans="2:14" x14ac:dyDescent="0.35">
      <c r="B16" t="s">
        <v>131</v>
      </c>
      <c r="C16" s="42">
        <f>ROUNDDOWN(C12*C13,0)+ROUNDDOWN(C14*C15,0)</f>
        <v>298124</v>
      </c>
      <c r="E16" s="28"/>
      <c r="F16" s="28">
        <f>H16*0.1</f>
        <v>29812.400000000001</v>
      </c>
      <c r="G16" s="41">
        <f>H16*0.5</f>
        <v>149062</v>
      </c>
      <c r="H16" s="28">
        <f>C16</f>
        <v>298124</v>
      </c>
      <c r="J16" s="34"/>
      <c r="K16" s="6"/>
    </row>
    <row r="17" spans="2:12" x14ac:dyDescent="0.35">
      <c r="B17" t="s">
        <v>135</v>
      </c>
      <c r="C17" s="20">
        <v>2.99</v>
      </c>
      <c r="E17" s="28"/>
    </row>
    <row r="18" spans="2:12" x14ac:dyDescent="0.35">
      <c r="E18" s="28"/>
    </row>
    <row r="19" spans="2:12" x14ac:dyDescent="0.35">
      <c r="B19" s="12" t="s">
        <v>1</v>
      </c>
    </row>
    <row r="20" spans="2:12" x14ac:dyDescent="0.35">
      <c r="J20" s="22"/>
      <c r="K20" s="22"/>
      <c r="L20" s="8"/>
    </row>
    <row r="21" spans="2:12" x14ac:dyDescent="0.35">
      <c r="B21" t="s">
        <v>31</v>
      </c>
      <c r="C21" s="7">
        <f>F16</f>
        <v>29812.400000000001</v>
      </c>
      <c r="D21" s="21"/>
      <c r="K21" s="22"/>
      <c r="L21" s="8"/>
    </row>
    <row r="22" spans="2:12" x14ac:dyDescent="0.35">
      <c r="J22" s="22"/>
      <c r="K22" s="21"/>
      <c r="L22" s="24"/>
    </row>
    <row r="23" spans="2:12" x14ac:dyDescent="0.35">
      <c r="B23" s="13" t="s">
        <v>2</v>
      </c>
      <c r="C23" s="3" t="s">
        <v>3</v>
      </c>
      <c r="D23" s="1"/>
    </row>
    <row r="24" spans="2:12" x14ac:dyDescent="0.35">
      <c r="B24" t="s">
        <v>5</v>
      </c>
      <c r="C24" s="4">
        <f>C21*12*0.1*10.99</f>
        <v>393165.93120000005</v>
      </c>
      <c r="D24" s="12" t="s">
        <v>26</v>
      </c>
    </row>
    <row r="25" spans="2:12" x14ac:dyDescent="0.35">
      <c r="B25" t="s">
        <v>6</v>
      </c>
      <c r="C25" s="4">
        <f>C21*0.9*C17*3</f>
        <v>240675.50520000001</v>
      </c>
      <c r="D25" s="8"/>
    </row>
    <row r="26" spans="2:12" x14ac:dyDescent="0.35">
      <c r="B26" t="s">
        <v>7</v>
      </c>
      <c r="C26" s="4">
        <f>C21*0.9*0.3</f>
        <v>8049.3480000000009</v>
      </c>
      <c r="D26" s="8"/>
    </row>
    <row r="27" spans="2:12" x14ac:dyDescent="0.35">
      <c r="B27" t="s">
        <v>8</v>
      </c>
      <c r="C27" s="4">
        <v>100000</v>
      </c>
      <c r="D27" s="8"/>
    </row>
    <row r="28" spans="2:12" x14ac:dyDescent="0.35">
      <c r="B28" t="s">
        <v>9</v>
      </c>
      <c r="C28" s="4">
        <f>SUM(C24:C27)</f>
        <v>741890.7844</v>
      </c>
      <c r="D28" s="9"/>
    </row>
    <row r="29" spans="2:12" x14ac:dyDescent="0.35">
      <c r="B29" s="13" t="s">
        <v>33</v>
      </c>
      <c r="C29" s="4">
        <f>C28-C27</f>
        <v>641890.7844</v>
      </c>
    </row>
    <row r="30" spans="2:12" x14ac:dyDescent="0.35">
      <c r="B30" s="13"/>
      <c r="C30" s="4"/>
    </row>
    <row r="31" spans="2:12" x14ac:dyDescent="0.35">
      <c r="B31" s="13" t="s">
        <v>10</v>
      </c>
      <c r="C31" s="3"/>
    </row>
    <row r="32" spans="2:12" x14ac:dyDescent="0.35">
      <c r="B32" t="s">
        <v>11</v>
      </c>
      <c r="C32" s="4">
        <v>80000</v>
      </c>
      <c r="D32" s="8"/>
      <c r="E32" s="10"/>
    </row>
    <row r="33" spans="2:5" x14ac:dyDescent="0.35">
      <c r="B33" t="s">
        <v>12</v>
      </c>
      <c r="C33" s="4">
        <v>125000</v>
      </c>
      <c r="D33" s="8"/>
      <c r="E33" s="10"/>
    </row>
    <row r="34" spans="2:5" x14ac:dyDescent="0.35">
      <c r="B34" t="s">
        <v>13</v>
      </c>
      <c r="C34" s="4">
        <v>50000</v>
      </c>
      <c r="D34" s="8"/>
      <c r="E34" s="10"/>
    </row>
    <row r="35" spans="2:5" x14ac:dyDescent="0.35">
      <c r="B35" t="s">
        <v>14</v>
      </c>
      <c r="C35" s="4">
        <v>130000</v>
      </c>
      <c r="D35" s="8"/>
      <c r="E35" s="10"/>
    </row>
    <row r="36" spans="2:5" x14ac:dyDescent="0.35">
      <c r="B36" t="s">
        <v>15</v>
      </c>
      <c r="C36" s="4">
        <v>25000</v>
      </c>
      <c r="D36" s="8"/>
      <c r="E36" s="10"/>
    </row>
    <row r="37" spans="2:5" x14ac:dyDescent="0.35">
      <c r="B37" t="s">
        <v>21</v>
      </c>
      <c r="C37" s="4">
        <f>C21*0.035*12</f>
        <v>12521.208000000002</v>
      </c>
      <c r="D37" s="8"/>
      <c r="E37" s="10"/>
    </row>
    <row r="38" spans="2:5" x14ac:dyDescent="0.35">
      <c r="B38" t="s">
        <v>22</v>
      </c>
      <c r="C38" s="4">
        <f>2000*12</f>
        <v>24000</v>
      </c>
      <c r="D38" s="8"/>
      <c r="E38" s="10"/>
    </row>
    <row r="39" spans="2:5" x14ac:dyDescent="0.35">
      <c r="B39" t="s">
        <v>23</v>
      </c>
      <c r="C39" s="4">
        <f>2100*12</f>
        <v>25200</v>
      </c>
      <c r="D39" s="8"/>
      <c r="E39" s="10"/>
    </row>
    <row r="40" spans="2:5" x14ac:dyDescent="0.35">
      <c r="B40" t="s">
        <v>149</v>
      </c>
      <c r="C40" s="4">
        <f>900*12</f>
        <v>10800</v>
      </c>
      <c r="D40" s="8"/>
      <c r="E40" s="10"/>
    </row>
    <row r="41" spans="2:5" x14ac:dyDescent="0.35">
      <c r="B41" t="s">
        <v>19</v>
      </c>
      <c r="C41" s="4">
        <v>20000</v>
      </c>
      <c r="D41" s="8"/>
      <c r="E41" s="10"/>
    </row>
    <row r="42" spans="2:5" x14ac:dyDescent="0.35">
      <c r="B42" t="s">
        <v>34</v>
      </c>
      <c r="C42" s="4">
        <f>Sweepstakes!E11</f>
        <v>51000</v>
      </c>
      <c r="D42" s="8"/>
      <c r="E42" s="10"/>
    </row>
    <row r="43" spans="2:5" x14ac:dyDescent="0.35">
      <c r="B43" t="s">
        <v>136</v>
      </c>
      <c r="C43" s="4">
        <v>45000</v>
      </c>
      <c r="D43" s="8"/>
      <c r="E43" s="10"/>
    </row>
    <row r="44" spans="2:5" x14ac:dyDescent="0.35">
      <c r="B44" t="s">
        <v>20</v>
      </c>
      <c r="C44" s="4">
        <v>10000</v>
      </c>
      <c r="D44" s="8"/>
      <c r="E44" s="10"/>
    </row>
    <row r="45" spans="2:5" x14ac:dyDescent="0.35">
      <c r="B45" t="s">
        <v>16</v>
      </c>
      <c r="C45" s="4">
        <v>20000</v>
      </c>
      <c r="D45" s="8"/>
      <c r="E45" s="10"/>
    </row>
    <row r="46" spans="2:5" x14ac:dyDescent="0.35">
      <c r="B46" t="s">
        <v>17</v>
      </c>
      <c r="C46" s="4">
        <v>15000</v>
      </c>
      <c r="D46" s="8"/>
      <c r="E46" s="10"/>
    </row>
    <row r="47" spans="2:5" x14ac:dyDescent="0.35">
      <c r="B47" t="s">
        <v>47</v>
      </c>
      <c r="C47" s="4">
        <f>SUM(C32:C46)</f>
        <v>643521.20799999998</v>
      </c>
      <c r="D47" s="8"/>
      <c r="E47" s="11"/>
    </row>
    <row r="48" spans="2:5" ht="15" thickBot="1" x14ac:dyDescent="0.4">
      <c r="C48" s="3"/>
    </row>
    <row r="49" spans="2:3" ht="16.5" thickBot="1" x14ac:dyDescent="0.45">
      <c r="B49" s="47" t="s">
        <v>18</v>
      </c>
      <c r="C49" s="48">
        <f>C28-C47</f>
        <v>98369.57640000002</v>
      </c>
    </row>
  </sheetData>
  <mergeCells count="2">
    <mergeCell ref="B2:N2"/>
    <mergeCell ref="B3:N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46E32-A7C9-402F-BF75-DA2B7580035C}">
  <dimension ref="B2:N48"/>
  <sheetViews>
    <sheetView workbookViewId="0">
      <selection activeCell="D23" sqref="D23"/>
    </sheetView>
  </sheetViews>
  <sheetFormatPr defaultRowHeight="14.5" x14ac:dyDescent="0.35"/>
  <cols>
    <col min="2" max="2" width="37.6328125" bestFit="1" customWidth="1"/>
    <col min="3" max="3" width="13" bestFit="1" customWidth="1"/>
    <col min="5" max="5" width="10.1796875" bestFit="1" customWidth="1"/>
    <col min="7" max="8" width="10.1796875" bestFit="1" customWidth="1"/>
    <col min="10" max="10" width="13.81640625" bestFit="1" customWidth="1"/>
    <col min="11" max="11" width="12.1796875" bestFit="1" customWidth="1"/>
  </cols>
  <sheetData>
    <row r="2" spans="2:14" ht="69.5" customHeight="1" x14ac:dyDescent="0.35">
      <c r="B2" s="50" t="s">
        <v>0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</row>
    <row r="3" spans="2:14" x14ac:dyDescent="0.35">
      <c r="B3" s="51" t="s">
        <v>141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</row>
    <row r="4" spans="2:14" x14ac:dyDescent="0.35"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</row>
    <row r="5" spans="2:14" x14ac:dyDescent="0.35"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</row>
    <row r="8" spans="2:14" x14ac:dyDescent="0.35">
      <c r="B8" t="s">
        <v>126</v>
      </c>
      <c r="C8" s="5">
        <f>'FMCSA Data'!B9</f>
        <v>763867</v>
      </c>
      <c r="E8" s="28"/>
    </row>
    <row r="9" spans="2:14" x14ac:dyDescent="0.35">
      <c r="B9" t="s">
        <v>127</v>
      </c>
      <c r="C9" s="23">
        <v>0.95799999999999996</v>
      </c>
      <c r="E9" s="28"/>
    </row>
    <row r="10" spans="2:14" x14ac:dyDescent="0.35">
      <c r="B10" t="s">
        <v>128</v>
      </c>
      <c r="C10" s="5">
        <f>ROUNDDOWN(C8*C9,0)</f>
        <v>731784</v>
      </c>
    </row>
    <row r="11" spans="2:14" x14ac:dyDescent="0.35">
      <c r="B11" t="s">
        <v>130</v>
      </c>
      <c r="C11" s="5">
        <f>'FMCSA Data'!G11</f>
        <v>5</v>
      </c>
    </row>
    <row r="12" spans="2:14" x14ac:dyDescent="0.35">
      <c r="B12" t="s">
        <v>129</v>
      </c>
      <c r="C12" s="5">
        <f>C10*C11</f>
        <v>3658920</v>
      </c>
      <c r="E12" s="28"/>
    </row>
    <row r="13" spans="2:14" x14ac:dyDescent="0.35">
      <c r="B13" t="s">
        <v>138</v>
      </c>
      <c r="C13" s="8">
        <v>7.0000000000000007E-2</v>
      </c>
      <c r="E13" s="28"/>
      <c r="F13" t="s">
        <v>132</v>
      </c>
      <c r="G13" t="s">
        <v>133</v>
      </c>
      <c r="H13" t="s">
        <v>134</v>
      </c>
    </row>
    <row r="14" spans="2:14" x14ac:dyDescent="0.35">
      <c r="B14" t="s">
        <v>137</v>
      </c>
      <c r="C14" s="5">
        <v>8400000</v>
      </c>
      <c r="E14" s="28"/>
    </row>
    <row r="15" spans="2:14" x14ac:dyDescent="0.35">
      <c r="B15" t="s">
        <v>139</v>
      </c>
      <c r="C15" s="24">
        <v>5.0000000000000001E-3</v>
      </c>
      <c r="E15" s="28"/>
    </row>
    <row r="16" spans="2:14" x14ac:dyDescent="0.35">
      <c r="B16" t="s">
        <v>131</v>
      </c>
      <c r="C16" s="42">
        <f>ROUNDDOWN(C12*C13,0)+ROUNDDOWN(C14*C15,0)</f>
        <v>298124</v>
      </c>
      <c r="E16" s="28"/>
      <c r="F16" s="28">
        <f>H16*0.1</f>
        <v>29812.400000000001</v>
      </c>
      <c r="G16" s="41">
        <f>H16*0.5</f>
        <v>149062</v>
      </c>
      <c r="H16" s="28">
        <f>C16</f>
        <v>298124</v>
      </c>
    </row>
    <row r="17" spans="2:12" x14ac:dyDescent="0.35">
      <c r="B17" t="s">
        <v>135</v>
      </c>
      <c r="C17" s="20">
        <v>2.99</v>
      </c>
      <c r="E17" s="28"/>
    </row>
    <row r="18" spans="2:12" x14ac:dyDescent="0.35">
      <c r="E18" s="28"/>
    </row>
    <row r="19" spans="2:12" x14ac:dyDescent="0.35">
      <c r="B19" s="12" t="s">
        <v>1</v>
      </c>
    </row>
    <row r="20" spans="2:12" x14ac:dyDescent="0.35">
      <c r="J20" s="22"/>
      <c r="K20" s="22"/>
      <c r="L20" s="8"/>
    </row>
    <row r="21" spans="2:12" x14ac:dyDescent="0.35">
      <c r="B21" t="s">
        <v>31</v>
      </c>
      <c r="C21" s="7">
        <f>G16</f>
        <v>149062</v>
      </c>
      <c r="D21" s="21"/>
      <c r="K21" s="22"/>
      <c r="L21" s="8"/>
    </row>
    <row r="22" spans="2:12" x14ac:dyDescent="0.35">
      <c r="J22" s="22"/>
      <c r="K22" s="21"/>
      <c r="L22" s="24"/>
    </row>
    <row r="23" spans="2:12" x14ac:dyDescent="0.35">
      <c r="B23" s="13" t="s">
        <v>2</v>
      </c>
      <c r="C23" s="3" t="s">
        <v>3</v>
      </c>
      <c r="D23" s="1"/>
    </row>
    <row r="24" spans="2:12" x14ac:dyDescent="0.35">
      <c r="B24" t="s">
        <v>5</v>
      </c>
      <c r="C24" s="4">
        <f>C21*12*0.14*10.99</f>
        <v>2752161.5184000004</v>
      </c>
      <c r="D24" s="12" t="s">
        <v>142</v>
      </c>
    </row>
    <row r="25" spans="2:12" x14ac:dyDescent="0.35">
      <c r="B25" t="s">
        <v>6</v>
      </c>
      <c r="C25" s="4">
        <f>C21*0.86*C17*3</f>
        <v>1149894.0803999999</v>
      </c>
      <c r="D25" s="8"/>
    </row>
    <row r="26" spans="2:12" x14ac:dyDescent="0.35">
      <c r="B26" t="s">
        <v>7</v>
      </c>
      <c r="C26" s="4">
        <f>C21*0.86*0.3</f>
        <v>38457.995999999999</v>
      </c>
      <c r="D26" s="8"/>
    </row>
    <row r="27" spans="2:12" x14ac:dyDescent="0.35">
      <c r="B27" t="s">
        <v>9</v>
      </c>
      <c r="C27" s="4">
        <f>SUM(C24:C26)</f>
        <v>3940513.5948000001</v>
      </c>
      <c r="D27" s="9"/>
    </row>
    <row r="28" spans="2:12" x14ac:dyDescent="0.35">
      <c r="B28" s="13"/>
      <c r="C28" s="4"/>
    </row>
    <row r="29" spans="2:12" x14ac:dyDescent="0.35">
      <c r="B29" s="13" t="s">
        <v>10</v>
      </c>
      <c r="C29" s="3"/>
    </row>
    <row r="30" spans="2:12" x14ac:dyDescent="0.35">
      <c r="B30" t="s">
        <v>11</v>
      </c>
      <c r="C30" s="4">
        <f>'12-Month P&amp;L'!C32*3</f>
        <v>240000</v>
      </c>
      <c r="D30" s="8"/>
      <c r="E30" s="10"/>
    </row>
    <row r="31" spans="2:12" x14ac:dyDescent="0.35">
      <c r="B31" t="s">
        <v>12</v>
      </c>
      <c r="C31" s="4">
        <f>'12-Month P&amp;L'!C33*4</f>
        <v>500000</v>
      </c>
      <c r="D31" s="8"/>
      <c r="E31" s="10"/>
    </row>
    <row r="32" spans="2:12" x14ac:dyDescent="0.35">
      <c r="B32" t="s">
        <v>13</v>
      </c>
      <c r="C32" s="4">
        <f>'12-Month P&amp;L'!C34*4</f>
        <v>200000</v>
      </c>
      <c r="D32" s="8"/>
      <c r="E32" s="10"/>
    </row>
    <row r="33" spans="2:5" x14ac:dyDescent="0.35">
      <c r="B33" t="s">
        <v>14</v>
      </c>
      <c r="C33" s="4">
        <f>'12-Month P&amp;L'!C35*4</f>
        <v>520000</v>
      </c>
      <c r="D33" s="8"/>
      <c r="E33" s="10"/>
    </row>
    <row r="34" spans="2:5" x14ac:dyDescent="0.35">
      <c r="B34" t="s">
        <v>15</v>
      </c>
      <c r="C34" s="4">
        <f>'12-Month P&amp;L'!C36*4</f>
        <v>100000</v>
      </c>
      <c r="D34" s="8"/>
      <c r="E34" s="10"/>
    </row>
    <row r="35" spans="2:5" x14ac:dyDescent="0.35">
      <c r="B35" t="s">
        <v>21</v>
      </c>
      <c r="C35" s="4">
        <f>'12-Month P&amp;L'!C37*4</f>
        <v>50084.832000000009</v>
      </c>
      <c r="D35" s="8"/>
      <c r="E35" s="10"/>
    </row>
    <row r="36" spans="2:5" x14ac:dyDescent="0.35">
      <c r="B36" t="s">
        <v>22</v>
      </c>
      <c r="C36" s="4">
        <f>'12-Month P&amp;L'!C38*4</f>
        <v>96000</v>
      </c>
      <c r="D36" s="8"/>
      <c r="E36" s="10"/>
    </row>
    <row r="37" spans="2:5" x14ac:dyDescent="0.35">
      <c r="B37" t="s">
        <v>23</v>
      </c>
      <c r="C37" s="4">
        <f>'12-Month P&amp;L'!C39*4</f>
        <v>100800</v>
      </c>
      <c r="D37" s="8"/>
      <c r="E37" s="10"/>
    </row>
    <row r="38" spans="2:5" x14ac:dyDescent="0.35">
      <c r="B38" t="s">
        <v>24</v>
      </c>
      <c r="C38" s="4">
        <f>'12-Month P&amp;L'!C40*4</f>
        <v>43200</v>
      </c>
      <c r="D38" s="8"/>
      <c r="E38" s="10"/>
    </row>
    <row r="39" spans="2:5" x14ac:dyDescent="0.35">
      <c r="B39" t="s">
        <v>19</v>
      </c>
      <c r="C39" s="4">
        <f>'12-Month P&amp;L'!C41*4</f>
        <v>80000</v>
      </c>
      <c r="D39" s="8"/>
      <c r="E39" s="10"/>
    </row>
    <row r="40" spans="2:5" x14ac:dyDescent="0.35">
      <c r="B40" t="s">
        <v>34</v>
      </c>
      <c r="C40" s="4">
        <f>'12-Month P&amp;L'!C42*4</f>
        <v>204000</v>
      </c>
      <c r="D40" s="8"/>
      <c r="E40" s="10"/>
    </row>
    <row r="41" spans="2:5" x14ac:dyDescent="0.35">
      <c r="B41" t="s">
        <v>136</v>
      </c>
      <c r="C41" s="4">
        <f>'12-Month P&amp;L'!C43*4</f>
        <v>180000</v>
      </c>
      <c r="D41" s="8"/>
      <c r="E41" s="10"/>
    </row>
    <row r="42" spans="2:5" x14ac:dyDescent="0.35">
      <c r="B42" t="s">
        <v>20</v>
      </c>
      <c r="C42" s="4">
        <f>'12-Month P&amp;L'!C44*4</f>
        <v>40000</v>
      </c>
      <c r="D42" s="8"/>
      <c r="E42" s="10"/>
    </row>
    <row r="43" spans="2:5" x14ac:dyDescent="0.35">
      <c r="B43" t="s">
        <v>16</v>
      </c>
      <c r="C43" s="4">
        <f>'12-Month P&amp;L'!C45*4</f>
        <v>80000</v>
      </c>
      <c r="D43" s="8"/>
      <c r="E43" s="10"/>
    </row>
    <row r="44" spans="2:5" x14ac:dyDescent="0.35">
      <c r="B44" t="s">
        <v>143</v>
      </c>
      <c r="C44" s="4">
        <v>300000</v>
      </c>
      <c r="D44" s="8"/>
      <c r="E44" s="10"/>
    </row>
    <row r="45" spans="2:5" x14ac:dyDescent="0.35">
      <c r="B45" t="s">
        <v>17</v>
      </c>
      <c r="C45" s="4">
        <f>'12-Month P&amp;L'!C46*4</f>
        <v>60000</v>
      </c>
      <c r="D45" s="8"/>
      <c r="E45" s="10"/>
    </row>
    <row r="46" spans="2:5" x14ac:dyDescent="0.35">
      <c r="B46" t="s">
        <v>47</v>
      </c>
      <c r="C46" s="4">
        <f>SUM(C30:C45)</f>
        <v>2794084.8319999999</v>
      </c>
      <c r="D46" s="8"/>
      <c r="E46" s="11"/>
    </row>
    <row r="47" spans="2:5" x14ac:dyDescent="0.35">
      <c r="C47" s="3"/>
    </row>
    <row r="48" spans="2:5" ht="16" x14ac:dyDescent="0.4">
      <c r="B48" s="18" t="s">
        <v>18</v>
      </c>
      <c r="C48" s="17">
        <f>C27-C46</f>
        <v>1146428.7628000001</v>
      </c>
    </row>
  </sheetData>
  <mergeCells count="2">
    <mergeCell ref="B2:N2"/>
    <mergeCell ref="B3:N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71024-D998-4428-9CD8-41B869D26D07}">
  <dimension ref="B2:N42"/>
  <sheetViews>
    <sheetView topLeftCell="A9" workbookViewId="0">
      <selection activeCell="D17" sqref="D17"/>
    </sheetView>
  </sheetViews>
  <sheetFormatPr defaultRowHeight="14.5" x14ac:dyDescent="0.35"/>
  <cols>
    <col min="2" max="2" width="37.6328125" bestFit="1" customWidth="1"/>
    <col min="3" max="3" width="13" bestFit="1" customWidth="1"/>
    <col min="5" max="5" width="10.1796875" bestFit="1" customWidth="1"/>
    <col min="7" max="8" width="10.1796875" bestFit="1" customWidth="1"/>
    <col min="10" max="10" width="13.81640625" bestFit="1" customWidth="1"/>
    <col min="11" max="11" width="12.1796875" bestFit="1" customWidth="1"/>
  </cols>
  <sheetData>
    <row r="2" spans="2:14" ht="69.5" customHeight="1" x14ac:dyDescent="0.35">
      <c r="B2" s="50" t="s">
        <v>0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</row>
    <row r="3" spans="2:14" x14ac:dyDescent="0.35">
      <c r="B3" s="51" t="s">
        <v>141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</row>
    <row r="4" spans="2:14" x14ac:dyDescent="0.35"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</row>
    <row r="5" spans="2:14" x14ac:dyDescent="0.35"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</row>
    <row r="6" spans="2:14" x14ac:dyDescent="0.35">
      <c r="C6" s="5"/>
      <c r="E6" s="28"/>
    </row>
    <row r="7" spans="2:14" x14ac:dyDescent="0.35">
      <c r="C7" s="8"/>
      <c r="E7" s="28"/>
      <c r="F7" t="s">
        <v>132</v>
      </c>
      <c r="G7" t="s">
        <v>133</v>
      </c>
      <c r="H7" t="s">
        <v>134</v>
      </c>
    </row>
    <row r="8" spans="2:14" x14ac:dyDescent="0.35">
      <c r="C8" s="5"/>
      <c r="E8" s="28"/>
    </row>
    <row r="9" spans="2:14" x14ac:dyDescent="0.35">
      <c r="C9" s="24"/>
      <c r="E9" s="28"/>
    </row>
    <row r="10" spans="2:14" x14ac:dyDescent="0.35">
      <c r="B10" t="s">
        <v>131</v>
      </c>
      <c r="C10" s="42">
        <v>298124</v>
      </c>
      <c r="E10" s="28"/>
      <c r="F10" s="28">
        <f>H10*0.1</f>
        <v>29812.400000000001</v>
      </c>
      <c r="G10" s="41">
        <f>H10*0.5</f>
        <v>149062</v>
      </c>
      <c r="H10" s="28">
        <f>C10</f>
        <v>298124</v>
      </c>
    </row>
    <row r="11" spans="2:14" x14ac:dyDescent="0.35">
      <c r="B11" t="s">
        <v>135</v>
      </c>
      <c r="C11" s="20">
        <v>2.99</v>
      </c>
      <c r="E11" s="28"/>
    </row>
    <row r="12" spans="2:14" x14ac:dyDescent="0.35">
      <c r="E12" s="28"/>
    </row>
    <row r="13" spans="2:14" x14ac:dyDescent="0.35">
      <c r="B13" s="12" t="s">
        <v>1</v>
      </c>
    </row>
    <row r="14" spans="2:14" x14ac:dyDescent="0.35">
      <c r="J14" s="22"/>
      <c r="K14" s="22"/>
      <c r="L14" s="8"/>
    </row>
    <row r="15" spans="2:14" x14ac:dyDescent="0.35">
      <c r="B15" t="s">
        <v>31</v>
      </c>
      <c r="C15" s="7">
        <f>H10</f>
        <v>298124</v>
      </c>
      <c r="D15" s="21"/>
      <c r="K15" s="22"/>
      <c r="L15" s="8"/>
    </row>
    <row r="16" spans="2:14" x14ac:dyDescent="0.35">
      <c r="J16" s="22"/>
      <c r="K16" s="21"/>
      <c r="L16" s="24"/>
    </row>
    <row r="17" spans="2:5" x14ac:dyDescent="0.35">
      <c r="B17" s="13" t="s">
        <v>2</v>
      </c>
      <c r="C17" s="3" t="s">
        <v>3</v>
      </c>
      <c r="D17" s="1"/>
    </row>
    <row r="18" spans="2:5" x14ac:dyDescent="0.35">
      <c r="B18" t="s">
        <v>5</v>
      </c>
      <c r="C18" s="4">
        <f>C15*12*0.16*10.99</f>
        <v>6290654.8991999999</v>
      </c>
      <c r="D18" s="12" t="s">
        <v>144</v>
      </c>
    </row>
    <row r="19" spans="2:5" x14ac:dyDescent="0.35">
      <c r="B19" t="s">
        <v>6</v>
      </c>
      <c r="C19" s="4">
        <f>C15*0.84*C11*3</f>
        <v>2246304.7152</v>
      </c>
      <c r="D19" s="8"/>
    </row>
    <row r="20" spans="2:5" x14ac:dyDescent="0.35">
      <c r="B20" t="s">
        <v>7</v>
      </c>
      <c r="C20" s="4">
        <f>C15*0.84*0.3</f>
        <v>75127.247999999992</v>
      </c>
      <c r="D20" s="8"/>
    </row>
    <row r="21" spans="2:5" x14ac:dyDescent="0.35">
      <c r="B21" t="s">
        <v>9</v>
      </c>
      <c r="C21" s="4">
        <f>SUM(C18:C20)</f>
        <v>8612086.8623999991</v>
      </c>
      <c r="D21" s="9"/>
    </row>
    <row r="22" spans="2:5" x14ac:dyDescent="0.35">
      <c r="B22" s="13"/>
      <c r="C22" s="4"/>
    </row>
    <row r="23" spans="2:5" x14ac:dyDescent="0.35">
      <c r="B23" s="13" t="s">
        <v>10</v>
      </c>
      <c r="C23" s="3"/>
    </row>
    <row r="24" spans="2:5" x14ac:dyDescent="0.35">
      <c r="B24" t="s">
        <v>11</v>
      </c>
      <c r="C24" s="4">
        <f>'Year 2 P&amp;L'!C30*2</f>
        <v>480000</v>
      </c>
      <c r="D24" s="8"/>
      <c r="E24" s="10"/>
    </row>
    <row r="25" spans="2:5" x14ac:dyDescent="0.35">
      <c r="B25" t="s">
        <v>12</v>
      </c>
      <c r="C25" s="4">
        <f>'Year 2 P&amp;L'!C31*2</f>
        <v>1000000</v>
      </c>
      <c r="D25" s="8"/>
      <c r="E25" s="10"/>
    </row>
    <row r="26" spans="2:5" x14ac:dyDescent="0.35">
      <c r="B26" t="s">
        <v>13</v>
      </c>
      <c r="C26" s="4">
        <f>'Year 2 P&amp;L'!C32*2</f>
        <v>400000</v>
      </c>
      <c r="D26" s="8"/>
      <c r="E26" s="10"/>
    </row>
    <row r="27" spans="2:5" x14ac:dyDescent="0.35">
      <c r="B27" t="s">
        <v>14</v>
      </c>
      <c r="C27" s="4">
        <f>'Year 2 P&amp;L'!C33*2</f>
        <v>1040000</v>
      </c>
      <c r="D27" s="8"/>
      <c r="E27" s="10"/>
    </row>
    <row r="28" spans="2:5" x14ac:dyDescent="0.35">
      <c r="B28" t="s">
        <v>15</v>
      </c>
      <c r="C28" s="4">
        <f>'Year 2 P&amp;L'!C34*2</f>
        <v>200000</v>
      </c>
      <c r="D28" s="8"/>
      <c r="E28" s="10"/>
    </row>
    <row r="29" spans="2:5" x14ac:dyDescent="0.35">
      <c r="B29" t="s">
        <v>21</v>
      </c>
      <c r="C29" s="4">
        <f>'Year 2 P&amp;L'!C35*2</f>
        <v>100169.66400000002</v>
      </c>
      <c r="D29" s="8"/>
      <c r="E29" s="10"/>
    </row>
    <row r="30" spans="2:5" x14ac:dyDescent="0.35">
      <c r="B30" t="s">
        <v>22</v>
      </c>
      <c r="C30" s="4">
        <f>'Year 2 P&amp;L'!C36*2</f>
        <v>192000</v>
      </c>
      <c r="D30" s="8"/>
      <c r="E30" s="10"/>
    </row>
    <row r="31" spans="2:5" x14ac:dyDescent="0.35">
      <c r="B31" t="s">
        <v>23</v>
      </c>
      <c r="C31" s="4">
        <f>'Year 2 P&amp;L'!C37*2</f>
        <v>201600</v>
      </c>
      <c r="D31" s="8"/>
      <c r="E31" s="10"/>
    </row>
    <row r="32" spans="2:5" x14ac:dyDescent="0.35">
      <c r="B32" t="s">
        <v>24</v>
      </c>
      <c r="C32" s="4">
        <f>'Year 2 P&amp;L'!C38*5</f>
        <v>216000</v>
      </c>
      <c r="D32" s="8"/>
      <c r="E32" s="10"/>
    </row>
    <row r="33" spans="2:5" x14ac:dyDescent="0.35">
      <c r="B33" t="s">
        <v>19</v>
      </c>
      <c r="C33" s="4">
        <f>'Year 2 P&amp;L'!C39*3</f>
        <v>240000</v>
      </c>
      <c r="D33" s="8"/>
      <c r="E33" s="10"/>
    </row>
    <row r="34" spans="2:5" x14ac:dyDescent="0.35">
      <c r="B34" t="s">
        <v>34</v>
      </c>
      <c r="C34" s="4">
        <f>'Year 2 P&amp;L'!C40*2</f>
        <v>408000</v>
      </c>
      <c r="D34" s="8"/>
      <c r="E34" s="10"/>
    </row>
    <row r="35" spans="2:5" x14ac:dyDescent="0.35">
      <c r="B35" t="s">
        <v>136</v>
      </c>
      <c r="C35" s="4">
        <f>'Year 2 P&amp;L'!C41*4</f>
        <v>720000</v>
      </c>
      <c r="D35" s="8"/>
      <c r="E35" s="10"/>
    </row>
    <row r="36" spans="2:5" x14ac:dyDescent="0.35">
      <c r="B36" t="s">
        <v>20</v>
      </c>
      <c r="C36" s="4">
        <f>'Year 2 P&amp;L'!C42*5</f>
        <v>200000</v>
      </c>
      <c r="D36" s="8"/>
      <c r="E36" s="10"/>
    </row>
    <row r="37" spans="2:5" x14ac:dyDescent="0.35">
      <c r="B37" t="s">
        <v>16</v>
      </c>
      <c r="C37" s="4">
        <f>'Year 2 P&amp;L'!C43*6</f>
        <v>480000</v>
      </c>
      <c r="D37" s="8"/>
      <c r="E37" s="10"/>
    </row>
    <row r="38" spans="2:5" x14ac:dyDescent="0.35">
      <c r="B38" t="s">
        <v>143</v>
      </c>
      <c r="C38" s="4">
        <v>300000</v>
      </c>
      <c r="D38" s="8"/>
      <c r="E38" s="10"/>
    </row>
    <row r="39" spans="2:5" x14ac:dyDescent="0.35">
      <c r="B39" t="s">
        <v>17</v>
      </c>
      <c r="C39" s="4">
        <v>500000</v>
      </c>
      <c r="D39" s="8"/>
      <c r="E39" s="10"/>
    </row>
    <row r="40" spans="2:5" x14ac:dyDescent="0.35">
      <c r="B40" t="s">
        <v>47</v>
      </c>
      <c r="C40" s="4">
        <f>SUM(C24:C39)</f>
        <v>6677769.6639999999</v>
      </c>
      <c r="D40" s="8"/>
      <c r="E40" s="11"/>
    </row>
    <row r="41" spans="2:5" x14ac:dyDescent="0.35">
      <c r="C41" s="3"/>
    </row>
    <row r="42" spans="2:5" ht="16" x14ac:dyDescent="0.4">
      <c r="B42" s="18" t="s">
        <v>18</v>
      </c>
      <c r="C42" s="17">
        <f>C21-C40</f>
        <v>1934317.1983999992</v>
      </c>
    </row>
  </sheetData>
  <mergeCells count="2">
    <mergeCell ref="B2:N2"/>
    <mergeCell ref="B3:N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FAF08-934C-4A04-BD88-055F0A670D77}">
  <dimension ref="A2:F11"/>
  <sheetViews>
    <sheetView workbookViewId="0">
      <selection activeCell="E18" sqref="E18"/>
    </sheetView>
  </sheetViews>
  <sheetFormatPr defaultRowHeight="14.5" x14ac:dyDescent="0.35"/>
  <cols>
    <col min="1" max="1" width="10.6328125" bestFit="1" customWidth="1"/>
    <col min="3" max="3" width="5.81640625" bestFit="1" customWidth="1"/>
    <col min="4" max="4" width="8" bestFit="1" customWidth="1"/>
    <col min="5" max="5" width="11.1796875" bestFit="1" customWidth="1"/>
    <col min="6" max="6" width="13.08984375" bestFit="1" customWidth="1"/>
  </cols>
  <sheetData>
    <row r="2" spans="1:6" x14ac:dyDescent="0.35">
      <c r="A2" t="s">
        <v>35</v>
      </c>
      <c r="B2" t="s">
        <v>42</v>
      </c>
      <c r="C2" t="s">
        <v>28</v>
      </c>
      <c r="D2" t="s">
        <v>46</v>
      </c>
      <c r="E2" t="s">
        <v>44</v>
      </c>
      <c r="F2" t="s">
        <v>45</v>
      </c>
    </row>
    <row r="3" spans="1:6" x14ac:dyDescent="0.35">
      <c r="A3" t="s">
        <v>36</v>
      </c>
      <c r="B3">
        <v>1</v>
      </c>
      <c r="C3">
        <f>B3*12</f>
        <v>12</v>
      </c>
      <c r="D3">
        <f>C3*2</f>
        <v>24</v>
      </c>
      <c r="E3" s="15">
        <f>C3*500</f>
        <v>6000</v>
      </c>
      <c r="F3">
        <f>D3*500</f>
        <v>12000</v>
      </c>
    </row>
    <row r="4" spans="1:6" x14ac:dyDescent="0.35">
      <c r="A4" t="s">
        <v>37</v>
      </c>
      <c r="B4">
        <v>1</v>
      </c>
      <c r="C4">
        <f t="shared" ref="C4:C9" si="0">B4*12</f>
        <v>12</v>
      </c>
      <c r="D4">
        <f t="shared" ref="D4:D9" si="1">C4*2</f>
        <v>24</v>
      </c>
      <c r="E4" s="15">
        <f t="shared" ref="E4:E8" si="2">C4*500</f>
        <v>6000</v>
      </c>
      <c r="F4">
        <f t="shared" ref="F4:F8" si="3">D4*500</f>
        <v>12000</v>
      </c>
    </row>
    <row r="5" spans="1:6" x14ac:dyDescent="0.35">
      <c r="A5" t="s">
        <v>38</v>
      </c>
      <c r="B5">
        <v>1</v>
      </c>
      <c r="C5">
        <f t="shared" si="0"/>
        <v>12</v>
      </c>
      <c r="D5">
        <f t="shared" si="1"/>
        <v>24</v>
      </c>
      <c r="E5" s="15">
        <f t="shared" si="2"/>
        <v>6000</v>
      </c>
      <c r="F5">
        <f t="shared" si="3"/>
        <v>12000</v>
      </c>
    </row>
    <row r="6" spans="1:6" x14ac:dyDescent="0.35">
      <c r="A6" t="s">
        <v>39</v>
      </c>
      <c r="B6">
        <v>1</v>
      </c>
      <c r="C6">
        <f t="shared" si="0"/>
        <v>12</v>
      </c>
      <c r="D6">
        <f t="shared" si="1"/>
        <v>24</v>
      </c>
      <c r="E6" s="15">
        <f t="shared" si="2"/>
        <v>6000</v>
      </c>
      <c r="F6">
        <f t="shared" si="3"/>
        <v>12000</v>
      </c>
    </row>
    <row r="7" spans="1:6" x14ac:dyDescent="0.35">
      <c r="A7" t="s">
        <v>40</v>
      </c>
      <c r="B7">
        <v>1</v>
      </c>
      <c r="C7">
        <f t="shared" si="0"/>
        <v>12</v>
      </c>
      <c r="D7">
        <f t="shared" si="1"/>
        <v>24</v>
      </c>
      <c r="E7" s="15">
        <f t="shared" si="2"/>
        <v>6000</v>
      </c>
      <c r="F7">
        <f t="shared" si="3"/>
        <v>12000</v>
      </c>
    </row>
    <row r="8" spans="1:6" x14ac:dyDescent="0.35">
      <c r="A8" t="s">
        <v>41</v>
      </c>
      <c r="B8">
        <v>1</v>
      </c>
      <c r="C8">
        <f t="shared" si="0"/>
        <v>12</v>
      </c>
      <c r="D8">
        <f t="shared" si="1"/>
        <v>24</v>
      </c>
      <c r="E8" s="15">
        <f t="shared" si="2"/>
        <v>6000</v>
      </c>
      <c r="F8">
        <f t="shared" si="3"/>
        <v>12000</v>
      </c>
    </row>
    <row r="9" spans="1:6" x14ac:dyDescent="0.35">
      <c r="A9" t="s">
        <v>140</v>
      </c>
      <c r="B9">
        <v>5</v>
      </c>
      <c r="C9">
        <f t="shared" si="0"/>
        <v>60</v>
      </c>
      <c r="D9">
        <f t="shared" si="1"/>
        <v>120</v>
      </c>
      <c r="E9" s="15">
        <f>C9*250</f>
        <v>15000</v>
      </c>
      <c r="F9">
        <f>D9*250</f>
        <v>30000</v>
      </c>
    </row>
    <row r="10" spans="1:6" x14ac:dyDescent="0.35">
      <c r="E10" s="15"/>
    </row>
    <row r="11" spans="1:6" x14ac:dyDescent="0.35">
      <c r="A11" t="s">
        <v>43</v>
      </c>
      <c r="B11">
        <f>SUM(B3:B9)</f>
        <v>11</v>
      </c>
      <c r="C11">
        <f>SUM(C3:C9)</f>
        <v>132</v>
      </c>
      <c r="D11">
        <f>SUM(D3:D9)</f>
        <v>264</v>
      </c>
      <c r="E11" s="16">
        <f>SUM(E3:E9)</f>
        <v>51000</v>
      </c>
      <c r="F11" s="16">
        <f>SUM(F3:F9)</f>
        <v>102000</v>
      </c>
    </row>
  </sheetData>
  <phoneticPr fontId="5" type="noConversion"/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B56CA-3B3D-4CB7-8C1E-5CA928D80562}">
  <dimension ref="A1:G56"/>
  <sheetViews>
    <sheetView topLeftCell="A10" zoomScale="80" zoomScaleNormal="80" workbookViewId="0">
      <selection activeCell="G19" sqref="G19:G40"/>
    </sheetView>
  </sheetViews>
  <sheetFormatPr defaultRowHeight="14.5" x14ac:dyDescent="0.35"/>
  <cols>
    <col min="1" max="1" width="18.26953125" bestFit="1" customWidth="1"/>
    <col min="2" max="2" width="30.6328125" customWidth="1"/>
    <col min="3" max="3" width="40.6328125" customWidth="1"/>
    <col min="4" max="4" width="20" bestFit="1" customWidth="1"/>
    <col min="5" max="5" width="24.26953125" bestFit="1" customWidth="1"/>
    <col min="6" max="6" width="20.90625" customWidth="1"/>
    <col min="7" max="7" width="24.90625" customWidth="1"/>
  </cols>
  <sheetData>
    <row r="1" spans="1:7" x14ac:dyDescent="0.35">
      <c r="A1" s="56"/>
      <c r="B1" s="56"/>
      <c r="C1" s="56"/>
    </row>
    <row r="2" spans="1:7" ht="18.5" x14ac:dyDescent="0.45">
      <c r="B2" s="57" t="s">
        <v>117</v>
      </c>
      <c r="C2" s="57"/>
      <c r="E2" s="58" t="s">
        <v>121</v>
      </c>
      <c r="F2" s="58"/>
      <c r="G2" s="58"/>
    </row>
    <row r="3" spans="1:7" x14ac:dyDescent="0.35">
      <c r="B3" s="1"/>
      <c r="C3" s="1"/>
      <c r="E3" s="1"/>
      <c r="F3" s="1"/>
      <c r="G3" s="1"/>
    </row>
    <row r="4" spans="1:7" x14ac:dyDescent="0.35">
      <c r="A4" s="36" t="s">
        <v>27</v>
      </c>
      <c r="B4" s="36" t="s">
        <v>115</v>
      </c>
      <c r="C4" s="36" t="s">
        <v>116</v>
      </c>
      <c r="D4" s="36" t="s">
        <v>123</v>
      </c>
      <c r="E4" s="36" t="s">
        <v>27</v>
      </c>
      <c r="F4" s="36" t="s">
        <v>118</v>
      </c>
      <c r="G4" s="36" t="s">
        <v>119</v>
      </c>
    </row>
    <row r="5" spans="1:7" x14ac:dyDescent="0.35">
      <c r="A5" s="35" t="s">
        <v>104</v>
      </c>
      <c r="B5" s="5">
        <v>541231</v>
      </c>
      <c r="E5" s="35" t="s">
        <v>104</v>
      </c>
      <c r="F5" s="5">
        <v>3200000</v>
      </c>
      <c r="G5">
        <f t="shared" ref="G5:G7" si="0">ROUNDDOWN(F5/B5,0)</f>
        <v>5</v>
      </c>
    </row>
    <row r="6" spans="1:7" x14ac:dyDescent="0.35">
      <c r="A6" s="35" t="s">
        <v>105</v>
      </c>
      <c r="B6" s="5">
        <v>555567</v>
      </c>
      <c r="C6" s="8">
        <f>(B6-B5)/B5</f>
        <v>2.648776585228858E-2</v>
      </c>
      <c r="D6" s="5">
        <v>30</v>
      </c>
      <c r="E6" s="35" t="s">
        <v>105</v>
      </c>
      <c r="F6" s="5">
        <v>3400000</v>
      </c>
      <c r="G6">
        <f t="shared" si="0"/>
        <v>6</v>
      </c>
    </row>
    <row r="7" spans="1:7" x14ac:dyDescent="0.35">
      <c r="A7" s="35" t="s">
        <v>106</v>
      </c>
      <c r="B7" s="5">
        <v>590249</v>
      </c>
      <c r="C7" s="8">
        <f t="shared" ref="C7:C9" si="1">(B7-B6)/B6</f>
        <v>6.242631401793123E-2</v>
      </c>
      <c r="D7" s="5">
        <v>30</v>
      </c>
      <c r="E7" s="35" t="s">
        <v>106</v>
      </c>
      <c r="F7" s="5">
        <v>3000000</v>
      </c>
      <c r="G7">
        <f t="shared" si="0"/>
        <v>5</v>
      </c>
    </row>
    <row r="8" spans="1:7" x14ac:dyDescent="0.35">
      <c r="A8" s="35" t="s">
        <v>107</v>
      </c>
      <c r="B8" s="5">
        <v>708941</v>
      </c>
      <c r="C8" s="8">
        <f t="shared" si="1"/>
        <v>0.20108801539689183</v>
      </c>
      <c r="D8" s="5">
        <v>10</v>
      </c>
      <c r="E8" s="35" t="s">
        <v>107</v>
      </c>
      <c r="F8" s="3" t="s">
        <v>122</v>
      </c>
      <c r="G8" s="3" t="s">
        <v>122</v>
      </c>
    </row>
    <row r="9" spans="1:7" x14ac:dyDescent="0.35">
      <c r="A9" s="35" t="s">
        <v>108</v>
      </c>
      <c r="B9" s="39">
        <v>763867</v>
      </c>
      <c r="C9" s="8">
        <f t="shared" si="1"/>
        <v>7.7476122836738173E-2</v>
      </c>
      <c r="D9">
        <v>30</v>
      </c>
      <c r="E9" s="35" t="s">
        <v>108</v>
      </c>
      <c r="F9" s="37">
        <v>3700000</v>
      </c>
      <c r="G9">
        <f>ROUNDDOWN(F9/B9,0)</f>
        <v>4</v>
      </c>
    </row>
    <row r="10" spans="1:7" x14ac:dyDescent="0.35">
      <c r="B10" s="5"/>
      <c r="D10" s="28">
        <f>SUM(D6:D9)</f>
        <v>100</v>
      </c>
    </row>
    <row r="11" spans="1:7" x14ac:dyDescent="0.35">
      <c r="B11" s="3" t="s">
        <v>120</v>
      </c>
      <c r="C11" s="9">
        <f>AVERAGE(C6:C9)</f>
        <v>9.1869554525962446E-2</v>
      </c>
      <c r="D11" s="32">
        <f>SUMPRODUCT(D6:D9,C6:C9)/100</f>
        <v>7.0025862351776574E-2</v>
      </c>
      <c r="F11" s="38" t="s">
        <v>120</v>
      </c>
      <c r="G11">
        <f>ROUNDDOWN(AVERAGE(G5,G6,G7,G9),0)</f>
        <v>5</v>
      </c>
    </row>
    <row r="12" spans="1:7" x14ac:dyDescent="0.35">
      <c r="B12" s="3"/>
      <c r="C12" s="9"/>
      <c r="D12" s="33"/>
      <c r="F12" s="38"/>
    </row>
    <row r="13" spans="1:7" x14ac:dyDescent="0.35">
      <c r="B13" s="59" t="s">
        <v>124</v>
      </c>
      <c r="C13" s="59"/>
      <c r="D13" s="59"/>
      <c r="E13" s="52" t="s">
        <v>125</v>
      </c>
      <c r="F13" s="52"/>
      <c r="G13" s="52"/>
    </row>
    <row r="14" spans="1:7" x14ac:dyDescent="0.35">
      <c r="E14" s="52"/>
      <c r="F14" s="52"/>
      <c r="G14" s="52"/>
    </row>
    <row r="15" spans="1:7" x14ac:dyDescent="0.35">
      <c r="E15" s="40"/>
      <c r="F15" s="40"/>
      <c r="G15" s="40"/>
    </row>
    <row r="16" spans="1:7" ht="26" x14ac:dyDescent="0.6">
      <c r="B16" s="53" t="s">
        <v>147</v>
      </c>
      <c r="C16" s="53"/>
      <c r="D16" s="53"/>
    </row>
    <row r="17" spans="1:7" ht="15" thickBot="1" x14ac:dyDescent="0.4"/>
    <row r="18" spans="1:7" ht="15" thickBot="1" x14ac:dyDescent="0.4">
      <c r="A18" s="25" t="s">
        <v>48</v>
      </c>
      <c r="B18" s="25" t="s">
        <v>2</v>
      </c>
      <c r="C18" s="44" t="s">
        <v>62</v>
      </c>
      <c r="D18" s="46" t="s">
        <v>146</v>
      </c>
      <c r="E18" s="45" t="s">
        <v>49</v>
      </c>
      <c r="F18" s="25" t="s">
        <v>100</v>
      </c>
      <c r="G18" s="25" t="s">
        <v>25</v>
      </c>
    </row>
    <row r="19" spans="1:7" ht="29" x14ac:dyDescent="0.35">
      <c r="A19" t="s">
        <v>63</v>
      </c>
      <c r="B19" s="30" t="s">
        <v>64</v>
      </c>
      <c r="C19" t="s">
        <v>65</v>
      </c>
      <c r="D19">
        <v>5</v>
      </c>
      <c r="E19" s="5">
        <v>65675</v>
      </c>
    </row>
    <row r="20" spans="1:7" x14ac:dyDescent="0.35">
      <c r="A20" s="26" t="s">
        <v>50</v>
      </c>
      <c r="B20" s="29" t="s">
        <v>66</v>
      </c>
      <c r="C20" s="29" t="s">
        <v>67</v>
      </c>
      <c r="D20">
        <v>4</v>
      </c>
      <c r="E20" s="27">
        <v>63561</v>
      </c>
      <c r="F20" s="28">
        <f>E20</f>
        <v>63561</v>
      </c>
      <c r="G20" s="24">
        <f t="shared" ref="G20:G38" si="2">F20/$E$40</f>
        <v>8.6744038147124086E-2</v>
      </c>
    </row>
    <row r="21" spans="1:7" x14ac:dyDescent="0.35">
      <c r="A21" s="26" t="s">
        <v>68</v>
      </c>
      <c r="B21" s="29" t="s">
        <v>51</v>
      </c>
      <c r="C21" s="29" t="s">
        <v>69</v>
      </c>
      <c r="D21">
        <v>7</v>
      </c>
      <c r="E21" s="27">
        <v>60856</v>
      </c>
      <c r="F21" s="28">
        <f t="shared" ref="F21:F22" si="3">E21</f>
        <v>60856</v>
      </c>
      <c r="G21" s="24">
        <f t="shared" si="2"/>
        <v>8.3052425000887081E-2</v>
      </c>
    </row>
    <row r="22" spans="1:7" x14ac:dyDescent="0.35">
      <c r="A22" s="26" t="s">
        <v>70</v>
      </c>
      <c r="B22" s="29" t="s">
        <v>52</v>
      </c>
      <c r="C22" s="29" t="s">
        <v>71</v>
      </c>
      <c r="D22">
        <v>7</v>
      </c>
      <c r="E22" s="27">
        <v>53638</v>
      </c>
      <c r="F22" s="28">
        <f t="shared" si="3"/>
        <v>53638</v>
      </c>
      <c r="G22" s="24">
        <f t="shared" si="2"/>
        <v>7.3201754505678673E-2</v>
      </c>
    </row>
    <row r="23" spans="1:7" x14ac:dyDescent="0.35">
      <c r="A23" t="s">
        <v>72</v>
      </c>
      <c r="B23" s="30" t="s">
        <v>73</v>
      </c>
      <c r="C23" s="30" t="s">
        <v>74</v>
      </c>
      <c r="D23">
        <v>8</v>
      </c>
      <c r="E23" s="5">
        <v>51401</v>
      </c>
      <c r="G23" s="24">
        <f t="shared" si="2"/>
        <v>0</v>
      </c>
    </row>
    <row r="24" spans="1:7" x14ac:dyDescent="0.35">
      <c r="A24" t="s">
        <v>75</v>
      </c>
      <c r="B24" s="30" t="s">
        <v>73</v>
      </c>
      <c r="C24" s="30" t="s">
        <v>76</v>
      </c>
      <c r="D24">
        <v>3</v>
      </c>
      <c r="E24" s="5">
        <v>41531</v>
      </c>
      <c r="G24" s="24">
        <f t="shared" si="2"/>
        <v>0</v>
      </c>
    </row>
    <row r="25" spans="1:7" ht="43.5" x14ac:dyDescent="0.35">
      <c r="A25" s="26" t="s">
        <v>53</v>
      </c>
      <c r="B25" s="29" t="s">
        <v>54</v>
      </c>
      <c r="C25" s="29" t="s">
        <v>77</v>
      </c>
      <c r="D25">
        <v>1</v>
      </c>
      <c r="E25" s="27">
        <v>40375</v>
      </c>
      <c r="F25" s="28">
        <f>E25</f>
        <v>40375</v>
      </c>
      <c r="G25" s="24">
        <f t="shared" si="2"/>
        <v>5.5101249825996054E-2</v>
      </c>
    </row>
    <row r="26" spans="1:7" ht="29" x14ac:dyDescent="0.35">
      <c r="A26" t="s">
        <v>78</v>
      </c>
      <c r="B26" s="30" t="s">
        <v>79</v>
      </c>
      <c r="C26" s="30" t="s">
        <v>80</v>
      </c>
      <c r="D26">
        <v>5</v>
      </c>
      <c r="E26" s="5">
        <v>40061</v>
      </c>
      <c r="G26" s="24">
        <f t="shared" si="2"/>
        <v>0</v>
      </c>
    </row>
    <row r="27" spans="1:7" x14ac:dyDescent="0.35">
      <c r="A27" t="s">
        <v>81</v>
      </c>
      <c r="B27" s="30" t="s">
        <v>73</v>
      </c>
      <c r="C27" s="30" t="s">
        <v>82</v>
      </c>
      <c r="D27">
        <v>1</v>
      </c>
      <c r="E27" s="5">
        <v>39607</v>
      </c>
      <c r="G27" s="24">
        <f t="shared" si="2"/>
        <v>0</v>
      </c>
    </row>
    <row r="28" spans="1:7" ht="29" x14ac:dyDescent="0.35">
      <c r="A28" t="s">
        <v>83</v>
      </c>
      <c r="B28" s="30" t="s">
        <v>84</v>
      </c>
      <c r="C28" s="30" t="s">
        <v>85</v>
      </c>
      <c r="D28">
        <v>1</v>
      </c>
      <c r="E28" s="5">
        <v>39263</v>
      </c>
      <c r="G28" s="24">
        <f t="shared" si="2"/>
        <v>0</v>
      </c>
    </row>
    <row r="29" spans="1:7" x14ac:dyDescent="0.35">
      <c r="A29" s="26" t="s">
        <v>55</v>
      </c>
      <c r="B29" s="29" t="s">
        <v>54</v>
      </c>
      <c r="C29" s="29" t="s">
        <v>86</v>
      </c>
      <c r="D29">
        <v>1</v>
      </c>
      <c r="E29" s="27">
        <v>31293</v>
      </c>
      <c r="F29" s="28">
        <f t="shared" ref="F29:F32" si="4">E29</f>
        <v>31293</v>
      </c>
      <c r="G29" s="24">
        <f t="shared" si="2"/>
        <v>4.2706709865136708E-2</v>
      </c>
    </row>
    <row r="30" spans="1:7" ht="29" x14ac:dyDescent="0.35">
      <c r="A30" s="26" t="s">
        <v>56</v>
      </c>
      <c r="B30" s="29" t="s">
        <v>66</v>
      </c>
      <c r="C30" s="29" t="s">
        <v>87</v>
      </c>
      <c r="D30">
        <v>7</v>
      </c>
      <c r="E30" s="27">
        <v>30826</v>
      </c>
      <c r="F30" s="28">
        <f t="shared" si="4"/>
        <v>30826</v>
      </c>
      <c r="G30" s="24">
        <f t="shared" si="2"/>
        <v>4.2069377761886177E-2</v>
      </c>
    </row>
    <row r="31" spans="1:7" x14ac:dyDescent="0.35">
      <c r="A31" s="26" t="s">
        <v>58</v>
      </c>
      <c r="B31" s="29" t="s">
        <v>66</v>
      </c>
      <c r="C31" s="29" t="s">
        <v>88</v>
      </c>
      <c r="D31">
        <v>1</v>
      </c>
      <c r="E31" s="27">
        <v>23521</v>
      </c>
      <c r="F31" s="28">
        <f t="shared" si="4"/>
        <v>23521</v>
      </c>
      <c r="G31" s="24">
        <f t="shared" si="2"/>
        <v>3.209997516178955E-2</v>
      </c>
    </row>
    <row r="32" spans="1:7" x14ac:dyDescent="0.35">
      <c r="A32" s="26" t="s">
        <v>59</v>
      </c>
      <c r="B32" s="29" t="s">
        <v>89</v>
      </c>
      <c r="C32" s="29" t="s">
        <v>90</v>
      </c>
      <c r="D32">
        <v>3</v>
      </c>
      <c r="E32" s="27">
        <v>23050</v>
      </c>
      <c r="F32" s="28">
        <f t="shared" si="4"/>
        <v>23050</v>
      </c>
      <c r="G32" s="24">
        <f t="shared" si="2"/>
        <v>3.1457184111187843E-2</v>
      </c>
    </row>
    <row r="33" spans="1:7" ht="29" x14ac:dyDescent="0.35">
      <c r="A33" t="s">
        <v>91</v>
      </c>
      <c r="B33" s="30" t="s">
        <v>79</v>
      </c>
      <c r="C33" s="30" t="s">
        <v>92</v>
      </c>
      <c r="D33">
        <v>5</v>
      </c>
      <c r="E33" s="5">
        <v>22374</v>
      </c>
      <c r="G33" s="24">
        <f t="shared" si="2"/>
        <v>0</v>
      </c>
    </row>
    <row r="34" spans="1:7" ht="29" x14ac:dyDescent="0.35">
      <c r="A34" t="s">
        <v>93</v>
      </c>
      <c r="B34" s="30" t="s">
        <v>84</v>
      </c>
      <c r="C34" s="30" t="s">
        <v>94</v>
      </c>
      <c r="D34">
        <v>1</v>
      </c>
      <c r="E34" s="5">
        <v>22233</v>
      </c>
      <c r="G34" s="24">
        <f t="shared" si="2"/>
        <v>0</v>
      </c>
    </row>
    <row r="35" spans="1:7" ht="29" x14ac:dyDescent="0.35">
      <c r="A35" s="26" t="s">
        <v>60</v>
      </c>
      <c r="B35" s="29" t="s">
        <v>89</v>
      </c>
      <c r="C35" s="29" t="s">
        <v>95</v>
      </c>
      <c r="D35">
        <v>1</v>
      </c>
      <c r="E35" s="27">
        <v>21804</v>
      </c>
      <c r="F35" s="28">
        <f>E35</f>
        <v>21804</v>
      </c>
      <c r="G35" s="24">
        <f t="shared" si="2"/>
        <v>2.9756722011294562E-2</v>
      </c>
    </row>
    <row r="36" spans="1:7" ht="29" x14ac:dyDescent="0.35">
      <c r="A36" t="s">
        <v>96</v>
      </c>
      <c r="B36" s="30" t="s">
        <v>84</v>
      </c>
      <c r="C36" s="30" t="s">
        <v>97</v>
      </c>
      <c r="D36">
        <v>1</v>
      </c>
      <c r="E36" s="5">
        <v>21680</v>
      </c>
      <c r="G36" s="24">
        <f t="shared" si="2"/>
        <v>0</v>
      </c>
    </row>
    <row r="37" spans="1:7" ht="29" x14ac:dyDescent="0.35">
      <c r="A37" s="26" t="s">
        <v>57</v>
      </c>
      <c r="B37" s="29" t="s">
        <v>66</v>
      </c>
      <c r="C37" s="29" t="s">
        <v>98</v>
      </c>
      <c r="D37">
        <v>10</v>
      </c>
      <c r="E37" s="27">
        <v>21358</v>
      </c>
      <c r="F37" s="28">
        <f t="shared" ref="F37:F38" si="5">E37</f>
        <v>21358</v>
      </c>
      <c r="G37" s="24">
        <f t="shared" si="2"/>
        <v>2.9148049381637738E-2</v>
      </c>
    </row>
    <row r="38" spans="1:7" ht="29" x14ac:dyDescent="0.35">
      <c r="A38" s="26" t="s">
        <v>61</v>
      </c>
      <c r="B38" s="29" t="s">
        <v>73</v>
      </c>
      <c r="C38" s="29" t="s">
        <v>99</v>
      </c>
      <c r="D38">
        <v>10</v>
      </c>
      <c r="E38" s="27">
        <v>18635</v>
      </c>
      <c r="F38" s="28">
        <f t="shared" si="5"/>
        <v>18635</v>
      </c>
      <c r="G38" s="24">
        <f t="shared" si="2"/>
        <v>2.5431870972320407E-2</v>
      </c>
    </row>
    <row r="40" spans="1:7" x14ac:dyDescent="0.35">
      <c r="D40" s="3" t="s">
        <v>43</v>
      </c>
      <c r="E40" s="28">
        <f>SUM(E19:E38)</f>
        <v>732742</v>
      </c>
      <c r="F40" s="28">
        <f>SUM(F19:F38)</f>
        <v>388917</v>
      </c>
      <c r="G40" s="8">
        <f>SUM(G19:G38)</f>
        <v>0.53076935674493886</v>
      </c>
    </row>
    <row r="42" spans="1:7" x14ac:dyDescent="0.35">
      <c r="F42" s="43" t="s">
        <v>101</v>
      </c>
      <c r="G42" s="43"/>
    </row>
    <row r="45" spans="1:7" x14ac:dyDescent="0.35">
      <c r="A45" s="54" t="s">
        <v>102</v>
      </c>
      <c r="B45" s="54"/>
      <c r="C45" s="54"/>
      <c r="D45" s="54"/>
      <c r="E45" s="54"/>
      <c r="F45" s="54"/>
      <c r="G45" s="54"/>
    </row>
    <row r="47" spans="1:7" x14ac:dyDescent="0.35">
      <c r="A47" s="25" t="s">
        <v>103</v>
      </c>
      <c r="B47" s="25" t="s">
        <v>104</v>
      </c>
      <c r="C47" s="25" t="s">
        <v>105</v>
      </c>
      <c r="D47" s="25" t="s">
        <v>106</v>
      </c>
      <c r="E47" s="25" t="s">
        <v>107</v>
      </c>
      <c r="F47" s="25" t="s">
        <v>108</v>
      </c>
      <c r="G47" s="25" t="s">
        <v>25</v>
      </c>
    </row>
    <row r="48" spans="1:7" x14ac:dyDescent="0.35">
      <c r="A48" s="31" t="s">
        <v>109</v>
      </c>
      <c r="B48" s="5">
        <v>8477</v>
      </c>
      <c r="C48" s="5">
        <v>7509</v>
      </c>
      <c r="D48" s="5">
        <v>6150</v>
      </c>
      <c r="E48" s="5">
        <v>6641</v>
      </c>
      <c r="F48" s="5">
        <v>6788</v>
      </c>
      <c r="G48" s="32">
        <f>F48/$F$53</f>
        <v>0.54321382842509602</v>
      </c>
    </row>
    <row r="49" spans="1:7" x14ac:dyDescent="0.35">
      <c r="A49" s="31" t="s">
        <v>110</v>
      </c>
      <c r="B49" s="5">
        <v>3614</v>
      </c>
      <c r="C49" s="5">
        <v>3413</v>
      </c>
      <c r="D49" s="5">
        <v>3248</v>
      </c>
      <c r="E49" s="5">
        <v>3604</v>
      </c>
      <c r="F49" s="5">
        <v>3452</v>
      </c>
      <c r="G49" s="32">
        <f t="shared" ref="G49:G53" si="6">F49/$F$53</f>
        <v>0.27624839948783608</v>
      </c>
    </row>
    <row r="50" spans="1:7" x14ac:dyDescent="0.35">
      <c r="A50" t="s">
        <v>111</v>
      </c>
      <c r="B50" s="5">
        <v>1701</v>
      </c>
      <c r="C50" s="5">
        <v>1643</v>
      </c>
      <c r="D50" s="5">
        <v>1688</v>
      </c>
      <c r="E50" s="5">
        <v>1701</v>
      </c>
      <c r="F50" s="5">
        <v>1826</v>
      </c>
      <c r="G50" s="33">
        <f t="shared" si="6"/>
        <v>0.14612676056338028</v>
      </c>
    </row>
    <row r="51" spans="1:7" x14ac:dyDescent="0.35">
      <c r="A51" t="s">
        <v>112</v>
      </c>
      <c r="B51" s="5">
        <v>339</v>
      </c>
      <c r="C51" s="5">
        <v>355</v>
      </c>
      <c r="D51" s="5">
        <v>328</v>
      </c>
      <c r="E51" s="5">
        <v>365</v>
      </c>
      <c r="F51" s="5">
        <v>378</v>
      </c>
      <c r="G51" s="33">
        <f t="shared" si="6"/>
        <v>3.024967989756722E-2</v>
      </c>
    </row>
    <row r="52" spans="1:7" x14ac:dyDescent="0.35">
      <c r="A52" t="s">
        <v>113</v>
      </c>
      <c r="B52" s="5">
        <v>91</v>
      </c>
      <c r="C52" s="5">
        <v>120</v>
      </c>
      <c r="D52" s="5">
        <v>46</v>
      </c>
      <c r="E52" s="5">
        <v>31</v>
      </c>
      <c r="F52" s="5">
        <v>52</v>
      </c>
      <c r="G52" s="33">
        <f t="shared" si="6"/>
        <v>4.1613316261203586E-3</v>
      </c>
    </row>
    <row r="53" spans="1:7" x14ac:dyDescent="0.35">
      <c r="A53" t="s">
        <v>43</v>
      </c>
      <c r="B53" s="5">
        <v>14222</v>
      </c>
      <c r="C53" s="5">
        <v>13040</v>
      </c>
      <c r="D53" s="5">
        <v>11460</v>
      </c>
      <c r="E53" s="5">
        <v>12342</v>
      </c>
      <c r="F53" s="5">
        <v>12496</v>
      </c>
      <c r="G53" s="33">
        <f t="shared" si="6"/>
        <v>1</v>
      </c>
    </row>
    <row r="55" spans="1:7" x14ac:dyDescent="0.35">
      <c r="A55" s="55" t="s">
        <v>114</v>
      </c>
      <c r="B55" s="55"/>
      <c r="C55" s="55"/>
      <c r="D55" s="55"/>
      <c r="E55" s="55"/>
      <c r="F55" s="55"/>
      <c r="G55" s="55"/>
    </row>
    <row r="56" spans="1:7" x14ac:dyDescent="0.35">
      <c r="A56" s="55"/>
      <c r="B56" s="55"/>
      <c r="C56" s="55"/>
      <c r="D56" s="55"/>
      <c r="E56" s="55"/>
      <c r="F56" s="55"/>
      <c r="G56" s="55"/>
    </row>
  </sheetData>
  <autoFilter ref="A18:E38" xr:uid="{8FAB56CA-3B3D-4CB7-8C1E-5CA928D80562}"/>
  <mergeCells count="8">
    <mergeCell ref="E13:G14"/>
    <mergeCell ref="B16:D16"/>
    <mergeCell ref="A45:G45"/>
    <mergeCell ref="A55:G56"/>
    <mergeCell ref="A1:C1"/>
    <mergeCell ref="B2:C2"/>
    <mergeCell ref="E2:G2"/>
    <mergeCell ref="B13:D13"/>
  </mergeCells>
  <pageMargins left="0.7" right="0.7" top="0.75" bottom="0.75" header="0.3" footer="0.3"/>
  <ignoredErrors>
    <ignoredError sqref="A28 A5:A9 E5:E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Insurance Company Projections</vt:lpstr>
      <vt:lpstr>Summary</vt:lpstr>
      <vt:lpstr>12-Month P&amp;L</vt:lpstr>
      <vt:lpstr>Year 2 P&amp;L</vt:lpstr>
      <vt:lpstr>Year 3 P&amp;L</vt:lpstr>
      <vt:lpstr>Sweepstakes</vt:lpstr>
      <vt:lpstr>FMCSA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Cartez Dewberry</dc:creator>
  <cp:lastModifiedBy>Cartez Dewberry</cp:lastModifiedBy>
  <dcterms:created xsi:type="dcterms:W3CDTF">2024-10-23T22:49:19Z</dcterms:created>
  <dcterms:modified xsi:type="dcterms:W3CDTF">2024-11-17T16:29:09Z</dcterms:modified>
</cp:coreProperties>
</file>