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Toc93057003" localSheetId="0">Лист1!#REF!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BI30" i="1"/>
  <c r="BI31" i="1"/>
  <c r="BF31" i="1"/>
  <c r="BG31" i="1"/>
  <c r="BH31" i="1"/>
  <c r="BE31" i="1"/>
  <c r="BP21" i="1"/>
  <c r="BL21" i="1"/>
  <c r="AT6" i="1" l="1"/>
  <c r="BE24" i="1" l="1"/>
  <c r="Y22" i="1"/>
  <c r="X22" i="1"/>
  <c r="U22" i="1"/>
  <c r="AI30" i="1"/>
  <c r="AJ26" i="1"/>
  <c r="AJ25" i="1"/>
  <c r="H11" i="1"/>
  <c r="AI31" i="1"/>
  <c r="E15" i="1"/>
  <c r="D14" i="1"/>
  <c r="E14" i="1" s="1"/>
  <c r="D13" i="1"/>
  <c r="R5" i="1" l="1"/>
  <c r="S5" i="1"/>
  <c r="D12" i="1" l="1"/>
  <c r="E11" i="1"/>
  <c r="V22" i="1" l="1"/>
  <c r="W22" i="1"/>
  <c r="P24" i="1" l="1"/>
  <c r="O24" i="1"/>
  <c r="H10" i="1"/>
  <c r="E12" i="1"/>
  <c r="T5" i="1"/>
  <c r="AI5" i="1" s="1"/>
  <c r="U5" i="1"/>
  <c r="AJ5" i="1" s="1"/>
  <c r="AH5" i="1"/>
  <c r="AG5" i="1"/>
  <c r="R4" i="1"/>
  <c r="T4" i="1"/>
  <c r="AI4" i="1" s="1"/>
  <c r="U4" i="1"/>
  <c r="AJ4" i="1" s="1"/>
  <c r="P5" i="1"/>
  <c r="P4" i="1"/>
  <c r="S4" i="1"/>
  <c r="BI27" i="1"/>
  <c r="BI28" i="1"/>
  <c r="BH8" i="1"/>
  <c r="BH7" i="1"/>
  <c r="BH6" i="1"/>
  <c r="BL7" i="1"/>
  <c r="AH4" i="1" l="1"/>
  <c r="BM20" i="1"/>
  <c r="AG4" i="1"/>
  <c r="R6" i="1"/>
  <c r="BE18" i="1" s="1"/>
  <c r="W12" i="1"/>
  <c r="V12" i="1"/>
  <c r="U12" i="1"/>
  <c r="X12" i="1"/>
  <c r="BI22" i="1"/>
  <c r="BI23" i="1"/>
  <c r="Y12" i="1" l="1"/>
  <c r="BB24" i="1"/>
  <c r="BB23" i="1"/>
  <c r="BB22" i="1"/>
  <c r="AJ30" i="1"/>
  <c r="AJ31" i="1"/>
  <c r="AK31" i="1" s="1"/>
  <c r="AJ28" i="1"/>
  <c r="AK28" i="1" s="1"/>
  <c r="AJ29" i="1"/>
  <c r="AK29" i="1" s="1"/>
  <c r="AJ27" i="1"/>
  <c r="AK27" i="1" s="1"/>
  <c r="AK30" i="1" l="1"/>
  <c r="AJ32" i="1"/>
  <c r="AK32" i="1"/>
  <c r="S26" i="1"/>
  <c r="S25" i="1"/>
  <c r="S23" i="1"/>
  <c r="S22" i="1"/>
  <c r="S21" i="1"/>
  <c r="S20" i="1"/>
  <c r="S19" i="1"/>
  <c r="S18" i="1"/>
  <c r="S13" i="1"/>
  <c r="S12" i="1"/>
  <c r="M27" i="1"/>
  <c r="M26" i="1"/>
  <c r="M24" i="1"/>
  <c r="M23" i="1"/>
  <c r="M22" i="1"/>
  <c r="M21" i="1"/>
  <c r="M20" i="1"/>
  <c r="M19" i="1"/>
  <c r="M14" i="1"/>
  <c r="M13" i="1"/>
  <c r="I13" i="1" l="1"/>
  <c r="H13" i="1"/>
  <c r="J11" i="1"/>
  <c r="J10" i="1"/>
  <c r="K10" i="1" s="1"/>
  <c r="BE25" i="1" l="1"/>
  <c r="BL27" i="1"/>
  <c r="BL19" i="1"/>
  <c r="BI24" i="1"/>
  <c r="BP27" i="1"/>
  <c r="J13" i="1"/>
  <c r="K11" i="1"/>
  <c r="K13" i="1" s="1"/>
  <c r="AO5" i="1"/>
  <c r="AO4" i="1"/>
  <c r="AN4" i="1"/>
  <c r="AW25" i="1" s="1"/>
  <c r="AN5" i="1"/>
  <c r="AW30" i="1" s="1"/>
  <c r="AF6" i="1"/>
  <c r="Q6" i="1"/>
  <c r="AF5" i="1"/>
  <c r="AF4" i="1"/>
  <c r="Q5" i="1"/>
  <c r="Q4" i="1"/>
  <c r="AE5" i="1"/>
  <c r="AE4" i="1"/>
  <c r="AB3" i="1"/>
  <c r="BI26" i="1" s="1"/>
  <c r="BN20" i="1"/>
  <c r="BM29" i="1"/>
  <c r="BM19" i="1" l="1"/>
  <c r="BI25" i="1"/>
  <c r="BG26" i="1"/>
  <c r="BH26" i="1"/>
  <c r="BE26" i="1"/>
  <c r="BF26" i="1"/>
  <c r="AS4" i="1"/>
  <c r="AR4" i="1"/>
  <c r="AQ4" i="1"/>
  <c r="AP4" i="1"/>
  <c r="AP5" i="1"/>
  <c r="AR5" i="1"/>
  <c r="AQ5" i="1"/>
  <c r="AS5" i="1"/>
  <c r="BO20" i="1"/>
  <c r="BN29" i="1"/>
  <c r="BL20" i="1"/>
  <c r="BP19" i="1"/>
  <c r="Y16" i="1"/>
  <c r="O17" i="1"/>
  <c r="P17" i="1" s="1"/>
  <c r="T6" i="1"/>
  <c r="S6" i="1"/>
  <c r="AQ6" i="1"/>
  <c r="BF19" i="1" s="1"/>
  <c r="BF29" i="1" s="1"/>
  <c r="AR6" i="1"/>
  <c r="BG19" i="1" s="1"/>
  <c r="BG29" i="1" s="1"/>
  <c r="AP6" i="1"/>
  <c r="BE19" i="1" s="1"/>
  <c r="BE29" i="1" s="1"/>
  <c r="BE21" i="1" s="1"/>
  <c r="BI21" i="1" s="1"/>
  <c r="V5" i="1"/>
  <c r="AK5" i="1" s="1"/>
  <c r="U6" i="1"/>
  <c r="V4" i="1"/>
  <c r="AK4" i="1" s="1"/>
  <c r="BM7" i="1" s="1"/>
  <c r="BN7" i="1" s="1"/>
  <c r="BN13" i="1" s="1"/>
  <c r="AG6" i="1"/>
  <c r="AH6" i="1" l="1"/>
  <c r="BF18" i="1"/>
  <c r="AJ6" i="1"/>
  <c r="BH18" i="1"/>
  <c r="AI6" i="1"/>
  <c r="BG18" i="1"/>
  <c r="BI6" i="1"/>
  <c r="AT5" i="1"/>
  <c r="AX31" i="1" s="1"/>
  <c r="AY31" i="1" s="1"/>
  <c r="P28" i="1"/>
  <c r="AS6" i="1"/>
  <c r="BH19" i="1" s="1"/>
  <c r="BH29" i="1" s="1"/>
  <c r="V6" i="1"/>
  <c r="BL29" i="1"/>
  <c r="BP20" i="1"/>
  <c r="BO29" i="1"/>
  <c r="BI8" i="1"/>
  <c r="BJ8" i="1" s="1"/>
  <c r="BJ6" i="1"/>
  <c r="BI7" i="1"/>
  <c r="BJ7" i="1" s="1"/>
  <c r="BI19" i="1"/>
  <c r="BI29" i="1" s="1"/>
  <c r="V16" i="1"/>
  <c r="X16" i="1"/>
  <c r="W16" i="1"/>
  <c r="U16" i="1"/>
  <c r="AT4" i="1"/>
  <c r="AX26" i="1" s="1"/>
  <c r="AY26" i="1" s="1"/>
  <c r="AK6" i="1" l="1"/>
  <c r="BI18" i="1"/>
  <c r="AX32" i="1"/>
  <c r="AY32" i="1" s="1"/>
  <c r="AX27" i="1"/>
  <c r="AY27" i="1" s="1"/>
  <c r="P30" i="1"/>
  <c r="BJ13" i="1"/>
  <c r="BO12" i="1" s="1"/>
  <c r="BP29" i="1"/>
  <c r="BL24" i="1"/>
  <c r="BM24" i="1"/>
  <c r="BN24" i="1"/>
  <c r="BO24" i="1"/>
  <c r="AX4" i="1" l="1"/>
  <c r="AZ26" i="1" s="1"/>
  <c r="AD11" i="1"/>
  <c r="AC11" i="1" s="1"/>
  <c r="AX5" i="1"/>
  <c r="AZ31" i="1" s="1"/>
  <c r="O13" i="1"/>
  <c r="BP24" i="1"/>
  <c r="Q13" i="1" l="1"/>
  <c r="D16" i="1" l="1"/>
  <c r="V13" i="1"/>
  <c r="V27" i="1" s="1"/>
  <c r="U13" i="1"/>
  <c r="U27" i="1" s="1"/>
  <c r="X13" i="1"/>
  <c r="X27" i="1" s="1"/>
  <c r="E13" i="1"/>
  <c r="E16" i="1" s="1"/>
  <c r="O14" i="1" s="1"/>
  <c r="Q14" i="1" s="1"/>
  <c r="W13" i="1"/>
  <c r="Y13" i="1" s="1"/>
  <c r="Y27" i="1" s="1"/>
  <c r="W27" i="1"/>
  <c r="W28" i="1" l="1"/>
  <c r="Y29" i="1"/>
  <c r="AD12" i="1"/>
  <c r="X28" i="1"/>
  <c r="U28" i="1"/>
  <c r="U29" i="1"/>
  <c r="BE20" i="1"/>
  <c r="V28" i="1"/>
  <c r="V29" i="1"/>
  <c r="BF20" i="1"/>
  <c r="BM28" i="1" s="1"/>
  <c r="BM22" i="1" s="1"/>
  <c r="Q28" i="1"/>
  <c r="AX28" i="1"/>
  <c r="AX33" i="1"/>
  <c r="X29" i="1"/>
  <c r="O28" i="1"/>
  <c r="BG20" i="1"/>
  <c r="BN28" i="1" s="1"/>
  <c r="BN22" i="1" s="1"/>
  <c r="BH20" i="1"/>
  <c r="BO28" i="1" s="1"/>
  <c r="BO22" i="1" s="1"/>
  <c r="W29" i="1"/>
  <c r="AY33" i="1" l="1"/>
  <c r="AX34" i="1"/>
  <c r="AY34" i="1" s="1"/>
  <c r="O30" i="1"/>
  <c r="O29" i="1"/>
  <c r="Y28" i="1"/>
  <c r="P29" i="1"/>
  <c r="Q29" i="1"/>
  <c r="Q30" i="1"/>
  <c r="BL28" i="1"/>
  <c r="BL22" i="1" s="1"/>
  <c r="BE30" i="1"/>
  <c r="BI20" i="1"/>
  <c r="BP28" i="1" s="1"/>
  <c r="AC12" i="1"/>
  <c r="AC13" i="1" s="1"/>
  <c r="AD13" i="1"/>
  <c r="AX29" i="1"/>
  <c r="AY29" i="1" s="1"/>
  <c r="AY28" i="1"/>
  <c r="AD14" i="1" l="1"/>
  <c r="AD15" i="1" s="1"/>
  <c r="BE32" i="1"/>
  <c r="BL32" i="1"/>
  <c r="BM18" i="1" s="1"/>
  <c r="BM21" i="1" s="1"/>
  <c r="BP22" i="1"/>
  <c r="AC14" i="1"/>
  <c r="AC15" i="1" s="1"/>
  <c r="BG30" i="1" l="1"/>
  <c r="BG32" i="1" s="1"/>
  <c r="BH30" i="1"/>
  <c r="BH32" i="1" s="1"/>
  <c r="BF30" i="1"/>
  <c r="BM32" i="1" l="1"/>
  <c r="BN18" i="1" s="1"/>
  <c r="BF32" i="1"/>
  <c r="BI33" i="1"/>
  <c r="BN21" i="1" l="1"/>
  <c r="BI32" i="1"/>
  <c r="BN32" i="1" l="1"/>
  <c r="BO18" i="1" s="1"/>
  <c r="BO21" i="1" l="1"/>
  <c r="BP18" i="1"/>
  <c r="BO32" i="1" l="1"/>
  <c r="BP32" i="1"/>
</calcChain>
</file>

<file path=xl/sharedStrings.xml><?xml version="1.0" encoding="utf-8"?>
<sst xmlns="http://schemas.openxmlformats.org/spreadsheetml/2006/main" count="339" uniqueCount="192">
  <si>
    <t>Основные преимущества</t>
  </si>
  <si>
    <t>Используемая стратегия</t>
  </si>
  <si>
    <t>Конкурент 1</t>
  </si>
  <si>
    <t>№ п/п</t>
  </si>
  <si>
    <t>ед. изм.</t>
  </si>
  <si>
    <t>Цена, руб.</t>
  </si>
  <si>
    <t>Собственная цена</t>
  </si>
  <si>
    <t>Наименование показателей</t>
  </si>
  <si>
    <t>Итого за год</t>
  </si>
  <si>
    <t>1 квартал</t>
  </si>
  <si>
    <t>2 квартал</t>
  </si>
  <si>
    <t>3 квартал</t>
  </si>
  <si>
    <t>4 квартал</t>
  </si>
  <si>
    <t>Итого</t>
  </si>
  <si>
    <t>Место реализации проекта (указать точный адрес)</t>
  </si>
  <si>
    <t xml:space="preserve">Обеспеченность инфраструктурой (транспортной, инженерной, социальной) </t>
  </si>
  <si>
    <t xml:space="preserve">Состояние производственных площадей </t>
  </si>
  <si>
    <t>Доступность производственных площадей для покупателей</t>
  </si>
  <si>
    <t>Наименование</t>
  </si>
  <si>
    <t>Значение</t>
  </si>
  <si>
    <t>1. Годовая производственная мощность предприятия, ед.</t>
  </si>
  <si>
    <t>2. Режим работы предприятия, час</t>
  </si>
  <si>
    <t>Наименование продукции / услуги</t>
  </si>
  <si>
    <t>Объем производства продукции / услуг в натуральном выражении по периодам проекта, ед.</t>
  </si>
  <si>
    <t>Итого по проекту</t>
  </si>
  <si>
    <t>Цена 1 ед.</t>
  </si>
  <si>
    <t>Объем производства продукции / услуг в денежном выражении по периодам проекта, руб.</t>
  </si>
  <si>
    <t>Всего</t>
  </si>
  <si>
    <t>Вид материальных затрат</t>
  </si>
  <si>
    <t>Ед.изм</t>
  </si>
  <si>
    <t>Продукт 1</t>
  </si>
  <si>
    <t>Продукт 2</t>
  </si>
  <si>
    <t>ВСЕГО:</t>
  </si>
  <si>
    <t>Х</t>
  </si>
  <si>
    <t>ИТОГО</t>
  </si>
  <si>
    <t>№</t>
  </si>
  <si>
    <t>Наименование вспомогательного материала</t>
  </si>
  <si>
    <t>п/п</t>
  </si>
  <si>
    <t>Ед. изм.</t>
  </si>
  <si>
    <t>Вспомогательные материальные затраты, руб.</t>
  </si>
  <si>
    <t>за квартал</t>
  </si>
  <si>
    <t>за год</t>
  </si>
  <si>
    <t>ВСЕГО</t>
  </si>
  <si>
    <t>Первоначальная ст-ть ОФ, руб.</t>
  </si>
  <si>
    <t>Срок службы, лет</t>
  </si>
  <si>
    <t>Годовая норма амортизации, %</t>
  </si>
  <si>
    <t>Амортизац. отчисления, руб./год</t>
  </si>
  <si>
    <t>ИТОГО:</t>
  </si>
  <si>
    <t>Статьи затрат</t>
  </si>
  <si>
    <t>Годовые затраты, руб.</t>
  </si>
  <si>
    <t>в т.ч.</t>
  </si>
  <si>
    <t>постоянные</t>
  </si>
  <si>
    <t>переменные</t>
  </si>
  <si>
    <t xml:space="preserve">Материальные затраты, в т.ч.: </t>
  </si>
  <si>
    <t xml:space="preserve">производственные </t>
  </si>
  <si>
    <t xml:space="preserve">вспомогательные </t>
  </si>
  <si>
    <t>Затраты на оплату труда</t>
  </si>
  <si>
    <t xml:space="preserve">Страховые взносы </t>
  </si>
  <si>
    <t>Амортизация основных средств</t>
  </si>
  <si>
    <t>Прочие денежные расходы:</t>
  </si>
  <si>
    <t>ремонт помещения</t>
  </si>
  <si>
    <t>канцелярские и хоз.расходы</t>
  </si>
  <si>
    <t>расходы на подбор и обучение персонала</t>
  </si>
  <si>
    <t>Статья расходов</t>
  </si>
  <si>
    <t>Год</t>
  </si>
  <si>
    <t>всего</t>
  </si>
  <si>
    <t>страхование имущества</t>
  </si>
  <si>
    <t>аренда помещения</t>
  </si>
  <si>
    <t>услуги связи</t>
  </si>
  <si>
    <t>Внепроизводственные расходы, в т.ч.:</t>
  </si>
  <si>
    <t>реклама</t>
  </si>
  <si>
    <t>транспортные расходы, связанные со сбытом продукции</t>
  </si>
  <si>
    <t>Показатели</t>
  </si>
  <si>
    <t>Выручка от реализации, руб. (таб. № 9)</t>
  </si>
  <si>
    <t>Общие затраты, руб. (таб. № 15)</t>
  </si>
  <si>
    <t>Балансовая прибыль, руб. (п.1-п.2)</t>
  </si>
  <si>
    <t>Чистая прибыль, руб.</t>
  </si>
  <si>
    <t>Наименование инвестиционных затрат</t>
  </si>
  <si>
    <t>Кол-во</t>
  </si>
  <si>
    <t>Цена 1 ед., руб.</t>
  </si>
  <si>
    <t>Затраты всего, руб.</t>
  </si>
  <si>
    <t>Источники финансирования затрат, из них:</t>
  </si>
  <si>
    <t>Финансовая помощь, руб.</t>
  </si>
  <si>
    <t>Собственные средства, руб.</t>
  </si>
  <si>
    <t>Наименование этапа проекта</t>
  </si>
  <si>
    <t>На 1 ед. продукции</t>
  </si>
  <si>
    <t>Удельный вес, %</t>
  </si>
  <si>
    <t>Выручка, руб./год</t>
  </si>
  <si>
    <t>Постоянные затраты, руб./год</t>
  </si>
  <si>
    <t>Переменные затраты, руб./год</t>
  </si>
  <si>
    <t>Совокупные затраты, руб./год</t>
  </si>
  <si>
    <t xml:space="preserve">Объем производства в натуральном выражении </t>
  </si>
  <si>
    <t xml:space="preserve">Выручка от реализации продукции </t>
  </si>
  <si>
    <t xml:space="preserve">Совокупные затраты на пр-во и сбыт продукции / услуг </t>
  </si>
  <si>
    <t>Инвестиционные затраты, в т.ч.</t>
  </si>
  <si>
    <t>собственные средства</t>
  </si>
  <si>
    <t>заемные средства</t>
  </si>
  <si>
    <t>средства государственной социальной помощи</t>
  </si>
  <si>
    <t>Стоимость основных средств</t>
  </si>
  <si>
    <t>Производственная мощность оборудования</t>
  </si>
  <si>
    <t xml:space="preserve">Списочная численность </t>
  </si>
  <si>
    <t xml:space="preserve">ФОТ </t>
  </si>
  <si>
    <t>Чистая прибыль</t>
  </si>
  <si>
    <t>Порог рентабельности</t>
  </si>
  <si>
    <t>Рентабельность продукции</t>
  </si>
  <si>
    <t>Срок окупаемости проекта</t>
  </si>
  <si>
    <t xml:space="preserve"> Показатели </t>
  </si>
  <si>
    <t>1. Наличие денежных средств на начало периода (собственные средства)</t>
  </si>
  <si>
    <t>2. Финансовая помощь</t>
  </si>
  <si>
    <t>3. Выручка от оказания услуг, производства продукции, руб.</t>
  </si>
  <si>
    <t xml:space="preserve">ИТОГО поступления: </t>
  </si>
  <si>
    <t>4. Платежи, всего: руб.</t>
  </si>
  <si>
    <t>4.2. электроэнергия</t>
  </si>
  <si>
    <t>4.3. затраты на оплату труда</t>
  </si>
  <si>
    <t xml:space="preserve">4.4. страховые взносы </t>
  </si>
  <si>
    <t>4.5. приобретение основных средств</t>
  </si>
  <si>
    <t>4.6. прочие расходы всего</t>
  </si>
  <si>
    <t>6. Возврат заемных средств и %</t>
  </si>
  <si>
    <t xml:space="preserve">7. Выплаты за счет прибыли </t>
  </si>
  <si>
    <t>8. Остаток денежных средств на конец периода</t>
  </si>
  <si>
    <t>При покупке 4 часов 1 час в подарок, постоянным посетителям скидки</t>
  </si>
  <si>
    <t>Игровой клуб в ТЦ Кривцовъ</t>
  </si>
  <si>
    <t>Ведение социальных сетей для родителей с детьми 8 - 16 лет</t>
  </si>
  <si>
    <t xml:space="preserve"> Есть акции, возможно забронировать чтоб отметить день рождения, большой выбор настольных игр, возможность нанять ведущего игры, наличие VR-гарнитуры</t>
  </si>
  <si>
    <t>Предоставления места для отдыха</t>
  </si>
  <si>
    <t>Ежемесечные скидки, скидки по поводу праздников</t>
  </si>
  <si>
    <t>Удалённость от метро (пешком 20 минут), низкое качество экранов</t>
  </si>
  <si>
    <t>Основные посетители - поколение z, люди 14 - 25 лет</t>
  </si>
  <si>
    <t>MagicTime (https://vk.com/magictime_loft)</t>
  </si>
  <si>
    <t>Большое количество отдельных комнат, близость к метро, возможность заказать кальян, купить закуски и чай</t>
  </si>
  <si>
    <t>King (https://vk.com/king.nsk54/)</t>
  </si>
  <si>
    <t>Несоответствие цен, неактивные социальные сети</t>
  </si>
  <si>
    <t>Лояльная администрация,  можно забронировать на ночь, невысокие цены</t>
  </si>
  <si>
    <t>Конкурент 2</t>
  </si>
  <si>
    <t>Покупка места в игру</t>
  </si>
  <si>
    <t>шт.</t>
  </si>
  <si>
    <t>Новосибирская область,
рабочий посёлок Колывань,
улица Блюхера 36/1</t>
  </si>
  <si>
    <t>Наличие производственных площадей (их размер), в т.ч.:
-  в собственности
-  в аренде (указать на какой срок)</t>
  </si>
  <si>
    <t>Аренда 40 м² на 12 месяцев</t>
  </si>
  <si>
    <t>Парковочные места, есть лёгкий подъезд,
 довольно проходимое место</t>
  </si>
  <si>
    <t>Хорошее место в котором недавно сделали ремонт,
 никаких дополнительных вложений не требуется</t>
  </si>
  <si>
    <t>Затраты на электричество для Play Station 5</t>
  </si>
  <si>
    <t>Затраты на электричество для телевизора</t>
  </si>
  <si>
    <t>квт/час</t>
  </si>
  <si>
    <t>Норма расхода на
 1 ед в натур. Выраж</t>
  </si>
  <si>
    <t>Цена мат. 
затрат руб/ед</t>
  </si>
  <si>
    <t>Объем пр-ва,
 шт. в год</t>
  </si>
  <si>
    <t>Материальные 
затраты, руб.</t>
  </si>
  <si>
    <t>Норма расхода на 
1 ед в натур. выраж</t>
  </si>
  <si>
    <t>Цена мат. 
Затрат руб/ед</t>
  </si>
  <si>
    <t>Материальные затраты на 
весь объем производства, руб.</t>
  </si>
  <si>
    <t xml:space="preserve">Затраты на электричество для Xbox Siries X </t>
  </si>
  <si>
    <t>руб.</t>
  </si>
  <si>
    <t>Комплект 2 Телевизора LED TCL 55C735</t>
  </si>
  <si>
    <t>Затраты на 1 ед. продукции (услуги)</t>
  </si>
  <si>
    <t>Налоговые платежи самозанятого, руб.</t>
  </si>
  <si>
    <t>Play Station 5</t>
  </si>
  <si>
    <t>Xbox Siries X</t>
  </si>
  <si>
    <t>Телевизора LED TCL 55C735</t>
  </si>
  <si>
    <t xml:space="preserve">На весь объем пр-ва </t>
  </si>
  <si>
    <t>-</t>
  </si>
  <si>
    <t>1. Электроэнергия (на технологические цели)</t>
  </si>
  <si>
    <t>мес.</t>
  </si>
  <si>
    <t>в том числе: 4.1 материалы</t>
  </si>
  <si>
    <t>5. Налог на Проф Деятельность самозанятого</t>
  </si>
  <si>
    <t>11 минут от автовокзала и в 3 минутах от спального района
Свет, газ, вода, вентиляция, туалет
12 минут от одной школы и 15 минут от второй школы</t>
  </si>
  <si>
    <t>Наименование продукции
 / услуг</t>
  </si>
  <si>
    <t>Периоды (по кварталам c 1 апреля)</t>
  </si>
  <si>
    <t>Снятие игровой комнаты на час</t>
  </si>
  <si>
    <t>Закупка оборудывания</t>
  </si>
  <si>
    <t>Работа на полную мощность</t>
  </si>
  <si>
    <t>Регистрация Самозанятого</t>
  </si>
  <si>
    <t>2024 год
Апрель</t>
  </si>
  <si>
    <t>Налоги самозанятого на ПД</t>
  </si>
  <si>
    <t>Лишь одна игровая консоль Xbox, нельзя приносить с собой еду/напитки, нет возможности поиграть в эксклюзивы PlayStation,
 постоянная очередь, отсутствие сайта и групп/сообществ в социальных сетях</t>
  </si>
  <si>
    <t>Электроэнергия</t>
  </si>
  <si>
    <t>Интернет</t>
  </si>
  <si>
    <t>Газ (отопление)</t>
  </si>
  <si>
    <t>Вода</t>
  </si>
  <si>
    <t>Аренда</t>
  </si>
  <si>
    <t>Оформление социального контракта</t>
  </si>
  <si>
    <t>Заключение договора аренды помещения</t>
  </si>
  <si>
    <t>Покупка/создание игр</t>
  </si>
  <si>
    <t>Комплект Play Station 5 + Xbox Siries X + 2 джойстика для PS5 + 2 джойстика Xbox</t>
  </si>
  <si>
    <t>Джойстик для PS5</t>
  </si>
  <si>
    <t>Джойстик для Xbox Siries X</t>
  </si>
  <si>
    <t>Наименования конкурентов(по убыванию их значимости)</t>
  </si>
  <si>
    <t>Основные недостатки</t>
  </si>
  <si>
    <t>Основной спектр продукции (совпадающий с вашей компанией)</t>
  </si>
  <si>
    <t>Маркетинговые предложения</t>
  </si>
  <si>
    <t>11    6+10</t>
  </si>
  <si>
    <r>
      <t>Заемные средства</t>
    </r>
    <r>
      <rPr>
        <vertAlign val="superscript"/>
        <sz val="18"/>
        <color theme="1"/>
        <rFont val="Times New Roman"/>
        <family val="1"/>
        <charset val="204"/>
      </rPr>
      <t>*</t>
    </r>
    <r>
      <rPr>
        <sz val="18"/>
        <color theme="1"/>
        <rFont val="Times New Roman"/>
        <family val="1"/>
        <charset val="204"/>
      </rPr>
      <t>,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</si>
</sst>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vertAlign val="superscript"/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2"/>
  <sheetViews>
    <sheetView tabSelected="1" topLeftCell="BH10" zoomScale="30" zoomScaleNormal="30" workbookViewId="0">
      <selection activeCell="BQ1" sqref="BQ1"/>
    </sheetView>
  </sheetViews>
  <sheetFormatPr defaultRowHeight="23.25" x14ac:dyDescent="0.35"/>
  <cols>
    <col min="1" max="1" width="97.85546875" style="4" bestFit="1" customWidth="1"/>
    <col min="2" max="2" width="255.7109375" style="4" bestFit="1" customWidth="1"/>
    <col min="3" max="3" width="219.5703125" style="4" bestFit="1" customWidth="1"/>
    <col min="4" max="4" width="110.42578125" style="4" bestFit="1" customWidth="1"/>
    <col min="5" max="5" width="123.5703125" style="4" bestFit="1" customWidth="1"/>
    <col min="6" max="6" width="107.5703125" style="4" bestFit="1" customWidth="1"/>
    <col min="7" max="7" width="144.140625" style="4" bestFit="1" customWidth="1"/>
    <col min="8" max="9" width="55.5703125" style="4" bestFit="1" customWidth="1"/>
    <col min="10" max="10" width="54.42578125" style="4" bestFit="1" customWidth="1"/>
    <col min="11" max="11" width="56.7109375" style="4" bestFit="1" customWidth="1"/>
    <col min="12" max="13" width="22.42578125" style="4" bestFit="1" customWidth="1"/>
    <col min="14" max="14" width="97.85546875" style="4" bestFit="1" customWidth="1"/>
    <col min="15" max="15" width="21.85546875" style="4" bestFit="1" customWidth="1"/>
    <col min="16" max="16" width="55.5703125" style="4" bestFit="1" customWidth="1"/>
    <col min="17" max="17" width="21.85546875" style="4" bestFit="1" customWidth="1"/>
    <col min="18" max="19" width="17.85546875" style="4" bestFit="1" customWidth="1"/>
    <col min="20" max="20" width="97.85546875" style="4" bestFit="1" customWidth="1"/>
    <col min="21" max="23" width="21.85546875" style="4" bestFit="1" customWidth="1"/>
    <col min="24" max="24" width="131" style="4" bestFit="1" customWidth="1"/>
    <col min="25" max="25" width="104.7109375" style="4" bestFit="1" customWidth="1"/>
    <col min="26" max="26" width="10.85546875" style="4" bestFit="1" customWidth="1"/>
    <col min="27" max="27" width="99.5703125" style="4" bestFit="1" customWidth="1"/>
    <col min="28" max="28" width="69.85546875" style="4" bestFit="1" customWidth="1"/>
    <col min="29" max="29" width="19" style="4" bestFit="1" customWidth="1"/>
    <col min="30" max="30" width="17.85546875" style="4" bestFit="1" customWidth="1"/>
    <col min="31" max="31" width="59" style="4" bestFit="1" customWidth="1"/>
    <col min="32" max="32" width="15" style="4" bestFit="1" customWidth="1"/>
    <col min="33" max="33" width="66.42578125" style="4" bestFit="1" customWidth="1"/>
    <col min="34" max="34" width="17.85546875" style="4" bestFit="1" customWidth="1"/>
    <col min="35" max="35" width="28.7109375" style="4" bestFit="1" customWidth="1"/>
    <col min="36" max="36" width="35" style="4" bestFit="1" customWidth="1"/>
    <col min="37" max="37" width="45.85546875" style="4" bestFit="1" customWidth="1"/>
    <col min="38" max="38" width="43.5703125" style="4" bestFit="1" customWidth="1"/>
    <col min="39" max="39" width="49.85546875" style="4" bestFit="1" customWidth="1"/>
    <col min="40" max="40" width="59" style="4" bestFit="1" customWidth="1"/>
    <col min="41" max="41" width="19" style="4" bestFit="1" customWidth="1"/>
    <col min="42" max="42" width="71" style="4" bestFit="1" customWidth="1"/>
    <col min="43" max="45" width="17.85546875" style="4" bestFit="1" customWidth="1"/>
    <col min="46" max="46" width="30.42578125" style="4" bestFit="1" customWidth="1"/>
    <col min="47" max="47" width="17.85546875" style="4" bestFit="1" customWidth="1"/>
    <col min="48" max="48" width="35.5703125" style="4" bestFit="1" customWidth="1"/>
    <col min="49" max="49" width="53.28515625" style="4" bestFit="1" customWidth="1"/>
    <col min="50" max="50" width="36.140625" style="4" bestFit="1" customWidth="1"/>
    <col min="51" max="51" width="33.85546875" style="4" bestFit="1" customWidth="1"/>
    <col min="52" max="52" width="30.42578125" style="4" bestFit="1" customWidth="1"/>
    <col min="53" max="53" width="10.85546875" style="4" bestFit="1" customWidth="1"/>
    <col min="54" max="54" width="11.5703125" style="4" bestFit="1" customWidth="1"/>
    <col min="55" max="55" width="96.140625" style="4" bestFit="1" customWidth="1"/>
    <col min="56" max="56" width="15" style="4" bestFit="1" customWidth="1"/>
    <col min="57" max="57" width="79" style="4" bestFit="1" customWidth="1"/>
    <col min="58" max="58" width="19.5703125" style="4" bestFit="1" customWidth="1"/>
    <col min="59" max="59" width="37.85546875" style="4" bestFit="1" customWidth="1"/>
    <col min="60" max="60" width="24.140625" style="4" bestFit="1" customWidth="1"/>
    <col min="61" max="61" width="30.42578125" style="4" bestFit="1" customWidth="1"/>
    <col min="62" max="62" width="25.85546875" style="4" bestFit="1" customWidth="1"/>
    <col min="63" max="63" width="127.5703125" style="4" bestFit="1" customWidth="1"/>
    <col min="64" max="64" width="24.7109375" style="4" bestFit="1" customWidth="1"/>
    <col min="65" max="65" width="23.5703125" style="4" bestFit="1" customWidth="1"/>
    <col min="66" max="66" width="25.85546875" style="4" bestFit="1" customWidth="1"/>
    <col min="67" max="67" width="53.85546875" style="4" bestFit="1" customWidth="1"/>
    <col min="68" max="68" width="30.42578125" style="4" bestFit="1" customWidth="1"/>
    <col min="69" max="69" width="15.85546875" style="4" bestFit="1" customWidth="1"/>
    <col min="70" max="16384" width="9.140625" style="4"/>
  </cols>
  <sheetData>
    <row r="1" spans="1:69" ht="24" thickBot="1" x14ac:dyDescent="0.4">
      <c r="A1" s="1">
        <v>3</v>
      </c>
      <c r="B1" s="2"/>
      <c r="C1" s="2"/>
      <c r="D1" s="2"/>
      <c r="E1" s="2"/>
      <c r="F1" s="2"/>
      <c r="G1" s="2"/>
      <c r="H1" s="1">
        <v>4</v>
      </c>
      <c r="I1" s="2"/>
      <c r="J1" s="2"/>
      <c r="K1" s="2"/>
      <c r="L1" s="2"/>
      <c r="M1" s="2"/>
      <c r="N1" s="2"/>
      <c r="O1" s="2"/>
      <c r="P1" s="1">
        <v>5</v>
      </c>
      <c r="Q1" s="2"/>
      <c r="R1" s="2"/>
      <c r="S1" s="2"/>
      <c r="T1" s="2"/>
      <c r="U1" s="2"/>
      <c r="V1" s="2"/>
      <c r="W1" s="2"/>
      <c r="X1" s="3">
        <v>6</v>
      </c>
      <c r="Y1" s="2"/>
      <c r="Z1" s="2"/>
      <c r="AA1" s="1">
        <v>7</v>
      </c>
      <c r="AB1" s="2"/>
      <c r="AC1" s="2"/>
      <c r="AD1" s="1">
        <v>8</v>
      </c>
      <c r="AE1" s="2"/>
      <c r="AF1" s="2"/>
      <c r="AG1" s="2"/>
      <c r="AH1" s="2"/>
      <c r="AI1" s="2"/>
      <c r="AJ1" s="2"/>
      <c r="AK1" s="2"/>
      <c r="AL1" s="2"/>
      <c r="AM1" s="1">
        <v>9</v>
      </c>
      <c r="AN1" s="2"/>
      <c r="AO1" s="2"/>
      <c r="AP1" s="2"/>
      <c r="AQ1" s="2"/>
      <c r="AR1" s="2"/>
      <c r="AS1" s="2"/>
      <c r="AT1" s="2"/>
      <c r="AU1" s="2"/>
      <c r="AV1" s="2"/>
      <c r="AW1" s="1">
        <v>10</v>
      </c>
      <c r="AX1" s="2"/>
      <c r="AY1" s="2"/>
      <c r="AZ1" s="2"/>
      <c r="BA1" s="2"/>
      <c r="BB1" s="2"/>
      <c r="BC1" s="2"/>
      <c r="BD1" s="2"/>
      <c r="BE1" s="1">
        <v>11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70.5" thickBot="1" x14ac:dyDescent="0.4">
      <c r="A2" s="42" t="s">
        <v>186</v>
      </c>
      <c r="B2" s="42" t="s">
        <v>0</v>
      </c>
      <c r="C2" s="42" t="s">
        <v>187</v>
      </c>
      <c r="D2" s="42" t="s">
        <v>188</v>
      </c>
      <c r="E2" s="42" t="s">
        <v>189</v>
      </c>
      <c r="F2" s="42" t="s">
        <v>1</v>
      </c>
      <c r="G2" s="2"/>
      <c r="H2" s="50" t="s">
        <v>3</v>
      </c>
      <c r="I2" s="50" t="s">
        <v>166</v>
      </c>
      <c r="J2" s="50" t="s">
        <v>4</v>
      </c>
      <c r="K2" s="53" t="s">
        <v>5</v>
      </c>
      <c r="L2" s="53"/>
      <c r="M2" s="53"/>
      <c r="N2" s="5"/>
      <c r="O2" s="2"/>
      <c r="P2" s="42" t="s">
        <v>7</v>
      </c>
      <c r="Q2" s="42" t="s">
        <v>4</v>
      </c>
      <c r="R2" s="45" t="s">
        <v>167</v>
      </c>
      <c r="S2" s="46"/>
      <c r="T2" s="46"/>
      <c r="U2" s="47"/>
      <c r="V2" s="42" t="s">
        <v>8</v>
      </c>
      <c r="W2" s="2"/>
      <c r="X2" s="6" t="s">
        <v>14</v>
      </c>
      <c r="Y2" s="7" t="s">
        <v>136</v>
      </c>
      <c r="Z2" s="2"/>
      <c r="AA2" s="8" t="s">
        <v>18</v>
      </c>
      <c r="AB2" s="9" t="s">
        <v>19</v>
      </c>
      <c r="AC2" s="2"/>
      <c r="AD2" s="42" t="s">
        <v>3</v>
      </c>
      <c r="AE2" s="42" t="s">
        <v>22</v>
      </c>
      <c r="AF2" s="42" t="s">
        <v>38</v>
      </c>
      <c r="AG2" s="45" t="s">
        <v>23</v>
      </c>
      <c r="AH2" s="46"/>
      <c r="AI2" s="46"/>
      <c r="AJ2" s="47"/>
      <c r="AK2" s="42" t="s">
        <v>24</v>
      </c>
      <c r="AL2" s="2"/>
      <c r="AM2" s="42" t="s">
        <v>3</v>
      </c>
      <c r="AN2" s="42" t="s">
        <v>22</v>
      </c>
      <c r="AO2" s="42" t="s">
        <v>25</v>
      </c>
      <c r="AP2" s="45" t="s">
        <v>26</v>
      </c>
      <c r="AQ2" s="46"/>
      <c r="AR2" s="46"/>
      <c r="AS2" s="47"/>
      <c r="AT2" s="9" t="s">
        <v>24</v>
      </c>
      <c r="AU2" s="5"/>
      <c r="AV2" s="2"/>
      <c r="AW2" s="2"/>
      <c r="AX2" s="2"/>
      <c r="AY2" s="2"/>
      <c r="AZ2" s="2"/>
      <c r="BA2" s="2"/>
      <c r="BB2" s="2"/>
      <c r="BC2" s="2"/>
      <c r="BD2" s="2"/>
      <c r="BE2" s="42" t="s">
        <v>28</v>
      </c>
      <c r="BF2" s="42" t="s">
        <v>29</v>
      </c>
      <c r="BG2" s="45" t="s">
        <v>30</v>
      </c>
      <c r="BH2" s="46"/>
      <c r="BI2" s="46"/>
      <c r="BJ2" s="47"/>
      <c r="BK2" s="45" t="s">
        <v>31</v>
      </c>
      <c r="BL2" s="46"/>
      <c r="BM2" s="46"/>
      <c r="BN2" s="47"/>
      <c r="BO2" s="42" t="s">
        <v>150</v>
      </c>
      <c r="BP2" s="2"/>
      <c r="BQ2" s="2"/>
    </row>
    <row r="3" spans="1:69" ht="70.5" thickBot="1" x14ac:dyDescent="0.4">
      <c r="A3" s="43"/>
      <c r="B3" s="43"/>
      <c r="C3" s="43"/>
      <c r="D3" s="43"/>
      <c r="E3" s="43"/>
      <c r="F3" s="43"/>
      <c r="G3" s="2"/>
      <c r="H3" s="51"/>
      <c r="I3" s="51"/>
      <c r="J3" s="51"/>
      <c r="K3" s="6" t="s">
        <v>6</v>
      </c>
      <c r="L3" s="6" t="s">
        <v>2</v>
      </c>
      <c r="M3" s="6" t="s">
        <v>133</v>
      </c>
      <c r="N3" s="5"/>
      <c r="O3" s="2"/>
      <c r="P3" s="43"/>
      <c r="Q3" s="43"/>
      <c r="R3" s="10" t="s">
        <v>9</v>
      </c>
      <c r="S3" s="10" t="s">
        <v>10</v>
      </c>
      <c r="T3" s="10" t="s">
        <v>11</v>
      </c>
      <c r="U3" s="10" t="s">
        <v>12</v>
      </c>
      <c r="V3" s="43"/>
      <c r="W3" s="2"/>
      <c r="X3" s="11" t="s">
        <v>15</v>
      </c>
      <c r="Y3" s="12" t="s">
        <v>165</v>
      </c>
      <c r="Z3" s="2"/>
      <c r="AA3" s="13" t="s">
        <v>20</v>
      </c>
      <c r="AB3" s="10">
        <f>2*AB4/1.2</f>
        <v>3400</v>
      </c>
      <c r="AC3" s="2"/>
      <c r="AD3" s="43"/>
      <c r="AE3" s="43"/>
      <c r="AF3" s="43"/>
      <c r="AG3" s="10" t="s">
        <v>9</v>
      </c>
      <c r="AH3" s="10" t="s">
        <v>10</v>
      </c>
      <c r="AI3" s="10" t="s">
        <v>11</v>
      </c>
      <c r="AJ3" s="10" t="s">
        <v>12</v>
      </c>
      <c r="AK3" s="43"/>
      <c r="AL3" s="2"/>
      <c r="AM3" s="43"/>
      <c r="AN3" s="43"/>
      <c r="AO3" s="43"/>
      <c r="AP3" s="10" t="s">
        <v>9</v>
      </c>
      <c r="AQ3" s="10" t="s">
        <v>10</v>
      </c>
      <c r="AR3" s="10" t="s">
        <v>11</v>
      </c>
      <c r="AS3" s="10" t="s">
        <v>12</v>
      </c>
      <c r="AT3" s="10"/>
      <c r="AU3" s="5"/>
      <c r="AV3" s="2"/>
      <c r="AW3" s="2"/>
      <c r="AX3" s="2"/>
      <c r="AY3" s="2"/>
      <c r="AZ3" s="2"/>
      <c r="BA3" s="2"/>
      <c r="BB3" s="2"/>
      <c r="BC3" s="2"/>
      <c r="BD3" s="2"/>
      <c r="BE3" s="44"/>
      <c r="BF3" s="44"/>
      <c r="BG3" s="14" t="s">
        <v>144</v>
      </c>
      <c r="BH3" s="14" t="s">
        <v>145</v>
      </c>
      <c r="BI3" s="14" t="s">
        <v>146</v>
      </c>
      <c r="BJ3" s="14" t="s">
        <v>147</v>
      </c>
      <c r="BK3" s="14" t="s">
        <v>148</v>
      </c>
      <c r="BL3" s="14" t="s">
        <v>149</v>
      </c>
      <c r="BM3" s="14" t="s">
        <v>146</v>
      </c>
      <c r="BN3" s="14" t="s">
        <v>147</v>
      </c>
      <c r="BO3" s="44"/>
      <c r="BP3" s="2"/>
      <c r="BQ3" s="2"/>
    </row>
    <row r="4" spans="1:69" ht="70.5" thickBot="1" x14ac:dyDescent="0.4">
      <c r="A4" s="14" t="s">
        <v>128</v>
      </c>
      <c r="B4" s="15" t="s">
        <v>123</v>
      </c>
      <c r="C4" s="15" t="s">
        <v>126</v>
      </c>
      <c r="D4" s="15" t="s">
        <v>124</v>
      </c>
      <c r="E4" s="15" t="s">
        <v>125</v>
      </c>
      <c r="F4" s="15" t="s">
        <v>122</v>
      </c>
      <c r="G4" s="2"/>
      <c r="H4" s="11">
        <v>1</v>
      </c>
      <c r="I4" s="12" t="s">
        <v>168</v>
      </c>
      <c r="J4" s="12" t="s">
        <v>135</v>
      </c>
      <c r="K4" s="6">
        <v>1000</v>
      </c>
      <c r="L4" s="6">
        <v>1500</v>
      </c>
      <c r="M4" s="6">
        <v>1500</v>
      </c>
      <c r="N4" s="5"/>
      <c r="O4" s="2"/>
      <c r="P4" s="13" t="str">
        <f>$I$4</f>
        <v>Снятие игровой комнаты на час</v>
      </c>
      <c r="Q4" s="10" t="str">
        <f>$J4</f>
        <v>шт.</v>
      </c>
      <c r="R4" s="10">
        <f>13*2</f>
        <v>26</v>
      </c>
      <c r="S4" s="10">
        <f>13*3</f>
        <v>39</v>
      </c>
      <c r="T4" s="10">
        <f>13*3</f>
        <v>39</v>
      </c>
      <c r="U4" s="10">
        <f>13*3</f>
        <v>39</v>
      </c>
      <c r="V4" s="10">
        <f>SUM(R4:U4)</f>
        <v>143</v>
      </c>
      <c r="W4" s="2"/>
      <c r="X4" s="16" t="s">
        <v>137</v>
      </c>
      <c r="Y4" s="16" t="s">
        <v>138</v>
      </c>
      <c r="Z4" s="2"/>
      <c r="AA4" s="13" t="s">
        <v>21</v>
      </c>
      <c r="AB4" s="10">
        <f>255*8</f>
        <v>2040</v>
      </c>
      <c r="AC4" s="2"/>
      <c r="AD4" s="13">
        <v>1</v>
      </c>
      <c r="AE4" s="13" t="str">
        <f>$I4</f>
        <v>Снятие игровой комнаты на час</v>
      </c>
      <c r="AF4" s="10" t="str">
        <f>$J4</f>
        <v>шт.</v>
      </c>
      <c r="AG4" s="10">
        <f t="shared" ref="AG4:AK6" si="0">R4</f>
        <v>26</v>
      </c>
      <c r="AH4" s="10">
        <f t="shared" si="0"/>
        <v>39</v>
      </c>
      <c r="AI4" s="10">
        <f t="shared" si="0"/>
        <v>39</v>
      </c>
      <c r="AJ4" s="10">
        <f t="shared" si="0"/>
        <v>39</v>
      </c>
      <c r="AK4" s="10">
        <f t="shared" si="0"/>
        <v>143</v>
      </c>
      <c r="AL4" s="2"/>
      <c r="AM4" s="13">
        <v>1</v>
      </c>
      <c r="AN4" s="13" t="str">
        <f>$I4</f>
        <v>Снятие игровой комнаты на час</v>
      </c>
      <c r="AO4" s="6">
        <f>$K4</f>
        <v>1000</v>
      </c>
      <c r="AP4" s="10">
        <f>AG4*$AO$4</f>
        <v>26000</v>
      </c>
      <c r="AQ4" s="10">
        <f>AH4*$AO$4</f>
        <v>39000</v>
      </c>
      <c r="AR4" s="10">
        <f>AI4*$AO$4</f>
        <v>39000</v>
      </c>
      <c r="AS4" s="10">
        <f>AJ4*$AO$4</f>
        <v>39000</v>
      </c>
      <c r="AT4" s="10">
        <f>AK4*$AO4</f>
        <v>143000</v>
      </c>
      <c r="AU4" s="5"/>
      <c r="AV4" s="2"/>
      <c r="AW4" s="2"/>
      <c r="AX4" s="17">
        <f>AT4/AT6*100</f>
        <v>24.581005586592177</v>
      </c>
      <c r="AY4" s="2"/>
      <c r="AZ4" s="2"/>
      <c r="BA4" s="2"/>
      <c r="BB4" s="2"/>
      <c r="BC4" s="2"/>
      <c r="BD4" s="2"/>
      <c r="BE4" s="13">
        <v>1</v>
      </c>
      <c r="BF4" s="10">
        <v>2</v>
      </c>
      <c r="BG4" s="10">
        <v>3</v>
      </c>
      <c r="BH4" s="10">
        <v>4</v>
      </c>
      <c r="BI4" s="10">
        <v>5</v>
      </c>
      <c r="BJ4" s="10">
        <v>6</v>
      </c>
      <c r="BK4" s="10">
        <v>7</v>
      </c>
      <c r="BL4" s="10">
        <v>8</v>
      </c>
      <c r="BM4" s="10">
        <v>9</v>
      </c>
      <c r="BN4" s="10">
        <v>10</v>
      </c>
      <c r="BO4" s="10" t="s">
        <v>190</v>
      </c>
      <c r="BP4" s="2"/>
      <c r="BQ4" s="2"/>
    </row>
    <row r="5" spans="1:69" ht="47.25" thickBot="1" x14ac:dyDescent="0.4">
      <c r="A5" s="18" t="s">
        <v>130</v>
      </c>
      <c r="B5" s="19" t="s">
        <v>129</v>
      </c>
      <c r="C5" s="19" t="s">
        <v>131</v>
      </c>
      <c r="D5" s="19" t="s">
        <v>124</v>
      </c>
      <c r="E5" s="19" t="s">
        <v>120</v>
      </c>
      <c r="F5" s="19" t="s">
        <v>127</v>
      </c>
      <c r="G5" s="2"/>
      <c r="H5" s="11">
        <v>2</v>
      </c>
      <c r="I5" s="12" t="s">
        <v>134</v>
      </c>
      <c r="J5" s="12" t="s">
        <v>135</v>
      </c>
      <c r="K5" s="6">
        <v>250</v>
      </c>
      <c r="L5" s="6">
        <v>250</v>
      </c>
      <c r="M5" s="6">
        <v>300</v>
      </c>
      <c r="N5" s="5"/>
      <c r="O5" s="2"/>
      <c r="P5" s="13" t="str">
        <f>$I$5</f>
        <v>Покупка места в игру</v>
      </c>
      <c r="Q5" s="10" t="str">
        <f>$J5</f>
        <v>шт.</v>
      </c>
      <c r="R5" s="10">
        <f>13*30</f>
        <v>390</v>
      </c>
      <c r="S5" s="10">
        <f>13*35</f>
        <v>455</v>
      </c>
      <c r="T5" s="10">
        <f>13*35</f>
        <v>455</v>
      </c>
      <c r="U5" s="10">
        <f>13*35</f>
        <v>455</v>
      </c>
      <c r="V5" s="10">
        <f>SUM(R5:U5)</f>
        <v>1755</v>
      </c>
      <c r="W5" s="2"/>
      <c r="X5" s="6" t="s">
        <v>16</v>
      </c>
      <c r="Y5" s="6" t="s">
        <v>140</v>
      </c>
      <c r="Z5" s="2"/>
      <c r="AA5" s="2"/>
      <c r="AB5" s="2"/>
      <c r="AC5" s="2"/>
      <c r="AD5" s="13">
        <v>2</v>
      </c>
      <c r="AE5" s="13" t="str">
        <f>$I5</f>
        <v>Покупка места в игру</v>
      </c>
      <c r="AF5" s="10" t="str">
        <f>$J5</f>
        <v>шт.</v>
      </c>
      <c r="AG5" s="10">
        <f t="shared" si="0"/>
        <v>390</v>
      </c>
      <c r="AH5" s="10">
        <f t="shared" si="0"/>
        <v>455</v>
      </c>
      <c r="AI5" s="10">
        <f t="shared" si="0"/>
        <v>455</v>
      </c>
      <c r="AJ5" s="10">
        <f t="shared" si="0"/>
        <v>455</v>
      </c>
      <c r="AK5" s="10">
        <f t="shared" si="0"/>
        <v>1755</v>
      </c>
      <c r="AL5" s="2"/>
      <c r="AM5" s="13">
        <v>2</v>
      </c>
      <c r="AN5" s="13" t="str">
        <f>$I5</f>
        <v>Покупка места в игру</v>
      </c>
      <c r="AO5" s="6">
        <f>$K5</f>
        <v>250</v>
      </c>
      <c r="AP5" s="10">
        <f>AG5*$AO$5</f>
        <v>97500</v>
      </c>
      <c r="AQ5" s="10">
        <f>AH5*$AO$5</f>
        <v>113750</v>
      </c>
      <c r="AR5" s="10">
        <f>AI5*$AO$5</f>
        <v>113750</v>
      </c>
      <c r="AS5" s="10">
        <f>AJ5*$AO$5</f>
        <v>113750</v>
      </c>
      <c r="AT5" s="10">
        <f>AK5*$AO5</f>
        <v>438750</v>
      </c>
      <c r="AU5" s="5"/>
      <c r="AV5" s="2"/>
      <c r="AW5" s="2"/>
      <c r="AX5" s="17">
        <f>AT5/AT6*100</f>
        <v>75.41899441340783</v>
      </c>
      <c r="AY5" s="2"/>
      <c r="AZ5" s="2"/>
      <c r="BA5" s="2"/>
      <c r="BB5" s="2"/>
      <c r="BC5" s="2"/>
      <c r="BD5" s="2"/>
      <c r="BE5" s="13" t="s">
        <v>161</v>
      </c>
      <c r="BF5" s="20" t="s">
        <v>143</v>
      </c>
      <c r="BG5" s="20"/>
      <c r="BH5" s="20"/>
      <c r="BI5" s="20"/>
      <c r="BJ5" s="20"/>
      <c r="BK5" s="20"/>
      <c r="BL5" s="20"/>
      <c r="BM5" s="20"/>
      <c r="BN5" s="20"/>
      <c r="BO5" s="20"/>
      <c r="BP5" s="2"/>
      <c r="BQ5" s="2"/>
    </row>
    <row r="6" spans="1:69" ht="47.25" thickBot="1" x14ac:dyDescent="0.4">
      <c r="A6" s="14" t="s">
        <v>121</v>
      </c>
      <c r="B6" s="15" t="s">
        <v>132</v>
      </c>
      <c r="C6" s="15" t="s">
        <v>174</v>
      </c>
      <c r="D6" s="15" t="s">
        <v>124</v>
      </c>
      <c r="E6" s="15" t="s">
        <v>120</v>
      </c>
      <c r="F6" s="15" t="s">
        <v>127</v>
      </c>
      <c r="G6" s="2"/>
      <c r="H6" s="11"/>
      <c r="I6" s="12"/>
      <c r="J6" s="12"/>
      <c r="K6" s="6"/>
      <c r="L6" s="6"/>
      <c r="M6" s="6"/>
      <c r="N6" s="5"/>
      <c r="O6" s="2"/>
      <c r="P6" s="14" t="s">
        <v>13</v>
      </c>
      <c r="Q6" s="10" t="str">
        <f>$J4</f>
        <v>шт.</v>
      </c>
      <c r="R6" s="15">
        <f>SUM(R4:R5)</f>
        <v>416</v>
      </c>
      <c r="S6" s="15">
        <f>SUM(S4:S5)</f>
        <v>494</v>
      </c>
      <c r="T6" s="15">
        <f>SUM(T4:T5)</f>
        <v>494</v>
      </c>
      <c r="U6" s="15">
        <f>SUM(U4:U5)</f>
        <v>494</v>
      </c>
      <c r="V6" s="15">
        <f>SUM(V4:V5)</f>
        <v>1898</v>
      </c>
      <c r="W6" s="2"/>
      <c r="X6" s="21" t="s">
        <v>17</v>
      </c>
      <c r="Y6" s="22" t="s">
        <v>139</v>
      </c>
      <c r="Z6" s="2"/>
      <c r="AA6" s="2"/>
      <c r="AB6" s="2"/>
      <c r="AC6" s="2"/>
      <c r="AD6" s="23"/>
      <c r="AE6" s="24" t="s">
        <v>13</v>
      </c>
      <c r="AF6" s="24" t="str">
        <f>$J4</f>
        <v>шт.</v>
      </c>
      <c r="AG6" s="10">
        <f t="shared" si="0"/>
        <v>416</v>
      </c>
      <c r="AH6" s="10">
        <f t="shared" si="0"/>
        <v>494</v>
      </c>
      <c r="AI6" s="10">
        <f t="shared" si="0"/>
        <v>494</v>
      </c>
      <c r="AJ6" s="10">
        <f t="shared" si="0"/>
        <v>494</v>
      </c>
      <c r="AK6" s="10">
        <f t="shared" si="0"/>
        <v>1898</v>
      </c>
      <c r="AL6" s="2"/>
      <c r="AM6" s="14"/>
      <c r="AN6" s="15" t="s">
        <v>13</v>
      </c>
      <c r="AO6" s="10"/>
      <c r="AP6" s="10">
        <f>SUM(AP4:AP5)</f>
        <v>123500</v>
      </c>
      <c r="AQ6" s="10">
        <f>SUM(AQ4:AQ5)</f>
        <v>152750</v>
      </c>
      <c r="AR6" s="10">
        <f>SUM(AR4:AR5)</f>
        <v>152750</v>
      </c>
      <c r="AS6" s="10">
        <f>SUM(AS4:AS5)</f>
        <v>152750</v>
      </c>
      <c r="AT6" s="10">
        <f>SUM(AT4:AT5)</f>
        <v>581750</v>
      </c>
      <c r="AU6" s="5"/>
      <c r="AV6" s="2"/>
      <c r="AW6" s="2"/>
      <c r="AX6" s="2"/>
      <c r="AY6" s="2"/>
      <c r="AZ6" s="2"/>
      <c r="BA6" s="2"/>
      <c r="BB6" s="2"/>
      <c r="BC6" s="2"/>
      <c r="BD6" s="2"/>
      <c r="BE6" s="13" t="s">
        <v>141</v>
      </c>
      <c r="BF6" s="20" t="s">
        <v>143</v>
      </c>
      <c r="BG6" s="25">
        <v>0.2</v>
      </c>
      <c r="BH6" s="25">
        <f>5.6215*BG6</f>
        <v>1.1243000000000001</v>
      </c>
      <c r="BI6" s="20">
        <f>$AK$5</f>
        <v>1755</v>
      </c>
      <c r="BJ6" s="20">
        <f>BH6*BI6</f>
        <v>1973.1465000000001</v>
      </c>
      <c r="BK6" s="25"/>
      <c r="BL6" s="25"/>
      <c r="BM6" s="20"/>
      <c r="BN6" s="20"/>
      <c r="BO6" s="20"/>
      <c r="BP6" s="2"/>
      <c r="BQ6" s="2"/>
    </row>
    <row r="7" spans="1:69" ht="24" thickBot="1" x14ac:dyDescent="0.4">
      <c r="A7" s="5"/>
      <c r="B7" s="5"/>
      <c r="C7" s="5"/>
      <c r="D7" s="5"/>
      <c r="E7" s="5"/>
      <c r="F7" s="5"/>
      <c r="G7" s="2"/>
      <c r="H7" s="11"/>
      <c r="I7" s="12"/>
      <c r="J7" s="12"/>
      <c r="K7" s="6"/>
      <c r="L7" s="6"/>
      <c r="M7" s="6"/>
      <c r="N7" s="5"/>
      <c r="O7" s="2"/>
      <c r="P7" s="5"/>
      <c r="Q7" s="5"/>
      <c r="R7" s="5"/>
      <c r="S7" s="5"/>
      <c r="T7" s="5"/>
      <c r="U7" s="5"/>
      <c r="V7" s="5"/>
      <c r="W7" s="2"/>
      <c r="X7" s="26"/>
      <c r="Y7" s="26"/>
      <c r="Z7" s="2"/>
      <c r="AA7" s="2"/>
      <c r="AB7" s="2"/>
      <c r="AC7" s="2"/>
      <c r="AD7" s="27"/>
      <c r="AE7" s="27"/>
      <c r="AF7" s="27"/>
      <c r="AG7" s="27"/>
      <c r="AH7" s="27"/>
      <c r="AI7" s="27"/>
      <c r="AJ7" s="27"/>
      <c r="AK7" s="27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13" t="s">
        <v>142</v>
      </c>
      <c r="BF7" s="20" t="s">
        <v>143</v>
      </c>
      <c r="BG7" s="25">
        <v>0.15</v>
      </c>
      <c r="BH7" s="25">
        <f>5.6215*$BG$7</f>
        <v>0.843225</v>
      </c>
      <c r="BI7" s="20">
        <f>$AK$5</f>
        <v>1755</v>
      </c>
      <c r="BJ7" s="20">
        <f>BH7*BI7</f>
        <v>1479.8598750000001</v>
      </c>
      <c r="BK7" s="25">
        <v>0.15</v>
      </c>
      <c r="BL7" s="25">
        <f>5.6215*BK7</f>
        <v>0.843225</v>
      </c>
      <c r="BM7" s="20">
        <f>AK4</f>
        <v>143</v>
      </c>
      <c r="BN7" s="20">
        <f>BL7*BM7</f>
        <v>120.581175</v>
      </c>
      <c r="BO7" s="20"/>
      <c r="BP7" s="2"/>
      <c r="BQ7" s="2"/>
    </row>
    <row r="8" spans="1:69" ht="24" thickBot="1" x14ac:dyDescent="0.4">
      <c r="A8" s="2"/>
      <c r="B8" s="2"/>
      <c r="C8" s="2"/>
      <c r="D8" s="2"/>
      <c r="E8" s="2"/>
      <c r="F8" s="2"/>
      <c r="G8" s="2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3">
        <v>15</v>
      </c>
      <c r="T8" s="3"/>
      <c r="U8" s="2"/>
      <c r="V8" s="2"/>
      <c r="W8" s="2"/>
      <c r="X8" s="2"/>
      <c r="Y8" s="2"/>
      <c r="Z8" s="5"/>
      <c r="AA8" s="2"/>
      <c r="AB8" s="1">
        <v>16</v>
      </c>
      <c r="AC8" s="2"/>
      <c r="AD8" s="2"/>
      <c r="AE8" s="5"/>
      <c r="AF8" s="5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3" t="s">
        <v>151</v>
      </c>
      <c r="BF8" s="20" t="s">
        <v>143</v>
      </c>
      <c r="BG8" s="25">
        <v>0.2</v>
      </c>
      <c r="BH8" s="25">
        <f>5.6215*$BG$8</f>
        <v>1.1243000000000001</v>
      </c>
      <c r="BI8" s="20">
        <f>$AK$5</f>
        <v>1755</v>
      </c>
      <c r="BJ8" s="20">
        <f>BH8*BI8</f>
        <v>1973.1465000000001</v>
      </c>
      <c r="BK8" s="25"/>
      <c r="BL8" s="25"/>
      <c r="BM8" s="20"/>
      <c r="BN8" s="20"/>
      <c r="BO8" s="20"/>
      <c r="BP8" s="2"/>
      <c r="BQ8" s="2"/>
    </row>
    <row r="9" spans="1:69" ht="24" thickBot="1" x14ac:dyDescent="0.4">
      <c r="A9" s="16" t="s">
        <v>35</v>
      </c>
      <c r="B9" s="50" t="s">
        <v>36</v>
      </c>
      <c r="C9" s="50" t="s">
        <v>38</v>
      </c>
      <c r="D9" s="48" t="s">
        <v>39</v>
      </c>
      <c r="E9" s="49"/>
      <c r="F9" s="2"/>
      <c r="G9" s="8" t="s">
        <v>18</v>
      </c>
      <c r="H9" s="9" t="s">
        <v>43</v>
      </c>
      <c r="I9" s="9" t="s">
        <v>44</v>
      </c>
      <c r="J9" s="9" t="s">
        <v>45</v>
      </c>
      <c r="K9" s="9" t="s">
        <v>46</v>
      </c>
      <c r="L9" s="2"/>
      <c r="M9" s="42" t="s">
        <v>3</v>
      </c>
      <c r="N9" s="42" t="s">
        <v>48</v>
      </c>
      <c r="O9" s="45" t="s">
        <v>49</v>
      </c>
      <c r="P9" s="46"/>
      <c r="Q9" s="47"/>
      <c r="R9" s="2"/>
      <c r="S9" s="50" t="s">
        <v>3</v>
      </c>
      <c r="T9" s="50" t="s">
        <v>63</v>
      </c>
      <c r="U9" s="48" t="s">
        <v>64</v>
      </c>
      <c r="V9" s="56"/>
      <c r="W9" s="56"/>
      <c r="X9" s="56"/>
      <c r="Y9" s="49"/>
      <c r="Z9" s="5"/>
      <c r="AA9" s="54" t="s">
        <v>3</v>
      </c>
      <c r="AB9" s="54" t="s">
        <v>72</v>
      </c>
      <c r="AC9" s="57" t="s">
        <v>64</v>
      </c>
      <c r="AD9" s="58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13"/>
      <c r="BF9" s="20"/>
      <c r="BG9" s="25"/>
      <c r="BH9" s="25"/>
      <c r="BI9" s="20"/>
      <c r="BJ9" s="20"/>
      <c r="BK9" s="25"/>
      <c r="BL9" s="25"/>
      <c r="BM9" s="20"/>
      <c r="BN9" s="25"/>
      <c r="BO9" s="25"/>
      <c r="BP9" s="2"/>
      <c r="BQ9" s="2"/>
    </row>
    <row r="10" spans="1:69" ht="24" thickBot="1" x14ac:dyDescent="0.4">
      <c r="A10" s="11" t="s">
        <v>37</v>
      </c>
      <c r="B10" s="51"/>
      <c r="C10" s="51"/>
      <c r="D10" s="12" t="s">
        <v>40</v>
      </c>
      <c r="E10" s="12" t="s">
        <v>41</v>
      </c>
      <c r="F10" s="2"/>
      <c r="G10" s="13" t="s">
        <v>153</v>
      </c>
      <c r="H10" s="10">
        <f>56000*2</f>
        <v>112000</v>
      </c>
      <c r="I10" s="10">
        <v>5</v>
      </c>
      <c r="J10" s="10">
        <f>100/I10</f>
        <v>20</v>
      </c>
      <c r="K10" s="10">
        <f>H10*J10/100</f>
        <v>22400</v>
      </c>
      <c r="L10" s="2"/>
      <c r="M10" s="52"/>
      <c r="N10" s="52"/>
      <c r="O10" s="42" t="s">
        <v>27</v>
      </c>
      <c r="P10" s="45" t="s">
        <v>50</v>
      </c>
      <c r="Q10" s="47"/>
      <c r="R10" s="2"/>
      <c r="S10" s="51"/>
      <c r="T10" s="51"/>
      <c r="U10" s="12" t="s">
        <v>9</v>
      </c>
      <c r="V10" s="7" t="s">
        <v>10</v>
      </c>
      <c r="W10" s="7" t="s">
        <v>11</v>
      </c>
      <c r="X10" s="7" t="s">
        <v>12</v>
      </c>
      <c r="Y10" s="7" t="s">
        <v>65</v>
      </c>
      <c r="Z10" s="5"/>
      <c r="AA10" s="55"/>
      <c r="AB10" s="55"/>
      <c r="AC10" s="28" t="s">
        <v>40</v>
      </c>
      <c r="AD10" s="28" t="s">
        <v>41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9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"/>
      <c r="BQ10" s="2"/>
    </row>
    <row r="11" spans="1:69" ht="24" thickBot="1" x14ac:dyDescent="0.4">
      <c r="A11" s="11">
        <v>1</v>
      </c>
      <c r="B11" s="12" t="s">
        <v>178</v>
      </c>
      <c r="C11" s="12" t="s">
        <v>152</v>
      </c>
      <c r="D11" s="12">
        <v>100</v>
      </c>
      <c r="E11" s="12">
        <f>D11*4</f>
        <v>400</v>
      </c>
      <c r="F11" s="2"/>
      <c r="G11" s="13" t="s">
        <v>183</v>
      </c>
      <c r="H11" s="30">
        <f>53000+77000+31500</f>
        <v>161500</v>
      </c>
      <c r="I11" s="10">
        <v>5</v>
      </c>
      <c r="J11" s="10">
        <f>100/I11</f>
        <v>20</v>
      </c>
      <c r="K11" s="10">
        <f>H11*J11/100</f>
        <v>32300</v>
      </c>
      <c r="L11" s="2"/>
      <c r="M11" s="43"/>
      <c r="N11" s="43"/>
      <c r="O11" s="43"/>
      <c r="P11" s="10" t="s">
        <v>51</v>
      </c>
      <c r="Q11" s="10" t="s">
        <v>52</v>
      </c>
      <c r="R11" s="2"/>
      <c r="S11" s="13">
        <v>1</v>
      </c>
      <c r="T11" s="12" t="s">
        <v>53</v>
      </c>
      <c r="U11" s="12"/>
      <c r="V11" s="12"/>
      <c r="W11" s="12"/>
      <c r="X11" s="12"/>
      <c r="Y11" s="10"/>
      <c r="Z11" s="2"/>
      <c r="AA11" s="31">
        <v>1</v>
      </c>
      <c r="AB11" s="28" t="s">
        <v>73</v>
      </c>
      <c r="AC11" s="32">
        <f>AD11/4</f>
        <v>145437.5</v>
      </c>
      <c r="AD11" s="32">
        <f>AT6</f>
        <v>581750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9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2"/>
      <c r="BQ11" s="2"/>
    </row>
    <row r="12" spans="1:69" ht="24" thickBot="1" x14ac:dyDescent="0.4">
      <c r="A12" s="11">
        <v>2</v>
      </c>
      <c r="B12" s="12" t="s">
        <v>176</v>
      </c>
      <c r="C12" s="12" t="s">
        <v>152</v>
      </c>
      <c r="D12" s="12">
        <f>890*3</f>
        <v>2670</v>
      </c>
      <c r="E12" s="12">
        <f>D12*4</f>
        <v>10680</v>
      </c>
      <c r="F12" s="2"/>
      <c r="G12" s="13"/>
      <c r="H12" s="10"/>
      <c r="I12" s="10"/>
      <c r="J12" s="10"/>
      <c r="K12" s="10"/>
      <c r="L12" s="2"/>
      <c r="M12" s="13">
        <v>1</v>
      </c>
      <c r="N12" s="12" t="s">
        <v>53</v>
      </c>
      <c r="O12" s="10"/>
      <c r="P12" s="10"/>
      <c r="Q12" s="10"/>
      <c r="R12" s="2"/>
      <c r="S12" s="34" t="str">
        <f>"1.1"</f>
        <v>1.1</v>
      </c>
      <c r="T12" s="12" t="s">
        <v>54</v>
      </c>
      <c r="U12" s="35">
        <f>AG5*$BH$6+$BH$7*AG5+$BL$7*AG4+AG5*$BH$8</f>
        <v>1227.7356</v>
      </c>
      <c r="V12" s="35">
        <f>AH5*$BH$6+$BH$7*AH5+$BL$7*AH4+AH5*$BH$8</f>
        <v>1439.66615</v>
      </c>
      <c r="W12" s="35">
        <f>AI5*$BH$6+$BH$7*AI5+$BL$7*AI4+AI5*$BH$8</f>
        <v>1439.66615</v>
      </c>
      <c r="X12" s="35">
        <f>AJ5*$BH$6+$BH$7*AJ5+$BL$7*AJ4+AJ5*$BH$8</f>
        <v>1439.66615</v>
      </c>
      <c r="Y12" s="36">
        <f>SUM(U12:X12)</f>
        <v>5546.73405</v>
      </c>
      <c r="Z12" s="2"/>
      <c r="AA12" s="31">
        <v>2</v>
      </c>
      <c r="AB12" s="28" t="s">
        <v>74</v>
      </c>
      <c r="AC12" s="32">
        <f>AD12/4</f>
        <v>32831.6835125</v>
      </c>
      <c r="AD12" s="32">
        <f>Y27</f>
        <v>131326.73405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9"/>
      <c r="BF12" s="20"/>
      <c r="BG12" s="20"/>
      <c r="BH12" s="20"/>
      <c r="BI12" s="20"/>
      <c r="BJ12" s="20"/>
      <c r="BK12" s="20"/>
      <c r="BL12" s="20"/>
      <c r="BM12" s="20"/>
      <c r="BN12" s="20"/>
      <c r="BO12" s="20">
        <f>SUM(BJ13,BN13,)</f>
        <v>5546.73405</v>
      </c>
      <c r="BP12" s="2"/>
      <c r="BQ12" s="2"/>
    </row>
    <row r="13" spans="1:69" ht="24" thickBot="1" x14ac:dyDescent="0.4">
      <c r="A13" s="11">
        <v>3</v>
      </c>
      <c r="B13" s="12" t="s">
        <v>175</v>
      </c>
      <c r="C13" s="12" t="s">
        <v>152</v>
      </c>
      <c r="D13" s="12">
        <f>1500</f>
        <v>1500</v>
      </c>
      <c r="E13" s="12">
        <f>D13*4</f>
        <v>6000</v>
      </c>
      <c r="F13" s="2"/>
      <c r="G13" s="13" t="s">
        <v>47</v>
      </c>
      <c r="H13" s="10">
        <f>SUM(H10:H12)</f>
        <v>273500</v>
      </c>
      <c r="I13" s="10">
        <f>AVERAGE(I10:I12)</f>
        <v>5</v>
      </c>
      <c r="J13" s="10">
        <f>AVERAGE(J10:J12)</f>
        <v>20</v>
      </c>
      <c r="K13" s="10">
        <f>SUM(K10:K12)</f>
        <v>54700</v>
      </c>
      <c r="L13" s="2"/>
      <c r="M13" s="34" t="str">
        <f>"1.1"</f>
        <v>1.1</v>
      </c>
      <c r="N13" s="12" t="s">
        <v>54</v>
      </c>
      <c r="O13" s="10">
        <f>$BO$12</f>
        <v>5546.73405</v>
      </c>
      <c r="P13" s="10"/>
      <c r="Q13" s="10">
        <f>O13</f>
        <v>5546.73405</v>
      </c>
      <c r="R13" s="2"/>
      <c r="S13" s="34" t="str">
        <f>"1.2"</f>
        <v>1.2</v>
      </c>
      <c r="T13" s="12" t="s">
        <v>55</v>
      </c>
      <c r="U13" s="12">
        <f>$D$11+$D$12+$D$13+$D$14</f>
        <v>4770</v>
      </c>
      <c r="V13" s="12">
        <f>$D$11+$D$12+$D$13+$D$14</f>
        <v>4770</v>
      </c>
      <c r="W13" s="12">
        <f>$D$11+$D$12+$D$13+$D$14</f>
        <v>4770</v>
      </c>
      <c r="X13" s="12">
        <f>$D$11+$D$12+$D$13+$D$14</f>
        <v>4770</v>
      </c>
      <c r="Y13" s="10">
        <f>SUM(U13:X13)</f>
        <v>19080</v>
      </c>
      <c r="Z13" s="2"/>
      <c r="AA13" s="31">
        <v>3</v>
      </c>
      <c r="AB13" s="28" t="s">
        <v>75</v>
      </c>
      <c r="AC13" s="32">
        <f>AC11-AC12</f>
        <v>112605.81648750001</v>
      </c>
      <c r="AD13" s="32">
        <f>AD11-AD12</f>
        <v>450423.26595000003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13" t="s">
        <v>32</v>
      </c>
      <c r="BF13" s="10"/>
      <c r="BG13" s="10" t="s">
        <v>33</v>
      </c>
      <c r="BH13" s="10" t="s">
        <v>33</v>
      </c>
      <c r="BI13" s="10" t="s">
        <v>33</v>
      </c>
      <c r="BJ13" s="10">
        <f>SUM(BJ6:BJ12)</f>
        <v>5426.1528749999998</v>
      </c>
      <c r="BK13" s="10" t="s">
        <v>33</v>
      </c>
      <c r="BL13" s="10" t="s">
        <v>33</v>
      </c>
      <c r="BM13" s="10" t="s">
        <v>33</v>
      </c>
      <c r="BN13" s="10">
        <f>SUM(BN5:BN12)</f>
        <v>120.581175</v>
      </c>
      <c r="BO13" s="10" t="s">
        <v>34</v>
      </c>
      <c r="BP13" s="2"/>
      <c r="BQ13" s="2"/>
    </row>
    <row r="14" spans="1:69" ht="24" thickBot="1" x14ac:dyDescent="0.4">
      <c r="A14" s="11">
        <v>4</v>
      </c>
      <c r="B14" s="12" t="s">
        <v>177</v>
      </c>
      <c r="C14" s="12" t="s">
        <v>152</v>
      </c>
      <c r="D14" s="12">
        <f>500</f>
        <v>500</v>
      </c>
      <c r="E14" s="12">
        <f>D14*4</f>
        <v>2000</v>
      </c>
      <c r="F14" s="2"/>
      <c r="G14" s="2">
        <v>13</v>
      </c>
      <c r="H14" s="2"/>
      <c r="I14" s="2"/>
      <c r="J14" s="2"/>
      <c r="K14" s="2"/>
      <c r="L14" s="2"/>
      <c r="M14" s="34" t="str">
        <f>"1.2"</f>
        <v>1.2</v>
      </c>
      <c r="N14" s="12" t="s">
        <v>55</v>
      </c>
      <c r="O14" s="10">
        <f>$E$16</f>
        <v>43080</v>
      </c>
      <c r="P14" s="10"/>
      <c r="Q14" s="10">
        <f>O14</f>
        <v>43080</v>
      </c>
      <c r="R14" s="2"/>
      <c r="S14" s="13">
        <v>2</v>
      </c>
      <c r="T14" s="12" t="s">
        <v>56</v>
      </c>
      <c r="U14" s="10" t="s">
        <v>160</v>
      </c>
      <c r="V14" s="10" t="s">
        <v>160</v>
      </c>
      <c r="W14" s="10" t="s">
        <v>160</v>
      </c>
      <c r="X14" s="12" t="s">
        <v>160</v>
      </c>
      <c r="Y14" s="10"/>
      <c r="Z14" s="2"/>
      <c r="AA14" s="31">
        <v>4</v>
      </c>
      <c r="AB14" s="28" t="s">
        <v>155</v>
      </c>
      <c r="AC14" s="32">
        <f>AC13*0.04</f>
        <v>4504.2326595000004</v>
      </c>
      <c r="AD14" s="32">
        <f>AD13*0.04</f>
        <v>18016.930638000002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24" thickBot="1" x14ac:dyDescent="0.4">
      <c r="A15" s="11">
        <v>5</v>
      </c>
      <c r="B15" s="12" t="s">
        <v>182</v>
      </c>
      <c r="C15" s="12" t="s">
        <v>152</v>
      </c>
      <c r="D15" s="12">
        <v>6000</v>
      </c>
      <c r="E15" s="12">
        <f>D15*4</f>
        <v>24000</v>
      </c>
      <c r="F15" s="2"/>
      <c r="G15" s="2"/>
      <c r="H15" s="2"/>
      <c r="I15" s="2"/>
      <c r="J15" s="2"/>
      <c r="K15" s="2"/>
      <c r="L15" s="2"/>
      <c r="M15" s="13">
        <v>2</v>
      </c>
      <c r="N15" s="12" t="s">
        <v>56</v>
      </c>
      <c r="O15" s="10" t="s">
        <v>160</v>
      </c>
      <c r="P15" s="10" t="s">
        <v>160</v>
      </c>
      <c r="Q15" s="10" t="s">
        <v>160</v>
      </c>
      <c r="R15" s="2"/>
      <c r="S15" s="13">
        <v>3</v>
      </c>
      <c r="T15" s="12" t="s">
        <v>57</v>
      </c>
      <c r="U15" s="10" t="s">
        <v>160</v>
      </c>
      <c r="V15" s="10" t="s">
        <v>160</v>
      </c>
      <c r="W15" s="10" t="s">
        <v>160</v>
      </c>
      <c r="X15" s="12" t="s">
        <v>160</v>
      </c>
      <c r="Y15" s="10"/>
      <c r="Z15" s="2"/>
      <c r="AA15" s="31">
        <v>5</v>
      </c>
      <c r="AB15" s="28" t="s">
        <v>76</v>
      </c>
      <c r="AC15" s="32">
        <f>AC13-AC14</f>
        <v>108101.583828</v>
      </c>
      <c r="AD15" s="32">
        <f>AD13-AD14</f>
        <v>432406.33531200001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1">
        <v>20</v>
      </c>
      <c r="BD15" s="2"/>
      <c r="BE15" s="2"/>
      <c r="BF15" s="2"/>
      <c r="BG15" s="2"/>
      <c r="BH15" s="2"/>
      <c r="BI15" s="2"/>
      <c r="BJ15" s="2"/>
      <c r="BK15" s="2"/>
      <c r="BL15" s="1">
        <v>21</v>
      </c>
      <c r="BM15" s="2"/>
      <c r="BN15" s="2"/>
      <c r="BO15" s="2"/>
      <c r="BP15" s="2"/>
      <c r="BQ15" s="2"/>
    </row>
    <row r="16" spans="1:69" ht="24" thickBot="1" x14ac:dyDescent="0.4">
      <c r="A16" s="11"/>
      <c r="B16" s="12" t="s">
        <v>42</v>
      </c>
      <c r="C16" s="12" t="s">
        <v>152</v>
      </c>
      <c r="D16" s="12">
        <f>SUM(D11:D15)</f>
        <v>10770</v>
      </c>
      <c r="E16" s="12">
        <f>SUM(E11:E15)</f>
        <v>43080</v>
      </c>
      <c r="F16" s="2"/>
      <c r="G16" s="2"/>
      <c r="H16" s="2"/>
      <c r="I16" s="2"/>
      <c r="J16" s="2"/>
      <c r="K16" s="2"/>
      <c r="L16" s="2"/>
      <c r="M16" s="13">
        <v>3</v>
      </c>
      <c r="N16" s="12" t="s">
        <v>57</v>
      </c>
      <c r="O16" s="10" t="s">
        <v>160</v>
      </c>
      <c r="P16" s="10" t="s">
        <v>160</v>
      </c>
      <c r="Q16" s="10" t="s">
        <v>160</v>
      </c>
      <c r="R16" s="2"/>
      <c r="S16" s="13">
        <v>4</v>
      </c>
      <c r="T16" s="12" t="s">
        <v>58</v>
      </c>
      <c r="U16" s="12">
        <f>$Y$16/4</f>
        <v>13675</v>
      </c>
      <c r="V16" s="12">
        <f>$Y$16/4</f>
        <v>13675</v>
      </c>
      <c r="W16" s="12">
        <f>$Y$16/4</f>
        <v>13675</v>
      </c>
      <c r="X16" s="12">
        <f>$Y$16/4</f>
        <v>13675</v>
      </c>
      <c r="Y16" s="10">
        <f>$K$13</f>
        <v>54700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42" t="s">
        <v>3</v>
      </c>
      <c r="BC16" s="42" t="s">
        <v>7</v>
      </c>
      <c r="BD16" s="42" t="s">
        <v>38</v>
      </c>
      <c r="BE16" s="45" t="s">
        <v>64</v>
      </c>
      <c r="BF16" s="46"/>
      <c r="BG16" s="46"/>
      <c r="BH16" s="47"/>
      <c r="BI16" s="42" t="s">
        <v>24</v>
      </c>
      <c r="BJ16" s="2"/>
      <c r="BK16" s="50" t="s">
        <v>106</v>
      </c>
      <c r="BL16" s="48" t="s">
        <v>64</v>
      </c>
      <c r="BM16" s="56"/>
      <c r="BN16" s="56"/>
      <c r="BO16" s="49"/>
      <c r="BP16" s="50" t="s">
        <v>24</v>
      </c>
      <c r="BQ16" s="2"/>
    </row>
    <row r="17" spans="1:69" ht="24" thickBot="1" x14ac:dyDescent="0.4">
      <c r="A17" s="2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3">
        <v>4</v>
      </c>
      <c r="N17" s="12" t="s">
        <v>58</v>
      </c>
      <c r="O17" s="10">
        <f>$K$13</f>
        <v>54700</v>
      </c>
      <c r="P17" s="10">
        <f>O17</f>
        <v>54700</v>
      </c>
      <c r="Q17" s="10"/>
      <c r="R17" s="2"/>
      <c r="S17" s="13">
        <v>5</v>
      </c>
      <c r="T17" s="12" t="s">
        <v>59</v>
      </c>
      <c r="U17" s="12"/>
      <c r="V17" s="12"/>
      <c r="W17" s="12"/>
      <c r="X17" s="12"/>
      <c r="Y17" s="10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43"/>
      <c r="BC17" s="43"/>
      <c r="BD17" s="43"/>
      <c r="BE17" s="10" t="s">
        <v>9</v>
      </c>
      <c r="BF17" s="10" t="s">
        <v>10</v>
      </c>
      <c r="BG17" s="10" t="s">
        <v>11</v>
      </c>
      <c r="BH17" s="10" t="s">
        <v>12</v>
      </c>
      <c r="BI17" s="43"/>
      <c r="BJ17" s="2"/>
      <c r="BK17" s="51"/>
      <c r="BL17" s="12" t="s">
        <v>9</v>
      </c>
      <c r="BM17" s="12" t="s">
        <v>10</v>
      </c>
      <c r="BN17" s="12" t="s">
        <v>11</v>
      </c>
      <c r="BO17" s="12" t="s">
        <v>12</v>
      </c>
      <c r="BP17" s="51"/>
      <c r="BQ17" s="2"/>
    </row>
    <row r="18" spans="1:69" ht="24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3">
        <v>5</v>
      </c>
      <c r="N18" s="12" t="s">
        <v>59</v>
      </c>
      <c r="O18" s="10"/>
      <c r="P18" s="10"/>
      <c r="Q18" s="10"/>
      <c r="R18" s="2"/>
      <c r="S18" s="34" t="str">
        <f>"5.1"</f>
        <v>5.1</v>
      </c>
      <c r="T18" s="12" t="s">
        <v>60</v>
      </c>
      <c r="U18" s="12" t="s">
        <v>160</v>
      </c>
      <c r="V18" s="12" t="s">
        <v>160</v>
      </c>
      <c r="W18" s="12" t="s">
        <v>160</v>
      </c>
      <c r="X18" s="12" t="s">
        <v>160</v>
      </c>
      <c r="Y18" s="10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3">
        <v>1</v>
      </c>
      <c r="BC18" s="10" t="s">
        <v>91</v>
      </c>
      <c r="BD18" s="10"/>
      <c r="BE18" s="10">
        <f>R6</f>
        <v>416</v>
      </c>
      <c r="BF18" s="10">
        <f>S6</f>
        <v>494</v>
      </c>
      <c r="BG18" s="10">
        <f>T6</f>
        <v>494</v>
      </c>
      <c r="BH18" s="10">
        <f>U6</f>
        <v>494</v>
      </c>
      <c r="BI18" s="10">
        <f>V6</f>
        <v>1898</v>
      </c>
      <c r="BJ18" s="2"/>
      <c r="BK18" s="11" t="s">
        <v>107</v>
      </c>
      <c r="BL18" s="12">
        <v>0</v>
      </c>
      <c r="BM18" s="35">
        <f>BL32</f>
        <v>161000.58088749996</v>
      </c>
      <c r="BN18" s="35">
        <f>BM32</f>
        <v>349869.23122499994</v>
      </c>
      <c r="BO18" s="35">
        <f>BN32</f>
        <v>462237.88156249991</v>
      </c>
      <c r="BP18" s="12">
        <f t="shared" ref="BP18:BP29" si="1">SUM(BL18:BO18)</f>
        <v>973107.69367499975</v>
      </c>
      <c r="BQ18" s="2"/>
    </row>
    <row r="19" spans="1:69" ht="24" thickBo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4" t="str">
        <f>"5.1"</f>
        <v>5.1</v>
      </c>
      <c r="N19" s="12" t="s">
        <v>60</v>
      </c>
      <c r="O19" s="10" t="s">
        <v>160</v>
      </c>
      <c r="P19" s="10" t="s">
        <v>160</v>
      </c>
      <c r="Q19" s="10" t="s">
        <v>160</v>
      </c>
      <c r="R19" s="2"/>
      <c r="S19" s="34" t="str">
        <f>"5.2"</f>
        <v>5.2</v>
      </c>
      <c r="T19" s="12" t="s">
        <v>61</v>
      </c>
      <c r="U19" s="12" t="s">
        <v>160</v>
      </c>
      <c r="V19" s="12" t="s">
        <v>160</v>
      </c>
      <c r="W19" s="12" t="s">
        <v>160</v>
      </c>
      <c r="X19" s="12" t="s">
        <v>160</v>
      </c>
      <c r="Y19" s="10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3">
        <v>2</v>
      </c>
      <c r="BC19" s="10" t="s">
        <v>92</v>
      </c>
      <c r="BD19" s="10"/>
      <c r="BE19" s="10">
        <f>AP6</f>
        <v>123500</v>
      </c>
      <c r="BF19" s="10">
        <f>AQ6</f>
        <v>152750</v>
      </c>
      <c r="BG19" s="10">
        <f>AR6</f>
        <v>152750</v>
      </c>
      <c r="BH19" s="10">
        <f>AS6</f>
        <v>152750</v>
      </c>
      <c r="BI19" s="10">
        <f t="shared" ref="BI19:BI24" si="2">SUM(BE19:BH19)</f>
        <v>581750</v>
      </c>
      <c r="BJ19" s="2"/>
      <c r="BK19" s="11" t="s">
        <v>108</v>
      </c>
      <c r="BL19" s="12">
        <f>BE24</f>
        <v>350000</v>
      </c>
      <c r="BM19" s="12">
        <f>BL19-BL27</f>
        <v>76500</v>
      </c>
      <c r="BN19" s="12"/>
      <c r="BO19" s="12"/>
      <c r="BP19" s="12">
        <f t="shared" si="1"/>
        <v>426500</v>
      </c>
      <c r="BQ19" s="2"/>
    </row>
    <row r="20" spans="1:69" ht="24" thickBot="1" x14ac:dyDescent="0.4">
      <c r="A20" s="2"/>
      <c r="B20" s="2"/>
      <c r="C20" s="2"/>
      <c r="D20" s="2"/>
      <c r="E20" s="2"/>
      <c r="F20" s="2"/>
      <c r="G20" s="1"/>
      <c r="H20" s="2"/>
      <c r="I20" s="2"/>
      <c r="J20" s="2"/>
      <c r="K20" s="2"/>
      <c r="L20" s="2"/>
      <c r="M20" s="34" t="str">
        <f>"5.2"</f>
        <v>5.2</v>
      </c>
      <c r="N20" s="12" t="s">
        <v>61</v>
      </c>
      <c r="O20" s="10" t="s">
        <v>160</v>
      </c>
      <c r="P20" s="10" t="s">
        <v>160</v>
      </c>
      <c r="Q20" s="10" t="s">
        <v>160</v>
      </c>
      <c r="R20" s="2"/>
      <c r="S20" s="34" t="str">
        <f>"5.3"</f>
        <v>5.3</v>
      </c>
      <c r="T20" s="12" t="s">
        <v>62</v>
      </c>
      <c r="U20" s="12" t="s">
        <v>160</v>
      </c>
      <c r="V20" s="12" t="s">
        <v>160</v>
      </c>
      <c r="W20" s="12" t="s">
        <v>160</v>
      </c>
      <c r="X20" s="12" t="s">
        <v>160</v>
      </c>
      <c r="Y20" s="1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3">
        <v>3</v>
      </c>
      <c r="BC20" s="10" t="s">
        <v>93</v>
      </c>
      <c r="BD20" s="10"/>
      <c r="BE20" s="36">
        <f>U27</f>
        <v>32672.7356</v>
      </c>
      <c r="BF20" s="36">
        <f>V27</f>
        <v>32884.666150000005</v>
      </c>
      <c r="BG20" s="36">
        <f>W27</f>
        <v>32884.666150000005</v>
      </c>
      <c r="BH20" s="36">
        <f>X27</f>
        <v>32884.666150000005</v>
      </c>
      <c r="BI20" s="10">
        <f t="shared" si="2"/>
        <v>131326.73405000003</v>
      </c>
      <c r="BJ20" s="2"/>
      <c r="BK20" s="11" t="s">
        <v>109</v>
      </c>
      <c r="BL20" s="12">
        <f>R4*$K$4+R5*$K$5</f>
        <v>123500</v>
      </c>
      <c r="BM20" s="12">
        <f>S4*$K$4+S5*$K$5</f>
        <v>152750</v>
      </c>
      <c r="BN20" s="12">
        <f>T4*$K$4+T5*$K$5</f>
        <v>152750</v>
      </c>
      <c r="BO20" s="12">
        <f>U4*$K$4+U5*$K$5</f>
        <v>152750</v>
      </c>
      <c r="BP20" s="12">
        <f t="shared" si="1"/>
        <v>581750</v>
      </c>
      <c r="BQ20" s="2"/>
    </row>
    <row r="21" spans="1:69" ht="24" thickBot="1" x14ac:dyDescent="0.4">
      <c r="A21" s="2"/>
      <c r="B21" s="2"/>
      <c r="C21" s="2"/>
      <c r="D21" s="2"/>
      <c r="E21" s="2"/>
      <c r="F21" s="2"/>
      <c r="G21" s="5"/>
      <c r="H21" s="5"/>
      <c r="I21" s="5"/>
      <c r="J21" s="5"/>
      <c r="K21" s="5"/>
      <c r="L21" s="2"/>
      <c r="M21" s="34" t="str">
        <f>"5.3"</f>
        <v>5.3</v>
      </c>
      <c r="N21" s="12" t="s">
        <v>62</v>
      </c>
      <c r="O21" s="10" t="s">
        <v>160</v>
      </c>
      <c r="P21" s="10" t="s">
        <v>160</v>
      </c>
      <c r="Q21" s="10" t="s">
        <v>160</v>
      </c>
      <c r="R21" s="2"/>
      <c r="S21" s="34" t="str">
        <f>"5.4"</f>
        <v>5.4</v>
      </c>
      <c r="T21" s="12" t="s">
        <v>66</v>
      </c>
      <c r="U21" s="12" t="s">
        <v>160</v>
      </c>
      <c r="V21" s="12" t="s">
        <v>160</v>
      </c>
      <c r="W21" s="12" t="s">
        <v>160</v>
      </c>
      <c r="X21" s="12" t="s">
        <v>160</v>
      </c>
      <c r="Y21" s="1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3">
        <v>4</v>
      </c>
      <c r="BC21" s="10" t="s">
        <v>94</v>
      </c>
      <c r="BD21" s="10"/>
      <c r="BE21" s="10">
        <f>SUM(BE22,BE25,BE29,BE23)</f>
        <v>278440</v>
      </c>
      <c r="BF21" s="10">
        <v>0</v>
      </c>
      <c r="BG21" s="10">
        <v>0</v>
      </c>
      <c r="BH21" s="10">
        <v>0</v>
      </c>
      <c r="BI21" s="10">
        <f t="shared" si="2"/>
        <v>278440</v>
      </c>
      <c r="BJ21" s="2"/>
      <c r="BK21" s="11" t="s">
        <v>110</v>
      </c>
      <c r="BL21" s="71">
        <f>BL19+BL20+BL18</f>
        <v>473500</v>
      </c>
      <c r="BM21" s="71">
        <f>BM19+BM20+BM18</f>
        <v>390250.58088749996</v>
      </c>
      <c r="BN21" s="71">
        <f t="shared" ref="BN21:BP21" si="3">BN19+BN20+BN18</f>
        <v>502619.23122499994</v>
      </c>
      <c r="BO21" s="71">
        <f t="shared" si="3"/>
        <v>614987.88156249991</v>
      </c>
      <c r="BP21" s="35">
        <f>SUM(BL21:BO21)</f>
        <v>1981357.6936749998</v>
      </c>
      <c r="BQ21" s="2"/>
    </row>
    <row r="22" spans="1:69" ht="24" thickBot="1" x14ac:dyDescent="0.4">
      <c r="A22" s="1"/>
      <c r="B22" s="2"/>
      <c r="C22" s="2"/>
      <c r="D22" s="2"/>
      <c r="E22" s="2"/>
      <c r="F22" s="2"/>
      <c r="G22" s="5"/>
      <c r="H22" s="37"/>
      <c r="I22" s="5"/>
      <c r="J22" s="5"/>
      <c r="K22" s="5"/>
      <c r="L22" s="2"/>
      <c r="M22" s="34" t="str">
        <f>"5.4"</f>
        <v>5.4</v>
      </c>
      <c r="N22" s="12" t="s">
        <v>66</v>
      </c>
      <c r="O22" s="10" t="s">
        <v>160</v>
      </c>
      <c r="P22" s="10" t="s">
        <v>160</v>
      </c>
      <c r="Q22" s="10" t="s">
        <v>160</v>
      </c>
      <c r="R22" s="2"/>
      <c r="S22" s="34" t="str">
        <f>"5.5"</f>
        <v>5.5</v>
      </c>
      <c r="T22" s="12" t="s">
        <v>67</v>
      </c>
      <c r="U22" s="12">
        <f>$O$23/4</f>
        <v>13000</v>
      </c>
      <c r="V22" s="12">
        <f>$O$23/4</f>
        <v>13000</v>
      </c>
      <c r="W22" s="12">
        <f>$O$23/4</f>
        <v>13000</v>
      </c>
      <c r="X22" s="12">
        <f>$O$23/4</f>
        <v>13000</v>
      </c>
      <c r="Y22" s="10">
        <f>SUM(U22:X22)</f>
        <v>52000</v>
      </c>
      <c r="Z22" s="2"/>
      <c r="AA22" s="2"/>
      <c r="AB22" s="2"/>
      <c r="AC22" s="2"/>
      <c r="AD22" s="2"/>
      <c r="AE22" s="2"/>
      <c r="AF22" s="2"/>
      <c r="AG22" s="1">
        <v>17</v>
      </c>
      <c r="AH22" s="2"/>
      <c r="AI22" s="2"/>
      <c r="AJ22" s="2"/>
      <c r="AK22" s="2"/>
      <c r="AL22" s="2"/>
      <c r="AM22" s="2"/>
      <c r="AN22" s="2"/>
      <c r="AO22" s="2"/>
      <c r="AP22" s="1">
        <v>18</v>
      </c>
      <c r="AQ22" s="2"/>
      <c r="AR22" s="2"/>
      <c r="AS22" s="2"/>
      <c r="AT22" s="2"/>
      <c r="AU22" s="2"/>
      <c r="AV22" s="2"/>
      <c r="AW22" s="2"/>
      <c r="AX22" s="1">
        <v>19</v>
      </c>
      <c r="AY22" s="2"/>
      <c r="AZ22" s="2"/>
      <c r="BA22" s="2"/>
      <c r="BB22" s="34" t="str">
        <f>"4.1"</f>
        <v>4.1</v>
      </c>
      <c r="BC22" s="10" t="s">
        <v>95</v>
      </c>
      <c r="BD22" s="10"/>
      <c r="BE22" s="10">
        <v>0</v>
      </c>
      <c r="BF22" s="10">
        <v>0</v>
      </c>
      <c r="BG22" s="10">
        <v>0</v>
      </c>
      <c r="BH22" s="10">
        <v>0</v>
      </c>
      <c r="BI22" s="10">
        <f t="shared" si="2"/>
        <v>0</v>
      </c>
      <c r="BJ22" s="2"/>
      <c r="BK22" s="11" t="s">
        <v>111</v>
      </c>
      <c r="BL22" s="12">
        <f>SUM(BL23:BL31)</f>
        <v>312499.41911250004</v>
      </c>
      <c r="BM22" s="12">
        <f>SUM(BM23:BM31)</f>
        <v>40381.349662500004</v>
      </c>
      <c r="BN22" s="12">
        <f>SUM(BN23:BN31)</f>
        <v>40381.349662500004</v>
      </c>
      <c r="BO22" s="12">
        <f>SUM(BO23:BO31)</f>
        <v>40381.349662500004</v>
      </c>
      <c r="BP22" s="12">
        <f t="shared" si="1"/>
        <v>433643.46810000011</v>
      </c>
      <c r="BQ22" s="2"/>
    </row>
    <row r="23" spans="1:69" ht="24" thickBot="1" x14ac:dyDescent="0.4">
      <c r="A23" s="5"/>
      <c r="B23" s="5"/>
      <c r="C23" s="5"/>
      <c r="D23" s="5"/>
      <c r="E23" s="5"/>
      <c r="F23" s="2"/>
      <c r="G23" s="5"/>
      <c r="H23" s="5"/>
      <c r="I23" s="5"/>
      <c r="J23" s="5"/>
      <c r="K23" s="5"/>
      <c r="L23" s="2"/>
      <c r="M23" s="34" t="str">
        <f>"5.5"</f>
        <v>5.5</v>
      </c>
      <c r="N23" s="12" t="s">
        <v>67</v>
      </c>
      <c r="O23" s="10">
        <v>52000</v>
      </c>
      <c r="P23" s="10">
        <v>52500</v>
      </c>
      <c r="Q23" s="10"/>
      <c r="R23" s="2"/>
      <c r="S23" s="34" t="str">
        <f>"5.6"</f>
        <v>5.6</v>
      </c>
      <c r="T23" s="12" t="s">
        <v>68</v>
      </c>
      <c r="U23" s="12"/>
      <c r="V23" s="12"/>
      <c r="W23" s="12"/>
      <c r="X23" s="12"/>
      <c r="Y23" s="10"/>
      <c r="Z23" s="2"/>
      <c r="AA23" s="2"/>
      <c r="AB23" s="2"/>
      <c r="AC23" s="2"/>
      <c r="AD23" s="2"/>
      <c r="AE23" s="2"/>
      <c r="AF23" s="42" t="s">
        <v>3</v>
      </c>
      <c r="AG23" s="42" t="s">
        <v>77</v>
      </c>
      <c r="AH23" s="42" t="s">
        <v>78</v>
      </c>
      <c r="AI23" s="42" t="s">
        <v>79</v>
      </c>
      <c r="AJ23" s="42" t="s">
        <v>80</v>
      </c>
      <c r="AK23" s="45" t="s">
        <v>81</v>
      </c>
      <c r="AL23" s="46"/>
      <c r="AM23" s="47"/>
      <c r="AN23" s="2"/>
      <c r="AO23" s="18" t="s">
        <v>35</v>
      </c>
      <c r="AP23" s="42" t="s">
        <v>84</v>
      </c>
      <c r="AQ23" s="59" t="s">
        <v>172</v>
      </c>
      <c r="AR23" s="62" t="s">
        <v>64</v>
      </c>
      <c r="AS23" s="63"/>
      <c r="AT23" s="63"/>
      <c r="AU23" s="64"/>
      <c r="AV23" s="2"/>
      <c r="AW23" s="42" t="s">
        <v>72</v>
      </c>
      <c r="AX23" s="42" t="s">
        <v>159</v>
      </c>
      <c r="AY23" s="42" t="s">
        <v>85</v>
      </c>
      <c r="AZ23" s="42" t="s">
        <v>86</v>
      </c>
      <c r="BA23" s="2"/>
      <c r="BB23" s="34" t="str">
        <f>"4.2"</f>
        <v>4.2</v>
      </c>
      <c r="BC23" s="10" t="s">
        <v>96</v>
      </c>
      <c r="BD23" s="10"/>
      <c r="BE23" s="10">
        <v>0</v>
      </c>
      <c r="BF23" s="10">
        <v>0</v>
      </c>
      <c r="BG23" s="10">
        <v>0</v>
      </c>
      <c r="BH23" s="10">
        <v>0</v>
      </c>
      <c r="BI23" s="10">
        <f t="shared" si="2"/>
        <v>0</v>
      </c>
      <c r="BJ23" s="2"/>
      <c r="BK23" s="6" t="s">
        <v>163</v>
      </c>
      <c r="BL23" s="6"/>
      <c r="BM23" s="6"/>
      <c r="BN23" s="6"/>
      <c r="BO23" s="6"/>
      <c r="BP23" s="12"/>
      <c r="BQ23" s="2"/>
    </row>
    <row r="24" spans="1:69" ht="28.5" thickBot="1" x14ac:dyDescent="0.4">
      <c r="A24" s="5"/>
      <c r="B24" s="5"/>
      <c r="C24" s="5"/>
      <c r="D24" s="5"/>
      <c r="E24" s="5"/>
      <c r="F24" s="2"/>
      <c r="G24" s="5"/>
      <c r="H24" s="5"/>
      <c r="I24" s="5"/>
      <c r="J24" s="5"/>
      <c r="K24" s="5"/>
      <c r="L24" s="2"/>
      <c r="M24" s="34" t="str">
        <f>"5.6"</f>
        <v>5.6</v>
      </c>
      <c r="N24" s="12" t="s">
        <v>68</v>
      </c>
      <c r="O24" s="10">
        <f>333*12</f>
        <v>3996</v>
      </c>
      <c r="P24" s="10">
        <f>333*12</f>
        <v>3996</v>
      </c>
      <c r="Q24" s="10"/>
      <c r="R24" s="2"/>
      <c r="S24" s="13">
        <v>6</v>
      </c>
      <c r="T24" s="12" t="s">
        <v>69</v>
      </c>
      <c r="U24" s="12"/>
      <c r="V24" s="12"/>
      <c r="W24" s="12"/>
      <c r="X24" s="12"/>
      <c r="Y24" s="10"/>
      <c r="Z24" s="2"/>
      <c r="AA24" s="2"/>
      <c r="AB24" s="2"/>
      <c r="AC24" s="2"/>
      <c r="AD24" s="2"/>
      <c r="AE24" s="2"/>
      <c r="AF24" s="43"/>
      <c r="AG24" s="43"/>
      <c r="AH24" s="43"/>
      <c r="AI24" s="43"/>
      <c r="AJ24" s="43"/>
      <c r="AK24" s="10" t="s">
        <v>82</v>
      </c>
      <c r="AL24" s="10" t="s">
        <v>191</v>
      </c>
      <c r="AM24" s="10" t="s">
        <v>83</v>
      </c>
      <c r="AN24" s="2"/>
      <c r="AO24" s="13" t="s">
        <v>37</v>
      </c>
      <c r="AP24" s="43"/>
      <c r="AQ24" s="60"/>
      <c r="AR24" s="65"/>
      <c r="AS24" s="66"/>
      <c r="AT24" s="66"/>
      <c r="AU24" s="67"/>
      <c r="AV24" s="2"/>
      <c r="AW24" s="44"/>
      <c r="AX24" s="44"/>
      <c r="AY24" s="44"/>
      <c r="AZ24" s="44"/>
      <c r="BA24" s="2"/>
      <c r="BB24" s="34" t="str">
        <f>"4.3"</f>
        <v>4.3</v>
      </c>
      <c r="BC24" s="10" t="s">
        <v>97</v>
      </c>
      <c r="BD24" s="10"/>
      <c r="BE24" s="10">
        <f>AJ32</f>
        <v>350000</v>
      </c>
      <c r="BF24" s="10">
        <v>0</v>
      </c>
      <c r="BG24" s="10">
        <v>0</v>
      </c>
      <c r="BH24" s="10">
        <v>0</v>
      </c>
      <c r="BI24" s="10">
        <f t="shared" si="2"/>
        <v>350000</v>
      </c>
      <c r="BJ24" s="2"/>
      <c r="BK24" s="11" t="s">
        <v>112</v>
      </c>
      <c r="BL24" s="12">
        <f>$BJ$13/4+$BN$13/4</f>
        <v>1386.6835125</v>
      </c>
      <c r="BM24" s="12">
        <f>$BJ$13/4+$BN$13/4</f>
        <v>1386.6835125</v>
      </c>
      <c r="BN24" s="12">
        <f>$BJ$13/4+$BN$13/4</f>
        <v>1386.6835125</v>
      </c>
      <c r="BO24" s="12">
        <f>$BJ$13/4+$BN$13/4</f>
        <v>1386.6835125</v>
      </c>
      <c r="BP24" s="12">
        <f>SUM(BL24:BO24)</f>
        <v>5546.73405</v>
      </c>
      <c r="BQ24" s="2"/>
    </row>
    <row r="25" spans="1:69" ht="24" thickBot="1" x14ac:dyDescent="0.4">
      <c r="A25" s="5"/>
      <c r="B25" s="5"/>
      <c r="C25" s="5"/>
      <c r="D25" s="5"/>
      <c r="E25" s="5"/>
      <c r="F25" s="2"/>
      <c r="G25" s="5"/>
      <c r="H25" s="5"/>
      <c r="I25" s="5"/>
      <c r="J25" s="5"/>
      <c r="K25" s="5"/>
      <c r="L25" s="2"/>
      <c r="M25" s="13">
        <v>6</v>
      </c>
      <c r="N25" s="12" t="s">
        <v>69</v>
      </c>
      <c r="O25" s="10"/>
      <c r="P25" s="10"/>
      <c r="Q25" s="10"/>
      <c r="R25" s="2"/>
      <c r="S25" s="34" t="str">
        <f>"6.1"</f>
        <v>6.1</v>
      </c>
      <c r="T25" s="12" t="s">
        <v>70</v>
      </c>
      <c r="U25" s="12"/>
      <c r="V25" s="12"/>
      <c r="W25" s="12"/>
      <c r="X25" s="12"/>
      <c r="Y25" s="10"/>
      <c r="Z25" s="2"/>
      <c r="AA25" s="2"/>
      <c r="AB25" s="2"/>
      <c r="AC25" s="2"/>
      <c r="AD25" s="2"/>
      <c r="AE25" s="2"/>
      <c r="AF25" s="13">
        <v>1</v>
      </c>
      <c r="AG25" s="10" t="s">
        <v>185</v>
      </c>
      <c r="AH25" s="10">
        <v>2</v>
      </c>
      <c r="AI25" s="10">
        <v>7000</v>
      </c>
      <c r="AJ25" s="10">
        <f>AI25*AH25</f>
        <v>14000</v>
      </c>
      <c r="AK25" s="10"/>
      <c r="AL25" s="10"/>
      <c r="AM25" s="10"/>
      <c r="AN25" s="2"/>
      <c r="AO25" s="13"/>
      <c r="AP25" s="10"/>
      <c r="AQ25" s="61"/>
      <c r="AR25" s="10" t="s">
        <v>9</v>
      </c>
      <c r="AS25" s="10" t="s">
        <v>10</v>
      </c>
      <c r="AT25" s="10" t="s">
        <v>11</v>
      </c>
      <c r="AU25" s="10" t="s">
        <v>12</v>
      </c>
      <c r="AV25" s="2"/>
      <c r="AW25" s="68" t="str">
        <f>AN4</f>
        <v>Снятие игровой комнаты на час</v>
      </c>
      <c r="AX25" s="69"/>
      <c r="AY25" s="69"/>
      <c r="AZ25" s="70"/>
      <c r="BA25" s="2"/>
      <c r="BB25" s="13">
        <v>5</v>
      </c>
      <c r="BC25" s="10" t="s">
        <v>98</v>
      </c>
      <c r="BD25" s="10"/>
      <c r="BE25" s="10">
        <f>H13</f>
        <v>273500</v>
      </c>
      <c r="BF25" s="10">
        <v>0</v>
      </c>
      <c r="BG25" s="10">
        <v>0</v>
      </c>
      <c r="BH25" s="10">
        <v>0</v>
      </c>
      <c r="BI25" s="10">
        <f>SUM(BE25:BH25)</f>
        <v>273500</v>
      </c>
      <c r="BJ25" s="2"/>
      <c r="BK25" s="11" t="s">
        <v>113</v>
      </c>
      <c r="BL25" s="12"/>
      <c r="BM25" s="12"/>
      <c r="BN25" s="12"/>
      <c r="BO25" s="12"/>
      <c r="BP25" s="12"/>
      <c r="BQ25" s="2"/>
    </row>
    <row r="26" spans="1:69" ht="24" thickBot="1" x14ac:dyDescent="0.4">
      <c r="A26" s="5"/>
      <c r="B26" s="5"/>
      <c r="C26" s="5"/>
      <c r="D26" s="5"/>
      <c r="E26" s="5"/>
      <c r="F26" s="2"/>
      <c r="G26" s="5"/>
      <c r="H26" s="5"/>
      <c r="I26" s="5"/>
      <c r="J26" s="5"/>
      <c r="K26" s="5"/>
      <c r="L26" s="2"/>
      <c r="M26" s="34" t="str">
        <f>"6.1"</f>
        <v>6.1</v>
      </c>
      <c r="N26" s="12" t="s">
        <v>70</v>
      </c>
      <c r="O26" s="10"/>
      <c r="P26" s="10"/>
      <c r="Q26" s="10"/>
      <c r="R26" s="2"/>
      <c r="S26" s="34" t="str">
        <f>"6.2"</f>
        <v>6.2</v>
      </c>
      <c r="T26" s="12" t="s">
        <v>71</v>
      </c>
      <c r="U26" s="12"/>
      <c r="V26" s="12"/>
      <c r="W26" s="12"/>
      <c r="X26" s="12"/>
      <c r="Y26" s="10"/>
      <c r="Z26" s="2"/>
      <c r="AA26" s="2"/>
      <c r="AB26" s="2"/>
      <c r="AC26" s="2"/>
      <c r="AD26" s="2"/>
      <c r="AE26" s="2"/>
      <c r="AF26" s="13">
        <v>2</v>
      </c>
      <c r="AG26" s="10" t="s">
        <v>184</v>
      </c>
      <c r="AH26" s="10">
        <v>2</v>
      </c>
      <c r="AI26" s="10">
        <v>9000</v>
      </c>
      <c r="AJ26" s="10">
        <f t="shared" ref="AJ26:AJ31" si="4">AI26*AH26</f>
        <v>18000</v>
      </c>
      <c r="AK26" s="10"/>
      <c r="AL26" s="10"/>
      <c r="AM26" s="10"/>
      <c r="AN26" s="2"/>
      <c r="AO26" s="13">
        <v>1</v>
      </c>
      <c r="AP26" s="10" t="s">
        <v>171</v>
      </c>
      <c r="AQ26" s="39"/>
      <c r="AR26" s="10"/>
      <c r="AS26" s="10"/>
      <c r="AT26" s="10"/>
      <c r="AU26" s="10"/>
      <c r="AV26" s="2"/>
      <c r="AW26" s="13" t="s">
        <v>87</v>
      </c>
      <c r="AX26" s="10">
        <f>AT4</f>
        <v>143000</v>
      </c>
      <c r="AY26" s="10">
        <f>AX26/$AK$4</f>
        <v>1000</v>
      </c>
      <c r="AZ26" s="36">
        <f>AX4</f>
        <v>24.581005586592177</v>
      </c>
      <c r="BA26" s="2"/>
      <c r="BB26" s="13">
        <v>6</v>
      </c>
      <c r="BC26" s="10" t="s">
        <v>99</v>
      </c>
      <c r="BD26" s="10"/>
      <c r="BE26" s="10">
        <f>$BI$26/4</f>
        <v>850</v>
      </c>
      <c r="BF26" s="10">
        <f>$BI$26/4</f>
        <v>850</v>
      </c>
      <c r="BG26" s="10">
        <f>$BI$26/4</f>
        <v>850</v>
      </c>
      <c r="BH26" s="10">
        <f>$BI$26/4</f>
        <v>850</v>
      </c>
      <c r="BI26" s="10">
        <f>AB3</f>
        <v>3400</v>
      </c>
      <c r="BJ26" s="2"/>
      <c r="BK26" s="11" t="s">
        <v>114</v>
      </c>
      <c r="BL26" s="12"/>
      <c r="BM26" s="12"/>
      <c r="BN26" s="12"/>
      <c r="BO26" s="12"/>
      <c r="BP26" s="12"/>
      <c r="BQ26" s="2"/>
    </row>
    <row r="27" spans="1:69" ht="24" thickBot="1" x14ac:dyDescent="0.4">
      <c r="A27" s="5"/>
      <c r="B27" s="5"/>
      <c r="C27" s="5"/>
      <c r="D27" s="5"/>
      <c r="E27" s="5"/>
      <c r="F27" s="2"/>
      <c r="G27" s="2"/>
      <c r="H27" s="2"/>
      <c r="I27" s="2"/>
      <c r="J27" s="2"/>
      <c r="K27" s="2"/>
      <c r="L27" s="2"/>
      <c r="M27" s="34" t="str">
        <f>"6.2"</f>
        <v>6.2</v>
      </c>
      <c r="N27" s="12" t="s">
        <v>71</v>
      </c>
      <c r="O27" s="10"/>
      <c r="P27" s="10"/>
      <c r="Q27" s="10"/>
      <c r="R27" s="2"/>
      <c r="S27" s="13">
        <v>7</v>
      </c>
      <c r="T27" s="12" t="s">
        <v>47</v>
      </c>
      <c r="U27" s="6">
        <f>SUM(U11:U26)</f>
        <v>32672.7356</v>
      </c>
      <c r="V27" s="6">
        <f>SUM(V11:V26)</f>
        <v>32884.666150000005</v>
      </c>
      <c r="W27" s="6">
        <f>SUM(W11:W26)</f>
        <v>32884.666150000005</v>
      </c>
      <c r="X27" s="6">
        <f>SUM(X11:X26)</f>
        <v>32884.666150000005</v>
      </c>
      <c r="Y27" s="10">
        <f>SUM(Y11:Y26)</f>
        <v>131326.73405</v>
      </c>
      <c r="Z27" s="2"/>
      <c r="AA27" s="2"/>
      <c r="AB27" s="2"/>
      <c r="AC27" s="2"/>
      <c r="AD27" s="2"/>
      <c r="AE27" s="2"/>
      <c r="AF27" s="13">
        <v>3</v>
      </c>
      <c r="AG27" s="10" t="s">
        <v>156</v>
      </c>
      <c r="AH27" s="10">
        <v>1</v>
      </c>
      <c r="AI27" s="10">
        <v>77000</v>
      </c>
      <c r="AJ27" s="10">
        <f t="shared" si="4"/>
        <v>77000</v>
      </c>
      <c r="AK27" s="10">
        <f>AJ27</f>
        <v>77000</v>
      </c>
      <c r="AL27" s="10">
        <v>0</v>
      </c>
      <c r="AM27" s="10">
        <v>0</v>
      </c>
      <c r="AN27" s="2"/>
      <c r="AO27" s="13">
        <v>2</v>
      </c>
      <c r="AP27" s="10" t="s">
        <v>180</v>
      </c>
      <c r="AQ27" s="39"/>
      <c r="AR27" s="10"/>
      <c r="AS27" s="10"/>
      <c r="AT27" s="10"/>
      <c r="AU27" s="10"/>
      <c r="AV27" s="2"/>
      <c r="AW27" s="13" t="s">
        <v>88</v>
      </c>
      <c r="AX27" s="10">
        <f>P28/2</f>
        <v>55598</v>
      </c>
      <c r="AY27" s="10">
        <f>AX27/$AK$4</f>
        <v>388.79720279720277</v>
      </c>
      <c r="AZ27" s="10"/>
      <c r="BA27" s="2"/>
      <c r="BB27" s="13">
        <v>7</v>
      </c>
      <c r="BC27" s="10" t="s">
        <v>100</v>
      </c>
      <c r="BD27" s="10"/>
      <c r="BE27" s="10" t="s">
        <v>160</v>
      </c>
      <c r="BF27" s="10" t="s">
        <v>160</v>
      </c>
      <c r="BG27" s="10" t="s">
        <v>160</v>
      </c>
      <c r="BH27" s="10" t="s">
        <v>160</v>
      </c>
      <c r="BI27" s="10">
        <f>SUM(BE27:BH27)</f>
        <v>0</v>
      </c>
      <c r="BJ27" s="2"/>
      <c r="BK27" s="11" t="s">
        <v>115</v>
      </c>
      <c r="BL27" s="12">
        <f>H13</f>
        <v>273500</v>
      </c>
      <c r="BM27" s="12"/>
      <c r="BN27" s="12"/>
      <c r="BO27" s="12"/>
      <c r="BP27" s="12">
        <f t="shared" si="1"/>
        <v>273500</v>
      </c>
      <c r="BQ27" s="2"/>
    </row>
    <row r="28" spans="1:69" ht="24" thickBot="1" x14ac:dyDescent="0.4">
      <c r="A28" s="5"/>
      <c r="B28" s="5"/>
      <c r="C28" s="5"/>
      <c r="D28" s="5"/>
      <c r="E28" s="5"/>
      <c r="F28" s="2"/>
      <c r="G28" s="2"/>
      <c r="H28" s="2"/>
      <c r="I28" s="2"/>
      <c r="J28" s="2"/>
      <c r="K28" s="2"/>
      <c r="L28" s="2"/>
      <c r="M28" s="13">
        <v>7</v>
      </c>
      <c r="N28" s="12" t="s">
        <v>47</v>
      </c>
      <c r="O28" s="10">
        <f>SUM($O$12:$O$27)</f>
        <v>159322.73405</v>
      </c>
      <c r="P28" s="10">
        <f>SUM(P12:P27)</f>
        <v>111196</v>
      </c>
      <c r="Q28" s="10">
        <f>SUM(Q12:Q27)</f>
        <v>48626.734049999999</v>
      </c>
      <c r="R28" s="2"/>
      <c r="S28" s="13">
        <v>8</v>
      </c>
      <c r="T28" s="12" t="s">
        <v>86</v>
      </c>
      <c r="U28" s="6">
        <f>U27/$Y$27*100</f>
        <v>24.878967589006297</v>
      </c>
      <c r="V28" s="6">
        <f>V27/$Y$27*100</f>
        <v>25.040344136997906</v>
      </c>
      <c r="W28" s="6">
        <f>W27/$Y$27*100</f>
        <v>25.040344136997906</v>
      </c>
      <c r="X28" s="6">
        <f>X27/$Y$27*100</f>
        <v>25.040344136997906</v>
      </c>
      <c r="Y28" s="10">
        <f>$O$28/$O$28*100</f>
        <v>100</v>
      </c>
      <c r="Z28" s="2"/>
      <c r="AA28" s="2"/>
      <c r="AB28" s="2"/>
      <c r="AC28" s="2"/>
      <c r="AD28" s="2"/>
      <c r="AE28" s="2"/>
      <c r="AF28" s="13">
        <v>4</v>
      </c>
      <c r="AG28" s="10" t="s">
        <v>157</v>
      </c>
      <c r="AH28" s="10">
        <v>1</v>
      </c>
      <c r="AI28" s="10">
        <v>53000</v>
      </c>
      <c r="AJ28" s="10">
        <f t="shared" si="4"/>
        <v>53000</v>
      </c>
      <c r="AK28" s="10">
        <f>AJ28</f>
        <v>53000</v>
      </c>
      <c r="AL28" s="10">
        <v>0</v>
      </c>
      <c r="AM28" s="10">
        <v>0</v>
      </c>
      <c r="AN28" s="2"/>
      <c r="AO28" s="13">
        <v>3</v>
      </c>
      <c r="AP28" s="10" t="s">
        <v>169</v>
      </c>
      <c r="AQ28" s="39"/>
      <c r="AR28" s="10"/>
      <c r="AS28" s="10"/>
      <c r="AT28" s="10"/>
      <c r="AU28" s="10"/>
      <c r="AV28" s="2"/>
      <c r="AW28" s="13" t="s">
        <v>89</v>
      </c>
      <c r="AX28" s="10">
        <f>Q13-BJ13+Q14/2</f>
        <v>21660.581174999999</v>
      </c>
      <c r="AY28" s="10">
        <f>AX28/$AK$4</f>
        <v>151.47259562937063</v>
      </c>
      <c r="AZ28" s="10"/>
      <c r="BA28" s="2"/>
      <c r="BB28" s="13">
        <v>8</v>
      </c>
      <c r="BC28" s="10" t="s">
        <v>101</v>
      </c>
      <c r="BD28" s="10"/>
      <c r="BE28" s="10" t="s">
        <v>160</v>
      </c>
      <c r="BF28" s="10" t="s">
        <v>160</v>
      </c>
      <c r="BG28" s="10" t="s">
        <v>160</v>
      </c>
      <c r="BH28" s="10" t="s">
        <v>160</v>
      </c>
      <c r="BI28" s="10">
        <f>SUM(BE28:BH28)</f>
        <v>0</v>
      </c>
      <c r="BJ28" s="2"/>
      <c r="BK28" s="11" t="s">
        <v>116</v>
      </c>
      <c r="BL28" s="12">
        <f>BE20</f>
        <v>32672.7356</v>
      </c>
      <c r="BM28" s="12">
        <f>BF20</f>
        <v>32884.666150000005</v>
      </c>
      <c r="BN28" s="12">
        <f>BG20</f>
        <v>32884.666150000005</v>
      </c>
      <c r="BO28" s="12">
        <f>BH20</f>
        <v>32884.666150000005</v>
      </c>
      <c r="BP28" s="12">
        <f>BI20</f>
        <v>131326.73405000003</v>
      </c>
      <c r="BQ28" s="2"/>
    </row>
    <row r="29" spans="1:69" ht="24" thickBot="1" x14ac:dyDescent="0.4">
      <c r="A29" s="5"/>
      <c r="B29" s="5"/>
      <c r="C29" s="5"/>
      <c r="D29" s="5"/>
      <c r="E29" s="5"/>
      <c r="F29" s="2"/>
      <c r="G29" s="2"/>
      <c r="H29" s="2"/>
      <c r="I29" s="2"/>
      <c r="J29" s="2"/>
      <c r="K29" s="2"/>
      <c r="L29" s="2"/>
      <c r="M29" s="13">
        <v>8</v>
      </c>
      <c r="N29" s="12" t="s">
        <v>86</v>
      </c>
      <c r="O29" s="10">
        <f>$O$28/$O$28*100</f>
        <v>100</v>
      </c>
      <c r="P29" s="36">
        <f>P28/$O$28*100</f>
        <v>69.792927332707919</v>
      </c>
      <c r="Q29" s="36">
        <f>Q28/$O$28*100</f>
        <v>30.520901075385481</v>
      </c>
      <c r="R29" s="2"/>
      <c r="S29" s="13">
        <v>9</v>
      </c>
      <c r="T29" s="12" t="s">
        <v>154</v>
      </c>
      <c r="U29" s="36">
        <f>U27/R6</f>
        <v>78.540229807692313</v>
      </c>
      <c r="V29" s="36">
        <f>V27/S6</f>
        <v>66.568150101214584</v>
      </c>
      <c r="W29" s="36">
        <f>W27/T6</f>
        <v>66.568150101214584</v>
      </c>
      <c r="X29" s="36">
        <f>X27/U6</f>
        <v>66.568150101214584</v>
      </c>
      <c r="Y29" s="36">
        <f>Y27/V6</f>
        <v>69.192167571127499</v>
      </c>
      <c r="Z29" s="2"/>
      <c r="AA29" s="2"/>
      <c r="AB29" s="2"/>
      <c r="AC29" s="2"/>
      <c r="AD29" s="2"/>
      <c r="AE29" s="2"/>
      <c r="AF29" s="13">
        <v>5</v>
      </c>
      <c r="AG29" s="10" t="s">
        <v>158</v>
      </c>
      <c r="AH29" s="10">
        <v>2</v>
      </c>
      <c r="AI29" s="10">
        <v>56000</v>
      </c>
      <c r="AJ29" s="10">
        <f t="shared" si="4"/>
        <v>112000</v>
      </c>
      <c r="AK29" s="10">
        <f>AJ29</f>
        <v>112000</v>
      </c>
      <c r="AL29" s="10">
        <v>0</v>
      </c>
      <c r="AM29" s="10">
        <v>0</v>
      </c>
      <c r="AN29" s="2"/>
      <c r="AO29" s="13">
        <v>4</v>
      </c>
      <c r="AP29" s="10" t="s">
        <v>181</v>
      </c>
      <c r="AQ29" s="39"/>
      <c r="AR29" s="20"/>
      <c r="AS29" s="20"/>
      <c r="AT29" s="20"/>
      <c r="AU29" s="20"/>
      <c r="AV29" s="2"/>
      <c r="AW29" s="13" t="s">
        <v>90</v>
      </c>
      <c r="AX29" s="10">
        <f>SUM(AX27:AX28)</f>
        <v>77258.581174999999</v>
      </c>
      <c r="AY29" s="10">
        <f>AX29/$AK$4</f>
        <v>540.2697984265734</v>
      </c>
      <c r="AZ29" s="10"/>
      <c r="BA29" s="2"/>
      <c r="BB29" s="13">
        <v>9</v>
      </c>
      <c r="BC29" s="10" t="s">
        <v>173</v>
      </c>
      <c r="BD29" s="10"/>
      <c r="BE29" s="10">
        <f>BE19*0.04</f>
        <v>4940</v>
      </c>
      <c r="BF29" s="10">
        <f>BF19*0.04</f>
        <v>6110</v>
      </c>
      <c r="BG29" s="10">
        <f>BG19*0.04</f>
        <v>6110</v>
      </c>
      <c r="BH29" s="10">
        <f>BH19*0.04</f>
        <v>6110</v>
      </c>
      <c r="BI29" s="10">
        <f>BI19*0.04</f>
        <v>23270</v>
      </c>
      <c r="BJ29" s="2"/>
      <c r="BK29" s="11" t="s">
        <v>164</v>
      </c>
      <c r="BL29" s="12">
        <f>BL20*0.04</f>
        <v>4940</v>
      </c>
      <c r="BM29" s="12">
        <f>BM20*0.04</f>
        <v>6110</v>
      </c>
      <c r="BN29" s="12">
        <f>BN20*0.04</f>
        <v>6110</v>
      </c>
      <c r="BO29" s="12">
        <f>BO20*0.04</f>
        <v>6110</v>
      </c>
      <c r="BP29" s="12">
        <f t="shared" si="1"/>
        <v>23270</v>
      </c>
      <c r="BQ29" s="2"/>
    </row>
    <row r="30" spans="1:69" ht="24" thickBot="1" x14ac:dyDescent="0.4">
      <c r="A30" s="5"/>
      <c r="B30" s="5"/>
      <c r="C30" s="5"/>
      <c r="D30" s="5"/>
      <c r="E30" s="5"/>
      <c r="F30" s="2"/>
      <c r="G30" s="2"/>
      <c r="H30" s="2"/>
      <c r="I30" s="2"/>
      <c r="J30" s="2"/>
      <c r="K30" s="2"/>
      <c r="L30" s="2"/>
      <c r="M30" s="13">
        <v>9</v>
      </c>
      <c r="N30" s="12" t="s">
        <v>154</v>
      </c>
      <c r="O30" s="36">
        <f>$O$28/V6</f>
        <v>83.942431006322451</v>
      </c>
      <c r="P30" s="36">
        <f>P28/V6</f>
        <v>58.585879873551107</v>
      </c>
      <c r="Q30" s="36">
        <f>Q28/V6</f>
        <v>25.619986327713381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3">
        <v>6</v>
      </c>
      <c r="AG30" s="10" t="s">
        <v>179</v>
      </c>
      <c r="AH30" s="10">
        <v>4</v>
      </c>
      <c r="AI30" s="10">
        <f>U22</f>
        <v>13000</v>
      </c>
      <c r="AJ30" s="10">
        <f t="shared" si="4"/>
        <v>52000</v>
      </c>
      <c r="AK30" s="10">
        <f>AJ30</f>
        <v>52000</v>
      </c>
      <c r="AL30" s="10">
        <v>0</v>
      </c>
      <c r="AM30" s="10">
        <v>0</v>
      </c>
      <c r="AN30" s="2"/>
      <c r="AO30" s="13">
        <v>5</v>
      </c>
      <c r="AP30" s="10" t="s">
        <v>170</v>
      </c>
      <c r="AQ30" s="39"/>
      <c r="AR30" s="39"/>
      <c r="AS30" s="39"/>
      <c r="AT30" s="39"/>
      <c r="AU30" s="39"/>
      <c r="AV30" s="2"/>
      <c r="AW30" s="68" t="str">
        <f>AN5</f>
        <v>Покупка места в игру</v>
      </c>
      <c r="AX30" s="69"/>
      <c r="AY30" s="69"/>
      <c r="AZ30" s="70"/>
      <c r="BA30" s="2"/>
      <c r="BB30" s="13">
        <v>10</v>
      </c>
      <c r="BC30" s="10" t="s">
        <v>102</v>
      </c>
      <c r="BD30" s="10"/>
      <c r="BE30" s="36">
        <f>BE19-BE20-BE29</f>
        <v>85887.2644</v>
      </c>
      <c r="BF30" s="36">
        <f>$AC$15</f>
        <v>108101.583828</v>
      </c>
      <c r="BG30" s="36">
        <f>$AC$15</f>
        <v>108101.583828</v>
      </c>
      <c r="BH30" s="36">
        <f>$AC$15</f>
        <v>108101.583828</v>
      </c>
      <c r="BI30" s="36">
        <f>SUM(BE30:BH30)</f>
        <v>410192.01588399999</v>
      </c>
      <c r="BJ30" s="2"/>
      <c r="BK30" s="11" t="s">
        <v>117</v>
      </c>
      <c r="BL30" s="12"/>
      <c r="BM30" s="12"/>
      <c r="BN30" s="12"/>
      <c r="BO30" s="12"/>
      <c r="BP30" s="12"/>
      <c r="BQ30" s="2"/>
    </row>
    <row r="31" spans="1:69" ht="24" thickBo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0"/>
      <c r="N31" s="5"/>
      <c r="O31" s="5"/>
      <c r="P31" s="5"/>
      <c r="Q31" s="5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3">
        <v>7</v>
      </c>
      <c r="AG31" s="10" t="s">
        <v>182</v>
      </c>
      <c r="AH31" s="10">
        <v>4</v>
      </c>
      <c r="AI31" s="10">
        <f>D15</f>
        <v>6000</v>
      </c>
      <c r="AJ31" s="10">
        <f t="shared" si="4"/>
        <v>24000</v>
      </c>
      <c r="AK31" s="10">
        <f>AJ31</f>
        <v>24000</v>
      </c>
      <c r="AL31" s="10">
        <v>0</v>
      </c>
      <c r="AM31" s="10"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13" t="s">
        <v>87</v>
      </c>
      <c r="AX31" s="10">
        <f>AT5</f>
        <v>438750</v>
      </c>
      <c r="AY31" s="10">
        <f>AX31/$AK$5</f>
        <v>250</v>
      </c>
      <c r="AZ31" s="36">
        <f>AX5</f>
        <v>75.41899441340783</v>
      </c>
      <c r="BA31" s="2"/>
      <c r="BB31" s="13">
        <v>11</v>
      </c>
      <c r="BC31" s="10" t="s">
        <v>103</v>
      </c>
      <c r="BD31" s="10"/>
      <c r="BE31" s="10">
        <f>(($AY$32*AG5+$AY$27*AG4)/(1-($AY$33*AG5+$AY$28*AG4)/BE19))</f>
        <v>24428.130227903552</v>
      </c>
      <c r="BF31" s="38">
        <f t="shared" ref="BF31:BH31" si="5">(($AY$32*AH5+$AY$27*AH4)/(1-($AY$33*AH5+$AY$28*AH4)/BF19))</f>
        <v>32305.344861079997</v>
      </c>
      <c r="BG31" s="38">
        <f t="shared" si="5"/>
        <v>32305.344861079997</v>
      </c>
      <c r="BH31" s="38">
        <f t="shared" si="5"/>
        <v>32305.344861079997</v>
      </c>
      <c r="BI31" s="38">
        <f>(($AY$32*AK5+$AY$27*AK4)/(1-($AY$33*AK5+$AY$28*AK4)/BI19))</f>
        <v>121338.30416260038</v>
      </c>
      <c r="BJ31" s="2"/>
      <c r="BK31" s="11" t="s">
        <v>118</v>
      </c>
      <c r="BL31" s="12"/>
      <c r="BM31" s="12"/>
      <c r="BN31" s="12"/>
      <c r="BO31" s="12"/>
      <c r="BP31" s="12"/>
      <c r="BQ31" s="2"/>
    </row>
    <row r="32" spans="1:69" ht="24" thickBo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40"/>
      <c r="N32" s="5"/>
      <c r="O32" s="5"/>
      <c r="P32" s="5"/>
      <c r="Q32" s="5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3"/>
      <c r="AG32" s="10" t="s">
        <v>34</v>
      </c>
      <c r="AH32" s="10"/>
      <c r="AI32" s="10"/>
      <c r="AJ32" s="10">
        <f>SUM(AJ25:AJ31)</f>
        <v>350000</v>
      </c>
      <c r="AK32" s="10">
        <f>SUM(AK27:AK31)</f>
        <v>318000</v>
      </c>
      <c r="AL32" s="10">
        <v>0</v>
      </c>
      <c r="AM32" s="10"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13" t="s">
        <v>88</v>
      </c>
      <c r="AX32" s="10">
        <f>P28/2</f>
        <v>55598</v>
      </c>
      <c r="AY32" s="10">
        <f>AX32/$AK$5</f>
        <v>31.679772079772079</v>
      </c>
      <c r="AZ32" s="10"/>
      <c r="BA32" s="2"/>
      <c r="BB32" s="13">
        <v>12</v>
      </c>
      <c r="BC32" s="10" t="s">
        <v>104</v>
      </c>
      <c r="BD32" s="10"/>
      <c r="BE32" s="10">
        <f>BE30/BE20*100</f>
        <v>262.87135993595837</v>
      </c>
      <c r="BF32" s="10">
        <f>BF30/BF20*100</f>
        <v>328.72945504420147</v>
      </c>
      <c r="BG32" s="10">
        <f>BG30/BG20*100</f>
        <v>328.72945504420147</v>
      </c>
      <c r="BH32" s="10">
        <f>BH30/BH20*100</f>
        <v>328.72945504420147</v>
      </c>
      <c r="BI32" s="10">
        <f>BI30/BI20*100</f>
        <v>312.34464090748469</v>
      </c>
      <c r="BJ32" s="2"/>
      <c r="BK32" s="11" t="s">
        <v>119</v>
      </c>
      <c r="BL32" s="35">
        <f>BL21-BL22</f>
        <v>161000.58088749996</v>
      </c>
      <c r="BM32" s="35">
        <f>BM21-BM22</f>
        <v>349869.23122499994</v>
      </c>
      <c r="BN32" s="35">
        <f>BN21-BN22</f>
        <v>462237.88156249991</v>
      </c>
      <c r="BO32" s="35">
        <f>BO21-BO22</f>
        <v>574606.53189999994</v>
      </c>
      <c r="BP32" s="35">
        <f>BP21-BP22</f>
        <v>1547714.2255749996</v>
      </c>
      <c r="BQ32" s="2"/>
    </row>
    <row r="33" spans="1:69" ht="24" thickBo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0"/>
      <c r="N33" s="5"/>
      <c r="O33" s="5"/>
      <c r="P33" s="5"/>
      <c r="Q33" s="5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3" t="s">
        <v>89</v>
      </c>
      <c r="AX33" s="10">
        <f>Q13-BN13+Q14/2</f>
        <v>26966.152875</v>
      </c>
      <c r="AY33" s="10">
        <f>AX33/$AK$5</f>
        <v>15.365329273504273</v>
      </c>
      <c r="AZ33" s="10"/>
      <c r="BA33" s="2"/>
      <c r="BB33" s="13">
        <v>13</v>
      </c>
      <c r="BC33" s="10" t="s">
        <v>105</v>
      </c>
      <c r="BD33" s="10" t="s">
        <v>162</v>
      </c>
      <c r="BE33" s="10"/>
      <c r="BF33" s="10"/>
      <c r="BG33" s="10"/>
      <c r="BH33" s="10"/>
      <c r="BI33" s="10">
        <f>BE21/BI30*12</f>
        <v>8.1456485514454666</v>
      </c>
      <c r="BJ33" s="2"/>
      <c r="BK33" s="2"/>
      <c r="BL33" s="2"/>
      <c r="BM33" s="2"/>
      <c r="BN33" s="2"/>
      <c r="BO33" s="2"/>
      <c r="BP33" s="2"/>
      <c r="BQ33" s="2"/>
    </row>
    <row r="34" spans="1:69" ht="24" thickBo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3" t="s">
        <v>90</v>
      </c>
      <c r="AX34" s="10">
        <f>SUM(AX32:AX33)</f>
        <v>82564.152875</v>
      </c>
      <c r="AY34" s="10">
        <f>AX34/$AK$5</f>
        <v>47.045101353276351</v>
      </c>
      <c r="AZ34" s="10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1"/>
      <c r="T70" s="41"/>
      <c r="U70" s="41"/>
      <c r="V70" s="41"/>
      <c r="W70" s="41"/>
      <c r="X70" s="41"/>
      <c r="Y70" s="41"/>
      <c r="Z70" s="2"/>
      <c r="AA70" s="41"/>
      <c r="AB70" s="41"/>
      <c r="AC70" s="41"/>
      <c r="AD70" s="4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1"/>
      <c r="T71" s="41"/>
      <c r="U71" s="41"/>
      <c r="V71" s="41"/>
      <c r="W71" s="41"/>
      <c r="X71" s="41"/>
      <c r="Y71" s="41"/>
      <c r="Z71" s="2"/>
      <c r="AA71" s="41"/>
      <c r="AB71" s="41"/>
      <c r="AC71" s="41"/>
      <c r="AD71" s="4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1"/>
      <c r="T72" s="41"/>
      <c r="U72" s="41"/>
      <c r="V72" s="41"/>
      <c r="W72" s="41"/>
      <c r="X72" s="41"/>
      <c r="Y72" s="41"/>
      <c r="Z72" s="2"/>
      <c r="AA72" s="41"/>
      <c r="AB72" s="41"/>
      <c r="AC72" s="41"/>
      <c r="AD72" s="4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1"/>
      <c r="T73" s="41"/>
      <c r="U73" s="41"/>
      <c r="V73" s="41"/>
      <c r="W73" s="41"/>
      <c r="X73" s="41"/>
      <c r="Y73" s="41"/>
      <c r="Z73" s="2"/>
      <c r="AA73" s="41"/>
      <c r="AB73" s="41"/>
      <c r="AC73" s="41"/>
      <c r="AD73" s="4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1"/>
      <c r="T74" s="41"/>
      <c r="U74" s="41"/>
      <c r="V74" s="41"/>
      <c r="W74" s="41"/>
      <c r="X74" s="41"/>
      <c r="Y74" s="41"/>
      <c r="Z74" s="2"/>
      <c r="AA74" s="41"/>
      <c r="AB74" s="41"/>
      <c r="AC74" s="41"/>
      <c r="AD74" s="4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1"/>
      <c r="T75" s="41"/>
      <c r="U75" s="41"/>
      <c r="V75" s="41"/>
      <c r="W75" s="41"/>
      <c r="X75" s="41"/>
      <c r="Y75" s="41"/>
      <c r="Z75" s="2"/>
      <c r="AA75" s="41"/>
      <c r="AB75" s="41"/>
      <c r="AC75" s="41"/>
      <c r="AD75" s="4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1"/>
      <c r="T76" s="41"/>
      <c r="U76" s="41"/>
      <c r="V76" s="41"/>
      <c r="W76" s="41"/>
      <c r="X76" s="41"/>
      <c r="Y76" s="41"/>
      <c r="Z76" s="2"/>
      <c r="AA76" s="41"/>
      <c r="AB76" s="41"/>
      <c r="AC76" s="41"/>
      <c r="AD76" s="4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41"/>
      <c r="BL76" s="41"/>
      <c r="BM76" s="41"/>
      <c r="BN76" s="41"/>
      <c r="BO76" s="41"/>
      <c r="BP76" s="41"/>
      <c r="BQ76" s="2"/>
    </row>
    <row r="77" spans="1:69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1"/>
      <c r="T77" s="41"/>
      <c r="U77" s="41"/>
      <c r="V77" s="41"/>
      <c r="W77" s="41"/>
      <c r="X77" s="41"/>
      <c r="Y77" s="41"/>
      <c r="Z77" s="2"/>
      <c r="AA77" s="41"/>
      <c r="AB77" s="41"/>
      <c r="AC77" s="41"/>
      <c r="AD77" s="4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2"/>
    </row>
    <row r="78" spans="1:69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1"/>
      <c r="T78" s="41"/>
      <c r="U78" s="41"/>
      <c r="V78" s="41"/>
      <c r="W78" s="41"/>
      <c r="X78" s="41"/>
      <c r="Y78" s="41"/>
      <c r="Z78" s="2"/>
      <c r="AA78" s="41"/>
      <c r="AB78" s="41"/>
      <c r="AC78" s="41"/>
      <c r="AD78" s="4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2"/>
    </row>
    <row r="79" spans="1:69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1"/>
      <c r="T79" s="41"/>
      <c r="U79" s="41"/>
      <c r="V79" s="41"/>
      <c r="W79" s="41"/>
      <c r="X79" s="41"/>
      <c r="Y79" s="41"/>
      <c r="Z79" s="2"/>
      <c r="AA79" s="41"/>
      <c r="AB79" s="41"/>
      <c r="AC79" s="41"/>
      <c r="AD79" s="4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2"/>
    </row>
    <row r="80" spans="1:69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1"/>
      <c r="T80" s="41"/>
      <c r="U80" s="41"/>
      <c r="V80" s="41"/>
      <c r="W80" s="41"/>
      <c r="X80" s="41"/>
      <c r="Y80" s="41"/>
      <c r="Z80" s="2"/>
      <c r="AA80" s="41"/>
      <c r="AB80" s="41"/>
      <c r="AC80" s="41"/>
      <c r="AD80" s="4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2"/>
    </row>
    <row r="81" spans="1:69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1"/>
      <c r="T81" s="41"/>
      <c r="U81" s="41"/>
      <c r="V81" s="41"/>
      <c r="W81" s="41"/>
      <c r="X81" s="41"/>
      <c r="Y81" s="41"/>
      <c r="Z81" s="2"/>
      <c r="AA81" s="41"/>
      <c r="AB81" s="41"/>
      <c r="AC81" s="41"/>
      <c r="AD81" s="4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2"/>
    </row>
    <row r="82" spans="1:69" x14ac:dyDescent="0.35">
      <c r="A82" s="2"/>
      <c r="B82" s="2"/>
      <c r="C82" s="2"/>
      <c r="D82" s="2"/>
      <c r="E82" s="2"/>
      <c r="F82" s="2"/>
      <c r="G82" s="41"/>
      <c r="H82" s="41"/>
      <c r="I82" s="41"/>
      <c r="J82" s="41"/>
      <c r="K82" s="41"/>
      <c r="L82" s="2"/>
      <c r="M82" s="41"/>
      <c r="N82" s="41"/>
      <c r="O82" s="41"/>
      <c r="P82" s="41"/>
      <c r="Q82" s="41"/>
      <c r="R82" s="2"/>
      <c r="S82" s="41"/>
      <c r="T82" s="41"/>
      <c r="U82" s="41"/>
      <c r="V82" s="41"/>
      <c r="W82" s="41"/>
      <c r="X82" s="41"/>
      <c r="Y82" s="41"/>
      <c r="Z82" s="2"/>
      <c r="AA82" s="41"/>
      <c r="AB82" s="41"/>
      <c r="AC82" s="41"/>
      <c r="AD82" s="4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2"/>
    </row>
    <row r="83" spans="1:69" x14ac:dyDescent="0.35">
      <c r="A83" s="2"/>
      <c r="B83" s="2"/>
      <c r="C83" s="2"/>
      <c r="D83" s="2"/>
      <c r="E83" s="2"/>
      <c r="F83" s="2"/>
      <c r="G83" s="41"/>
      <c r="H83" s="41"/>
      <c r="I83" s="41"/>
      <c r="J83" s="41"/>
      <c r="K83" s="41"/>
      <c r="L83" s="2"/>
      <c r="M83" s="41"/>
      <c r="N83" s="41"/>
      <c r="O83" s="41"/>
      <c r="P83" s="41"/>
      <c r="Q83" s="41"/>
      <c r="R83" s="2"/>
      <c r="S83" s="41"/>
      <c r="T83" s="41"/>
      <c r="U83" s="41"/>
      <c r="V83" s="41"/>
      <c r="W83" s="41"/>
      <c r="X83" s="41"/>
      <c r="Y83" s="41"/>
      <c r="Z83" s="2"/>
      <c r="AA83" s="41"/>
      <c r="AB83" s="41"/>
      <c r="AC83" s="41"/>
      <c r="AD83" s="4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41"/>
      <c r="AP83" s="41"/>
      <c r="AQ83" s="41"/>
      <c r="AR83" s="41"/>
      <c r="AS83" s="41"/>
      <c r="AT83" s="41"/>
      <c r="AU83" s="41"/>
      <c r="AV83" s="2"/>
      <c r="AW83" s="2"/>
      <c r="AX83" s="2"/>
      <c r="AY83" s="2"/>
      <c r="AZ83" s="2"/>
      <c r="BA83" s="2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2"/>
    </row>
    <row r="84" spans="1:69" x14ac:dyDescent="0.3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2"/>
      <c r="AG84" s="2"/>
      <c r="AH84" s="2"/>
      <c r="AI84" s="2"/>
      <c r="AJ84" s="2"/>
      <c r="AK84" s="2"/>
      <c r="AL84" s="2"/>
      <c r="AM84" s="2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</row>
    <row r="85" spans="1:69" x14ac:dyDescent="0.3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2"/>
      <c r="AG85" s="2"/>
      <c r="AH85" s="2"/>
      <c r="AI85" s="2"/>
      <c r="AJ85" s="2"/>
      <c r="AK85" s="2"/>
      <c r="AL85" s="2"/>
      <c r="AM85" s="2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</row>
    <row r="86" spans="1:69" x14ac:dyDescent="0.3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2"/>
      <c r="AG86" s="2"/>
      <c r="AH86" s="2"/>
      <c r="AI86" s="2"/>
      <c r="AJ86" s="2"/>
      <c r="AK86" s="2"/>
      <c r="AL86" s="2"/>
      <c r="AM86" s="2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</row>
    <row r="87" spans="1:69" x14ac:dyDescent="0.3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2"/>
      <c r="AG87" s="2"/>
      <c r="AH87" s="2"/>
      <c r="AI87" s="2"/>
      <c r="AJ87" s="2"/>
      <c r="AK87" s="2"/>
      <c r="AL87" s="2"/>
      <c r="AM87" s="2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</row>
    <row r="88" spans="1:69" x14ac:dyDescent="0.3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</row>
    <row r="89" spans="1:69" x14ac:dyDescent="0.3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</row>
    <row r="90" spans="1:69" x14ac:dyDescent="0.3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</row>
    <row r="91" spans="1:69" x14ac:dyDescent="0.3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</row>
    <row r="92" spans="1:69" x14ac:dyDescent="0.3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</row>
    <row r="93" spans="1:69" x14ac:dyDescent="0.3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</row>
    <row r="94" spans="1:69" x14ac:dyDescent="0.3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</row>
    <row r="95" spans="1:69" x14ac:dyDescent="0.3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</row>
    <row r="96" spans="1:69" x14ac:dyDescent="0.3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</row>
    <row r="97" spans="1:69" x14ac:dyDescent="0.3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</row>
    <row r="98" spans="1:69" x14ac:dyDescent="0.3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</row>
    <row r="99" spans="1:69" x14ac:dyDescent="0.3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</row>
    <row r="100" spans="1:69" x14ac:dyDescent="0.3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</row>
    <row r="101" spans="1:69" x14ac:dyDescent="0.3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</row>
    <row r="102" spans="1:69" x14ac:dyDescent="0.3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</row>
    <row r="103" spans="1:69" x14ac:dyDescent="0.3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</row>
    <row r="104" spans="1:69" x14ac:dyDescent="0.3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</row>
    <row r="105" spans="1:69" x14ac:dyDescent="0.3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</row>
    <row r="106" spans="1:69" x14ac:dyDescent="0.3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</row>
    <row r="107" spans="1:69" x14ac:dyDescent="0.3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</row>
    <row r="108" spans="1:69" x14ac:dyDescent="0.3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</row>
    <row r="109" spans="1:69" x14ac:dyDescent="0.3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</row>
    <row r="110" spans="1:69" x14ac:dyDescent="0.3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</row>
    <row r="111" spans="1:69" x14ac:dyDescent="0.3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</row>
    <row r="112" spans="1:69" x14ac:dyDescent="0.3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</row>
    <row r="113" spans="1:69" x14ac:dyDescent="0.3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</row>
    <row r="114" spans="1:69" x14ac:dyDescent="0.3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</row>
    <row r="115" spans="1:69" x14ac:dyDescent="0.3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</row>
    <row r="116" spans="1:69" x14ac:dyDescent="0.3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</row>
    <row r="117" spans="1:69" x14ac:dyDescent="0.3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</row>
    <row r="118" spans="1:69" x14ac:dyDescent="0.3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</row>
    <row r="119" spans="1:69" x14ac:dyDescent="0.3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</row>
    <row r="120" spans="1:69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</row>
    <row r="121" spans="1:69" x14ac:dyDescent="0.3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</row>
    <row r="122" spans="1:69" x14ac:dyDescent="0.3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</row>
    <row r="123" spans="1:69" x14ac:dyDescent="0.3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</row>
    <row r="124" spans="1:69" x14ac:dyDescent="0.3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</row>
    <row r="125" spans="1:69" x14ac:dyDescent="0.3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</row>
    <row r="126" spans="1:69" x14ac:dyDescent="0.3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</row>
    <row r="127" spans="1:69" x14ac:dyDescent="0.3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</row>
    <row r="128" spans="1:69" x14ac:dyDescent="0.3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</row>
    <row r="129" spans="1:69" x14ac:dyDescent="0.3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</row>
    <row r="130" spans="1:69" x14ac:dyDescent="0.3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</row>
    <row r="131" spans="1:69" x14ac:dyDescent="0.3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</row>
    <row r="132" spans="1:69" x14ac:dyDescent="0.3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</row>
    <row r="133" spans="1:69" x14ac:dyDescent="0.3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</row>
    <row r="134" spans="1:69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</row>
    <row r="135" spans="1:69" x14ac:dyDescent="0.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</row>
    <row r="136" spans="1:69" x14ac:dyDescent="0.3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</row>
    <row r="137" spans="1:69" x14ac:dyDescent="0.3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</row>
    <row r="138" spans="1:69" x14ac:dyDescent="0.3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</row>
    <row r="139" spans="1:69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</row>
    <row r="140" spans="1:69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</row>
    <row r="141" spans="1:69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</row>
    <row r="142" spans="1:69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</row>
    <row r="143" spans="1:69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</row>
    <row r="144" spans="1:69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</row>
    <row r="145" spans="1:69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</row>
    <row r="146" spans="1:69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</row>
    <row r="147" spans="1:69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</row>
    <row r="148" spans="1:69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</row>
    <row r="149" spans="1:69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</row>
    <row r="150" spans="1:69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</row>
    <row r="151" spans="1:69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</row>
    <row r="152" spans="1:69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</row>
    <row r="153" spans="1:69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</row>
    <row r="154" spans="1:69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</row>
    <row r="155" spans="1:69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</row>
    <row r="156" spans="1:69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</row>
    <row r="157" spans="1:69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</row>
    <row r="158" spans="1:69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</row>
    <row r="159" spans="1:69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</row>
    <row r="160" spans="1:69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</row>
    <row r="161" spans="1:69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</row>
    <row r="162" spans="1:69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</row>
    <row r="163" spans="1:69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</row>
    <row r="164" spans="1:69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</row>
    <row r="165" spans="1:69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</row>
    <row r="166" spans="1:69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</row>
    <row r="167" spans="1:69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</row>
    <row r="168" spans="1:69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</row>
    <row r="169" spans="1:69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</row>
    <row r="170" spans="1:69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</row>
    <row r="171" spans="1:69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</row>
    <row r="172" spans="1:69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</row>
    <row r="173" spans="1:69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</row>
    <row r="174" spans="1:69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</row>
    <row r="175" spans="1:69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</row>
    <row r="176" spans="1:69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</row>
    <row r="177" spans="1:69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</row>
    <row r="178" spans="1:69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</row>
    <row r="179" spans="1:69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</row>
    <row r="180" spans="1:69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</row>
    <row r="181" spans="1:69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</row>
    <row r="182" spans="1:69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</row>
    <row r="183" spans="1:69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</row>
    <row r="184" spans="1:69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</row>
    <row r="185" spans="1:69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</row>
    <row r="186" spans="1:69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</row>
    <row r="187" spans="1:69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</row>
    <row r="188" spans="1:69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</row>
    <row r="189" spans="1:69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</row>
    <row r="190" spans="1:69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</row>
    <row r="191" spans="1:69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</row>
    <row r="192" spans="1:69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</row>
    <row r="193" spans="1:69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</row>
    <row r="194" spans="1:69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</row>
    <row r="195" spans="1:69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</row>
    <row r="196" spans="1:69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</row>
    <row r="197" spans="1:69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</row>
    <row r="198" spans="1:69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</row>
    <row r="199" spans="1:69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</row>
    <row r="200" spans="1:69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</row>
    <row r="201" spans="1:69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</row>
    <row r="202" spans="1:69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</row>
    <row r="203" spans="1:69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</row>
    <row r="204" spans="1:69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</row>
    <row r="205" spans="1:69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</row>
    <row r="206" spans="1:69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</row>
    <row r="207" spans="1:69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</row>
    <row r="208" spans="1:69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</row>
    <row r="209" spans="1:69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</row>
    <row r="210" spans="1:69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</row>
    <row r="211" spans="1:69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</row>
    <row r="212" spans="1:69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</row>
    <row r="213" spans="1:69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</row>
    <row r="214" spans="1:69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</row>
    <row r="215" spans="1:69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</row>
    <row r="216" spans="1:69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</row>
    <row r="217" spans="1:69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</row>
    <row r="218" spans="1:69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</row>
    <row r="219" spans="1:69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</row>
    <row r="220" spans="1:69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</row>
    <row r="221" spans="1:69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</row>
    <row r="222" spans="1:69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</row>
    <row r="223" spans="1:69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</row>
    <row r="224" spans="1:69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</row>
    <row r="225" spans="1:69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</row>
    <row r="226" spans="1:69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</row>
    <row r="227" spans="1:69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</row>
    <row r="228" spans="1:69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</row>
    <row r="229" spans="1:69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</row>
    <row r="230" spans="1:69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</row>
    <row r="231" spans="1:69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</row>
    <row r="232" spans="1:69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</row>
    <row r="233" spans="1:69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</row>
    <row r="234" spans="1:69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</row>
    <row r="235" spans="1:69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</row>
    <row r="236" spans="1:69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</row>
    <row r="237" spans="1:69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</row>
    <row r="238" spans="1:69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</row>
    <row r="239" spans="1:69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</row>
    <row r="240" spans="1:69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</row>
    <row r="241" spans="1:69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</row>
    <row r="242" spans="1:69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</row>
    <row r="243" spans="1:69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</row>
    <row r="244" spans="1:69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</row>
    <row r="245" spans="1:69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</row>
    <row r="246" spans="1:69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</row>
    <row r="247" spans="1:69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</row>
    <row r="248" spans="1:69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</row>
    <row r="249" spans="1:69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</row>
    <row r="250" spans="1:69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</row>
    <row r="251" spans="1:69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</row>
    <row r="252" spans="1:69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</row>
    <row r="253" spans="1:69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</row>
    <row r="254" spans="1:69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</row>
    <row r="255" spans="1:69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</row>
    <row r="256" spans="1:69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</row>
    <row r="257" spans="1:69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</row>
    <row r="258" spans="1:69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</row>
    <row r="259" spans="1:69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</row>
    <row r="260" spans="1:69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</row>
    <row r="261" spans="1:69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</row>
    <row r="262" spans="1:69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</row>
    <row r="263" spans="1:69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</row>
    <row r="264" spans="1:69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</row>
    <row r="265" spans="1:69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</row>
    <row r="266" spans="1:69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</row>
    <row r="267" spans="1:69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</row>
    <row r="268" spans="1:69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</row>
    <row r="269" spans="1:69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</row>
    <row r="270" spans="1:69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</row>
    <row r="271" spans="1:69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</row>
    <row r="272" spans="1:69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</row>
    <row r="273" spans="1:69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</row>
    <row r="274" spans="1:69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</row>
    <row r="275" spans="1:69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</row>
    <row r="276" spans="1:69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</row>
    <row r="277" spans="1:69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</row>
    <row r="278" spans="1:69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</row>
    <row r="279" spans="1:69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</row>
    <row r="280" spans="1:69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</row>
    <row r="281" spans="1:69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</row>
    <row r="282" spans="1:69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</row>
    <row r="283" spans="1:69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</row>
    <row r="284" spans="1:69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</row>
    <row r="285" spans="1:69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</row>
    <row r="286" spans="1:69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</row>
    <row r="287" spans="1:69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</row>
    <row r="288" spans="1:69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</row>
    <row r="289" spans="1:69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</row>
    <row r="290" spans="1:69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</row>
    <row r="291" spans="1:69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</row>
    <row r="292" spans="1:69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</row>
    <row r="293" spans="1:69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</row>
    <row r="294" spans="1:69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</row>
    <row r="295" spans="1:69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</row>
    <row r="296" spans="1:69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</row>
    <row r="297" spans="1:69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</row>
    <row r="298" spans="1:69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</row>
    <row r="299" spans="1:69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</row>
    <row r="300" spans="1:69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</row>
    <row r="301" spans="1:69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</row>
    <row r="302" spans="1:69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</row>
    <row r="303" spans="1:69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</row>
    <row r="304" spans="1:69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</row>
    <row r="305" spans="1:69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</row>
    <row r="306" spans="1:69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</row>
    <row r="307" spans="1:69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</row>
    <row r="308" spans="1:69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</row>
    <row r="309" spans="1:69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</row>
    <row r="310" spans="1:69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</row>
    <row r="311" spans="1:69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</row>
    <row r="312" spans="1:69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</row>
    <row r="313" spans="1:69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</row>
    <row r="314" spans="1:69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</row>
    <row r="315" spans="1:69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</row>
    <row r="316" spans="1:69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</row>
    <row r="317" spans="1:69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</row>
    <row r="318" spans="1:69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</row>
    <row r="319" spans="1:69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</row>
    <row r="320" spans="1:69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</row>
    <row r="321" spans="1:69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</row>
    <row r="322" spans="1:69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</row>
    <row r="323" spans="1:69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</row>
    <row r="324" spans="1:69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</row>
    <row r="325" spans="1:69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Z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</row>
    <row r="326" spans="1:69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Z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</row>
    <row r="327" spans="1:69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Z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</row>
    <row r="328" spans="1:69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Z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</row>
    <row r="329" spans="1:69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Z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</row>
    <row r="330" spans="1:69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Z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</row>
    <row r="331" spans="1:69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Z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Q331" s="41"/>
    </row>
    <row r="332" spans="1:69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Z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Q332" s="41"/>
    </row>
    <row r="333" spans="1:69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Z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Q333" s="41"/>
    </row>
    <row r="334" spans="1:69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Z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Q334" s="41"/>
    </row>
    <row r="335" spans="1:69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Z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Q335" s="41"/>
    </row>
    <row r="336" spans="1:69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Z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Q336" s="41"/>
    </row>
    <row r="337" spans="1:69" x14ac:dyDescent="0.35">
      <c r="A337" s="41"/>
      <c r="B337" s="41"/>
      <c r="C337" s="41"/>
      <c r="D337" s="41"/>
      <c r="E337" s="41"/>
      <c r="F337" s="41"/>
      <c r="L337" s="41"/>
      <c r="R337" s="41"/>
      <c r="Z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Q337" s="41"/>
    </row>
    <row r="338" spans="1:69" x14ac:dyDescent="0.35">
      <c r="A338" s="41"/>
      <c r="B338" s="41"/>
      <c r="C338" s="41"/>
      <c r="D338" s="41"/>
      <c r="E338" s="41"/>
      <c r="F338" s="41"/>
      <c r="L338" s="41"/>
      <c r="R338" s="41"/>
      <c r="Z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V338" s="41"/>
      <c r="AW338" s="41"/>
      <c r="AX338" s="41"/>
      <c r="AY338" s="41"/>
      <c r="AZ338" s="41"/>
      <c r="BA338" s="41"/>
      <c r="BQ338" s="41"/>
    </row>
    <row r="339" spans="1:69" x14ac:dyDescent="0.35">
      <c r="AF339" s="41"/>
      <c r="AG339" s="41"/>
      <c r="AH339" s="41"/>
      <c r="AI339" s="41"/>
      <c r="AJ339" s="41"/>
      <c r="AK339" s="41"/>
      <c r="AL339" s="41"/>
      <c r="AM339" s="41"/>
    </row>
    <row r="340" spans="1:69" x14ac:dyDescent="0.35">
      <c r="AF340" s="41"/>
      <c r="AG340" s="41"/>
      <c r="AH340" s="41"/>
      <c r="AI340" s="41"/>
      <c r="AJ340" s="41"/>
      <c r="AK340" s="41"/>
      <c r="AL340" s="41"/>
      <c r="AM340" s="41"/>
    </row>
    <row r="341" spans="1:69" x14ac:dyDescent="0.35">
      <c r="AF341" s="41"/>
      <c r="AG341" s="41"/>
      <c r="AH341" s="41"/>
      <c r="AI341" s="41"/>
      <c r="AJ341" s="41"/>
      <c r="AK341" s="41"/>
      <c r="AL341" s="41"/>
      <c r="AM341" s="41"/>
    </row>
    <row r="342" spans="1:69" x14ac:dyDescent="0.35">
      <c r="AF342" s="41"/>
      <c r="AG342" s="41"/>
      <c r="AH342" s="41"/>
      <c r="AI342" s="41"/>
      <c r="AJ342" s="41"/>
      <c r="AK342" s="41"/>
      <c r="AL342" s="41"/>
      <c r="AM342" s="41"/>
    </row>
  </sheetData>
  <mergeCells count="65">
    <mergeCell ref="AW30:AZ30"/>
    <mergeCell ref="BB16:BB17"/>
    <mergeCell ref="BC16:BC17"/>
    <mergeCell ref="BP16:BP17"/>
    <mergeCell ref="BD16:BD17"/>
    <mergeCell ref="BE16:BH16"/>
    <mergeCell ref="BI16:BI17"/>
    <mergeCell ref="BK16:BK17"/>
    <mergeCell ref="BL16:BO16"/>
    <mergeCell ref="AZ23:AZ24"/>
    <mergeCell ref="AW25:AZ25"/>
    <mergeCell ref="AW23:AW24"/>
    <mergeCell ref="AX23:AX24"/>
    <mergeCell ref="AY23:AY24"/>
    <mergeCell ref="AJ23:AJ24"/>
    <mergeCell ref="AK23:AM23"/>
    <mergeCell ref="AP23:AP24"/>
    <mergeCell ref="AQ23:AQ25"/>
    <mergeCell ref="AR23:AU24"/>
    <mergeCell ref="AC9:AD9"/>
    <mergeCell ref="AF23:AF24"/>
    <mergeCell ref="AG23:AG24"/>
    <mergeCell ref="AH23:AH24"/>
    <mergeCell ref="AI23:AI24"/>
    <mergeCell ref="AA9:AA10"/>
    <mergeCell ref="AB9:AB10"/>
    <mergeCell ref="O9:Q9"/>
    <mergeCell ref="O10:O11"/>
    <mergeCell ref="P10:Q10"/>
    <mergeCell ref="S9:S10"/>
    <mergeCell ref="T9:T10"/>
    <mergeCell ref="U9:Y9"/>
    <mergeCell ref="M9:M11"/>
    <mergeCell ref="N9:N11"/>
    <mergeCell ref="K2:M2"/>
    <mergeCell ref="AP2:AS2"/>
    <mergeCell ref="AF2:AF3"/>
    <mergeCell ref="AD2:AD3"/>
    <mergeCell ref="P2:P3"/>
    <mergeCell ref="Q2:Q3"/>
    <mergeCell ref="R2:U2"/>
    <mergeCell ref="V2:V3"/>
    <mergeCell ref="AE2:AE3"/>
    <mergeCell ref="AG2:AJ2"/>
    <mergeCell ref="AM2:AM3"/>
    <mergeCell ref="AN2:AN3"/>
    <mergeCell ref="AO2:AO3"/>
    <mergeCell ref="AK2:AK3"/>
    <mergeCell ref="D9:E9"/>
    <mergeCell ref="C9:C10"/>
    <mergeCell ref="B9:B10"/>
    <mergeCell ref="B2:B3"/>
    <mergeCell ref="F2:F3"/>
    <mergeCell ref="A2:A3"/>
    <mergeCell ref="C2:C3"/>
    <mergeCell ref="D2:D3"/>
    <mergeCell ref="E2:E3"/>
    <mergeCell ref="BO2:BO3"/>
    <mergeCell ref="BE2:BE3"/>
    <mergeCell ref="BF2:BF3"/>
    <mergeCell ref="BG2:BJ2"/>
    <mergeCell ref="BK2:BN2"/>
    <mergeCell ref="H2:H3"/>
    <mergeCell ref="I2:I3"/>
    <mergeCell ref="J2:J3"/>
  </mergeCells>
  <pageMargins left="0.7" right="0.7" top="0.75" bottom="0.75" header="0.3" footer="0.3"/>
  <pageSetup paperSize="9" orientation="portrait" r:id="rId1"/>
  <ignoredErrors>
    <ignoredError sqref="AC14:AD14 BP28 BI29 BI26" formula="1"/>
    <ignoredError sqref="AX3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2024-03-13T12:20:11Z</dcterms:modified>
</cp:coreProperties>
</file>