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19\TrendBudget\SRI03\Non Payroll\"/>
    </mc:Choice>
  </mc:AlternateContent>
  <bookViews>
    <workbookView xWindow="0" yWindow="0" windowWidth="19200" windowHeight="7050" firstSheet="1" activeTab="2"/>
  </bookViews>
  <sheets>
    <sheet name="Sheet1" sheetId="1" state="hidden" r:id="rId1"/>
    <sheet name="Non-payroll" sheetId="4" r:id="rId2"/>
    <sheet name="By Individual" sheetId="2" r:id="rId3"/>
  </sheets>
  <externalReferences>
    <externalReference r:id="rId4"/>
    <externalReference r:id="rId5"/>
  </externalReferences>
  <definedNames>
    <definedName name="_xlnm._FilterDatabase" localSheetId="2" hidden="1">'By Individual'!$A$1:$T$37</definedName>
  </definedName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35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31" i="2"/>
  <c r="S30" i="2"/>
  <c r="S23" i="2"/>
  <c r="S22" i="2"/>
  <c r="S21" i="2"/>
  <c r="S20" i="2"/>
  <c r="S19" i="2"/>
  <c r="S17" i="2"/>
  <c r="S16" i="2"/>
  <c r="S15" i="2"/>
  <c r="S14" i="2"/>
  <c r="S13" i="2"/>
  <c r="S12" i="2"/>
  <c r="S11" i="2"/>
  <c r="S10" i="2"/>
  <c r="S9" i="2"/>
  <c r="S7" i="2"/>
  <c r="S6" i="2"/>
  <c r="S5" i="2"/>
  <c r="S4" i="2"/>
  <c r="S3" i="2"/>
  <c r="E13" i="4" l="1"/>
  <c r="B17" i="4" s="1"/>
  <c r="B19" i="4" s="1"/>
  <c r="E14" i="4"/>
  <c r="F14" i="4" s="1"/>
  <c r="B18" i="4"/>
  <c r="K34" i="2"/>
  <c r="H9" i="1" l="1"/>
  <c r="G3" i="1"/>
  <c r="G11" i="1" s="1"/>
  <c r="F3" i="1"/>
  <c r="F11" i="1" s="1"/>
  <c r="E3" i="1"/>
  <c r="E11" i="1" s="1"/>
  <c r="D3" i="1"/>
  <c r="D11" i="1" s="1"/>
  <c r="C3" i="1"/>
  <c r="C11" i="1" s="1"/>
  <c r="H10" i="1"/>
  <c r="H8" i="1"/>
  <c r="H7" i="1"/>
  <c r="H6" i="1"/>
  <c r="H5" i="1"/>
  <c r="H4" i="1"/>
  <c r="H3" i="1" l="1"/>
  <c r="H11" i="1" s="1"/>
  <c r="L19" i="2"/>
  <c r="L11" i="2"/>
  <c r="L5" i="2"/>
  <c r="L2" i="2"/>
  <c r="I13" i="4" l="1"/>
  <c r="J15" i="4" l="1"/>
  <c r="C18" i="4" s="1"/>
  <c r="C19" i="4" s="1"/>
  <c r="Q36" i="2"/>
  <c r="N36" i="2"/>
  <c r="M35" i="2"/>
  <c r="L35" i="2"/>
  <c r="K35" i="2"/>
  <c r="P33" i="2"/>
  <c r="N33" i="2"/>
  <c r="M33" i="2"/>
  <c r="L33" i="2"/>
  <c r="K33" i="2"/>
  <c r="L32" i="2"/>
  <c r="K32" i="2"/>
  <c r="P31" i="2"/>
  <c r="L31" i="2"/>
  <c r="K31" i="2"/>
  <c r="L30" i="2"/>
  <c r="K30" i="2"/>
  <c r="M29" i="2"/>
  <c r="L29" i="2"/>
  <c r="K29" i="2"/>
  <c r="P28" i="2"/>
  <c r="P36" i="2" s="1"/>
  <c r="L28" i="2"/>
  <c r="K28" i="2"/>
  <c r="P26" i="2"/>
  <c r="M26" i="2"/>
  <c r="L26" i="2"/>
  <c r="K26" i="2"/>
  <c r="M25" i="2"/>
  <c r="M36" i="2" s="1"/>
  <c r="L25" i="2"/>
  <c r="K25" i="2"/>
  <c r="L24" i="2"/>
  <c r="K24" i="2"/>
  <c r="L23" i="2"/>
  <c r="K23" i="2"/>
  <c r="L22" i="2"/>
  <c r="K22" i="2"/>
  <c r="L21" i="2"/>
  <c r="K21" i="2"/>
  <c r="L20" i="2"/>
  <c r="K20" i="2"/>
  <c r="K19" i="2"/>
  <c r="L18" i="2"/>
  <c r="K18" i="2"/>
  <c r="L17" i="2"/>
  <c r="K17" i="2"/>
  <c r="L16" i="2"/>
  <c r="K16" i="2"/>
  <c r="K15" i="2"/>
  <c r="H15" i="2"/>
  <c r="L14" i="2"/>
  <c r="K14" i="2"/>
  <c r="L13" i="2"/>
  <c r="K13" i="2"/>
  <c r="H13" i="2"/>
  <c r="L12" i="2"/>
  <c r="K12" i="2"/>
  <c r="K11" i="2"/>
  <c r="L10" i="2"/>
  <c r="K10" i="2"/>
  <c r="H10" i="2"/>
  <c r="L9" i="2"/>
  <c r="K9" i="2"/>
  <c r="L8" i="2"/>
  <c r="K8" i="2"/>
  <c r="H8" i="2"/>
  <c r="L7" i="2"/>
  <c r="K7" i="2"/>
  <c r="L6" i="2"/>
  <c r="K6" i="2"/>
  <c r="K5" i="2"/>
  <c r="L4" i="2"/>
  <c r="K4" i="2"/>
  <c r="L3" i="2"/>
  <c r="K3" i="2"/>
  <c r="O2" i="2"/>
  <c r="K2" i="2"/>
  <c r="H36" i="2" l="1"/>
  <c r="S36" i="2"/>
  <c r="K36" i="2"/>
</calcChain>
</file>

<file path=xl/comments1.xml><?xml version="1.0" encoding="utf-8"?>
<comments xmlns="http://schemas.openxmlformats.org/spreadsheetml/2006/main">
  <authors>
    <author>LI Haley</author>
  </authors>
  <commentList>
    <comment ref="S25" authorId="0" shapeId="0">
      <text>
        <r>
          <rPr>
            <b/>
            <sz val="9"/>
            <color indexed="81"/>
            <rFont val="Tahoma"/>
            <family val="2"/>
          </rPr>
          <t>LI Haley:</t>
        </r>
        <r>
          <rPr>
            <sz val="9"/>
            <color indexed="81"/>
            <rFont val="Tahoma"/>
            <family val="2"/>
          </rPr>
          <t xml:space="preserve">
305580 PHP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LI Haley:
copy Judith</t>
        </r>
      </text>
    </comment>
  </commentList>
</comments>
</file>

<file path=xl/sharedStrings.xml><?xml version="1.0" encoding="utf-8"?>
<sst xmlns="http://schemas.openxmlformats.org/spreadsheetml/2006/main" count="204" uniqueCount="94">
  <si>
    <t>H0005500 - MDC - FIXED COST</t>
  </si>
  <si>
    <t>H0005501 - Zone HR</t>
  </si>
  <si>
    <t>H0005502 - APAC Regularoty</t>
  </si>
  <si>
    <t>H0005503 - APAC-F&amp;A</t>
  </si>
  <si>
    <t>H0005505 - APAC-Purchasing</t>
  </si>
  <si>
    <t>H0005507 - APAC-CPD GM</t>
  </si>
  <si>
    <t>H0005521 - APAC Mymarket</t>
  </si>
  <si>
    <t>H0005522 - Asia Zone IT</t>
  </si>
  <si>
    <t>H0005523 - APAC IT - Infrastructure</t>
  </si>
  <si>
    <t>H0005524 - APAC IT - Digital</t>
  </si>
  <si>
    <t>H0005526 - APAC IT SAP</t>
  </si>
  <si>
    <t>House by PO</t>
  </si>
  <si>
    <t xml:space="preserve">Home Leave </t>
  </si>
  <si>
    <t>Car</t>
  </si>
  <si>
    <t xml:space="preserve">Social Recharge </t>
  </si>
  <si>
    <t>Languages</t>
  </si>
  <si>
    <t>-</t>
  </si>
  <si>
    <t>CAROL ID</t>
  </si>
  <si>
    <t xml:space="preserve">Name </t>
  </si>
  <si>
    <t xml:space="preserve">Cost Center </t>
  </si>
  <si>
    <t>JML</t>
  </si>
  <si>
    <t xml:space="preserve">Entity </t>
  </si>
  <si>
    <t>House by PO - annual</t>
  </si>
  <si>
    <t>House by reimbursement - month</t>
  </si>
  <si>
    <t>2019 # month</t>
  </si>
  <si>
    <t>Prorated House reimbursement</t>
  </si>
  <si>
    <t>House by reimbursement - annual</t>
  </si>
  <si>
    <t>Tuition 2019 Target</t>
  </si>
  <si>
    <t xml:space="preserve">Tuition 2018 Actual </t>
  </si>
  <si>
    <t>GIRAUD Philippe</t>
  </si>
  <si>
    <t>Expats</t>
  </si>
  <si>
    <t>M1-</t>
  </si>
  <si>
    <t>APAC Corporate China</t>
  </si>
  <si>
    <t>HAMANE Johra</t>
  </si>
  <si>
    <t>TL+</t>
  </si>
  <si>
    <t>APAC IT China</t>
  </si>
  <si>
    <t>LOTT Oliver</t>
  </si>
  <si>
    <t>APAC CPD CN</t>
  </si>
  <si>
    <t>LAI Emily Yimei</t>
  </si>
  <si>
    <t>CHUET Guillaume</t>
  </si>
  <si>
    <t>M2=</t>
  </si>
  <si>
    <t>REQUENA Faustina</t>
  </si>
  <si>
    <t>M1+</t>
  </si>
  <si>
    <t>GIROD Patrick</t>
  </si>
  <si>
    <t>TE=</t>
  </si>
  <si>
    <t>NG Han Meng Kenneth</t>
  </si>
  <si>
    <t>IC=</t>
  </si>
  <si>
    <t>YUAN Wenjing</t>
  </si>
  <si>
    <t>YAZON Odessa Kaye</t>
  </si>
  <si>
    <t>LIM Ern Loo Jerraine</t>
  </si>
  <si>
    <t>ISSENMANN Pierre Olivier</t>
  </si>
  <si>
    <t>TIU Sandy Criselle</t>
  </si>
  <si>
    <t>IC+</t>
  </si>
  <si>
    <t>RIJCKBOSCH Stijn</t>
  </si>
  <si>
    <t>CHANG Yeun Hee</t>
  </si>
  <si>
    <t>DELAHAIS Adrien</t>
  </si>
  <si>
    <t>TRUHANDIAZ Zagita</t>
  </si>
  <si>
    <t>LAINE Christiane</t>
  </si>
  <si>
    <t>GUINAUDEAU Louis</t>
  </si>
  <si>
    <t>Local</t>
  </si>
  <si>
    <t>TL-</t>
  </si>
  <si>
    <t>O'DONOGHUE Emilie</t>
  </si>
  <si>
    <t>M1=</t>
  </si>
  <si>
    <t>SHETTY Vikram</t>
  </si>
  <si>
    <t>GIBERT Eric</t>
  </si>
  <si>
    <t>Michael CHO Hang Hoo</t>
  </si>
  <si>
    <t>ALDABA Sherald</t>
  </si>
  <si>
    <t>KAWAGUCHI Emi</t>
  </si>
  <si>
    <t>CAYABA Christian</t>
  </si>
  <si>
    <t>ROCHERIEUR Mathias</t>
  </si>
  <si>
    <t>ZACHERO Cosma</t>
  </si>
  <si>
    <t>Sojeong</t>
  </si>
  <si>
    <t>SUM Yvonnes</t>
  </si>
  <si>
    <t>RAMOS Barbara Joan Marie</t>
  </si>
  <si>
    <t>STAVRINADOU Ioanna</t>
  </si>
  <si>
    <t>Begona PLAZO</t>
  </si>
  <si>
    <t>Expat/Local</t>
  </si>
  <si>
    <t>Row Labels</t>
  </si>
  <si>
    <t>Grand Total</t>
  </si>
  <si>
    <t>Sum of Prorated House reimbursement</t>
  </si>
  <si>
    <t>Sum of House by PO - annual</t>
  </si>
  <si>
    <t xml:space="preserve">Sum of Home Leave </t>
  </si>
  <si>
    <t>Sum of Tuition 2019 Target</t>
  </si>
  <si>
    <t>Sum of Languages</t>
  </si>
  <si>
    <t>Total Trend 2019</t>
  </si>
  <si>
    <t>Total Budget  2019</t>
  </si>
  <si>
    <t>Grand Total (Official Budget 2019)</t>
  </si>
  <si>
    <t>Times 1.7</t>
  </si>
  <si>
    <t>House reimbursement</t>
  </si>
  <si>
    <t>APAC-CPD</t>
  </si>
  <si>
    <t>YANG Dong Ni</t>
  </si>
  <si>
    <t xml:space="preserve">Sum of Social Recharge </t>
  </si>
  <si>
    <t>H0005510 - PPD GM</t>
  </si>
  <si>
    <t xml:space="preserve">Partner Assistance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</si>
</sst>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#,##0_ ;\-#,##0\ "/>
    <numFmt numFmtId="166" formatCode="_ * #,##0.000_ ;_ * \-#,##0.000_ ;_ * &quot;-&quot;??_ ;_ @_ 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9" fontId="0" fillId="0" borderId="10" xfId="2" applyFont="1" applyBorder="1"/>
    <xf numFmtId="164" fontId="5" fillId="2" borderId="3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164" fontId="6" fillId="0" borderId="6" xfId="1" quotePrefix="1" applyNumberFormat="1" applyFont="1" applyFill="1" applyBorder="1" applyAlignment="1">
      <alignment horizontal="right" vertical="top"/>
    </xf>
    <xf numFmtId="164" fontId="0" fillId="0" borderId="6" xfId="1" applyNumberFormat="1" applyFont="1" applyFill="1" applyBorder="1" applyAlignment="1">
      <alignment horizontal="right" vertical="top"/>
    </xf>
    <xf numFmtId="0" fontId="6" fillId="7" borderId="5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1" fontId="0" fillId="7" borderId="1" xfId="0" applyNumberFormat="1" applyFill="1" applyBorder="1" applyAlignment="1">
      <alignment vertical="top"/>
    </xf>
    <xf numFmtId="165" fontId="0" fillId="7" borderId="1" xfId="1" applyNumberFormat="1" applyFont="1" applyFill="1" applyBorder="1" applyAlignment="1">
      <alignment vertical="top"/>
    </xf>
    <xf numFmtId="164" fontId="0" fillId="8" borderId="6" xfId="1" applyNumberFormat="1" applyFont="1" applyFill="1" applyBorder="1" applyAlignment="1">
      <alignment horizontal="right" vertical="top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65" fontId="0" fillId="0" borderId="1" xfId="1" applyNumberFormat="1" applyFont="1" applyBorder="1" applyAlignment="1">
      <alignment vertical="top"/>
    </xf>
    <xf numFmtId="164" fontId="0" fillId="0" borderId="1" xfId="1" applyNumberFormat="1" applyFont="1" applyFill="1" applyBorder="1" applyAlignment="1">
      <alignment vertical="top"/>
    </xf>
    <xf numFmtId="164" fontId="6" fillId="0" borderId="1" xfId="1" applyNumberFormat="1" applyFont="1" applyFill="1" applyBorder="1" applyAlignment="1">
      <alignment vertical="top"/>
    </xf>
    <xf numFmtId="164" fontId="0" fillId="9" borderId="6" xfId="1" applyNumberFormat="1" applyFont="1" applyFill="1" applyBorder="1" applyAlignment="1">
      <alignment horizontal="right" vertical="top"/>
    </xf>
    <xf numFmtId="164" fontId="0" fillId="7" borderId="6" xfId="1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horizontal="left" vertical="center"/>
    </xf>
    <xf numFmtId="164" fontId="0" fillId="9" borderId="1" xfId="1" applyNumberFormat="1" applyFont="1" applyFill="1" applyBorder="1" applyAlignment="1">
      <alignment vertical="top"/>
    </xf>
    <xf numFmtId="0" fontId="6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0" fillId="0" borderId="6" xfId="1" applyNumberFormat="1" applyFont="1" applyFill="1" applyBorder="1" applyAlignment="1">
      <alignment horizontal="center" vertical="top"/>
    </xf>
    <xf numFmtId="164" fontId="0" fillId="9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top"/>
    </xf>
    <xf numFmtId="1" fontId="0" fillId="0" borderId="1" xfId="0" applyNumberFormat="1" applyFill="1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0" fontId="6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right" vertical="top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vertical="top"/>
    </xf>
    <xf numFmtId="0" fontId="0" fillId="0" borderId="8" xfId="0" applyBorder="1" applyAlignment="1">
      <alignment vertical="top"/>
    </xf>
    <xf numFmtId="1" fontId="0" fillId="0" borderId="8" xfId="0" applyNumberFormat="1" applyBorder="1" applyAlignment="1">
      <alignment vertical="top"/>
    </xf>
    <xf numFmtId="164" fontId="0" fillId="10" borderId="8" xfId="1" applyNumberFormat="1" applyFont="1" applyFill="1" applyBorder="1" applyAlignment="1">
      <alignment vertical="top"/>
    </xf>
    <xf numFmtId="164" fontId="6" fillId="0" borderId="9" xfId="1" quotePrefix="1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0" fillId="0" borderId="11" xfId="1" applyNumberFormat="1" applyFont="1" applyBorder="1" applyAlignment="1">
      <alignment vertical="top"/>
    </xf>
    <xf numFmtId="164" fontId="0" fillId="0" borderId="0" xfId="1" applyNumberFormat="1" applyFont="1" applyAlignment="1">
      <alignment vertical="top"/>
    </xf>
    <xf numFmtId="164" fontId="7" fillId="0" borderId="0" xfId="1" applyNumberFormat="1" applyFont="1" applyAlignment="1">
      <alignment vertical="top"/>
    </xf>
    <xf numFmtId="164" fontId="7" fillId="0" borderId="0" xfId="1" applyNumberFormat="1" applyFont="1" applyAlignment="1">
      <alignment horizontal="right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8" fillId="5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11" borderId="12" xfId="0" applyFont="1" applyFill="1" applyBorder="1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164" fontId="4" fillId="11" borderId="12" xfId="0" applyNumberFormat="1" applyFont="1" applyFill="1" applyBorder="1"/>
    <xf numFmtId="164" fontId="0" fillId="0" borderId="0" xfId="0" quotePrefix="1" applyNumberFormat="1"/>
    <xf numFmtId="164" fontId="4" fillId="11" borderId="12" xfId="0" applyNumberFormat="1" applyFont="1" applyFill="1" applyBorder="1" applyAlignment="1">
      <alignment horizontal="right"/>
    </xf>
    <xf numFmtId="43" fontId="3" fillId="0" borderId="0" xfId="0" applyNumberFormat="1" applyFont="1"/>
    <xf numFmtId="0" fontId="0" fillId="0" borderId="10" xfId="0" applyBorder="1" applyAlignment="1">
      <alignment horizontal="left"/>
    </xf>
    <xf numFmtId="164" fontId="0" fillId="0" borderId="10" xfId="1" applyNumberFormat="1" applyFont="1" applyBorder="1"/>
    <xf numFmtId="0" fontId="3" fillId="0" borderId="0" xfId="0" applyFont="1"/>
    <xf numFmtId="0" fontId="12" fillId="0" borderId="0" xfId="0" applyNumberFormat="1" applyFont="1" applyFill="1" applyBorder="1" applyAlignment="1" applyProtection="1"/>
    <xf numFmtId="0" fontId="4" fillId="0" borderId="0" xfId="0" applyFont="1"/>
    <xf numFmtId="43" fontId="4" fillId="0" borderId="0" xfId="0" applyNumberFormat="1" applyFont="1"/>
    <xf numFmtId="164" fontId="4" fillId="0" borderId="0" xfId="0" applyNumberFormat="1" applyFont="1"/>
    <xf numFmtId="166" fontId="0" fillId="0" borderId="0" xfId="0" applyNumberFormat="1"/>
    <xf numFmtId="0" fontId="13" fillId="0" borderId="5" xfId="0" applyFont="1" applyBorder="1" applyAlignment="1">
      <alignment vertical="center"/>
    </xf>
    <xf numFmtId="164" fontId="13" fillId="0" borderId="1" xfId="1" applyNumberFormat="1" applyFont="1" applyBorder="1" applyAlignment="1">
      <alignment horizontal="right" vertical="center"/>
    </xf>
    <xf numFmtId="0" fontId="0" fillId="0" borderId="5" xfId="0" applyBorder="1" applyAlignment="1">
      <alignment horizontal="left" vertical="center" indent="2"/>
    </xf>
    <xf numFmtId="164" fontId="2" fillId="2" borderId="14" xfId="1" applyNumberFormat="1" applyFont="1" applyFill="1" applyBorder="1" applyAlignment="1">
      <alignment horizontal="center" vertical="center" wrapText="1"/>
    </xf>
    <xf numFmtId="164" fontId="2" fillId="2" borderId="15" xfId="1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4" fontId="13" fillId="0" borderId="17" xfId="1" applyNumberFormat="1" applyFont="1" applyBorder="1" applyAlignment="1">
      <alignment horizontal="right" vertical="center"/>
    </xf>
    <xf numFmtId="164" fontId="0" fillId="0" borderId="17" xfId="1" applyNumberFormat="1" applyFont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164" fontId="13" fillId="0" borderId="20" xfId="1" applyNumberFormat="1" applyFont="1" applyBorder="1" applyAlignment="1">
      <alignment horizontal="right" vertical="center"/>
    </xf>
    <xf numFmtId="164" fontId="0" fillId="0" borderId="20" xfId="1" applyNumberFormat="1" applyFont="1" applyBorder="1" applyAlignment="1">
      <alignment horizontal="right" vertical="center"/>
    </xf>
    <xf numFmtId="164" fontId="2" fillId="2" borderId="13" xfId="1" applyNumberFormat="1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top"/>
    </xf>
    <xf numFmtId="164" fontId="0" fillId="12" borderId="1" xfId="1" applyNumberFormat="1" applyFont="1" applyFill="1" applyBorder="1" applyAlignment="1">
      <alignment vertical="top"/>
    </xf>
    <xf numFmtId="1" fontId="0" fillId="12" borderId="1" xfId="0" applyNumberFormat="1" applyFill="1" applyBorder="1" applyAlignment="1">
      <alignment vertical="top"/>
    </xf>
    <xf numFmtId="164" fontId="0" fillId="12" borderId="6" xfId="1" applyNumberFormat="1" applyFont="1" applyFill="1" applyBorder="1" applyAlignment="1">
      <alignment horizontal="right" vertical="top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left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22" xfId="0" applyBorder="1" applyAlignment="1">
      <alignment vertical="top"/>
    </xf>
    <xf numFmtId="164" fontId="0" fillId="0" borderId="22" xfId="1" applyNumberFormat="1" applyFont="1" applyBorder="1" applyAlignment="1">
      <alignment vertical="top"/>
    </xf>
    <xf numFmtId="1" fontId="0" fillId="0" borderId="22" xfId="0" applyNumberFormat="1" applyBorder="1" applyAlignment="1">
      <alignment vertical="top"/>
    </xf>
    <xf numFmtId="164" fontId="0" fillId="0" borderId="22" xfId="1" applyNumberFormat="1" applyFont="1" applyFill="1" applyBorder="1" applyAlignment="1">
      <alignment vertical="top"/>
    </xf>
    <xf numFmtId="0" fontId="6" fillId="12" borderId="5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64" fontId="0" fillId="12" borderId="1" xfId="1" applyNumberFormat="1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64" fontId="0" fillId="0" borderId="17" xfId="1" applyNumberFormat="1" applyFont="1" applyBorder="1" applyAlignment="1">
      <alignment vertical="top"/>
    </xf>
    <xf numFmtId="164" fontId="0" fillId="7" borderId="17" xfId="1" applyNumberFormat="1" applyFont="1" applyFill="1" applyBorder="1" applyAlignment="1">
      <alignment vertical="top"/>
    </xf>
    <xf numFmtId="164" fontId="0" fillId="0" borderId="17" xfId="1" applyNumberFormat="1" applyFont="1" applyFill="1" applyBorder="1" applyAlignment="1">
      <alignment vertical="top"/>
    </xf>
    <xf numFmtId="164" fontId="0" fillId="12" borderId="17" xfId="1" applyNumberFormat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164" fontId="0" fillId="12" borderId="17" xfId="1" applyNumberFormat="1" applyFont="1" applyFill="1" applyBorder="1" applyAlignment="1">
      <alignment vertical="top"/>
    </xf>
    <xf numFmtId="164" fontId="0" fillId="0" borderId="17" xfId="1" applyNumberFormat="1" applyFont="1" applyBorder="1" applyAlignment="1">
      <alignment horizontal="right" vertical="top"/>
    </xf>
    <xf numFmtId="164" fontId="0" fillId="0" borderId="17" xfId="1" applyNumberFormat="1" applyFont="1" applyFill="1" applyBorder="1" applyAlignment="1">
      <alignment horizontal="right" vertical="top"/>
    </xf>
    <xf numFmtId="164" fontId="0" fillId="0" borderId="23" xfId="1" applyNumberFormat="1" applyFont="1" applyBorder="1" applyAlignment="1">
      <alignment vertical="top"/>
    </xf>
    <xf numFmtId="164" fontId="0" fillId="0" borderId="24" xfId="1" applyNumberFormat="1" applyFont="1" applyBorder="1" applyAlignment="1">
      <alignment vertical="top"/>
    </xf>
    <xf numFmtId="164" fontId="5" fillId="2" borderId="16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numFmt numFmtId="164" formatCode="_ * #,##0_ ;_ * \-#,##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14</xdr:row>
      <xdr:rowOff>47625</xdr:rowOff>
    </xdr:from>
    <xdr:to>
      <xdr:col>8</xdr:col>
      <xdr:colOff>523875</xdr:colOff>
      <xdr:row>14</xdr:row>
      <xdr:rowOff>161925</xdr:rowOff>
    </xdr:to>
    <xdr:sp macro="" textlink="">
      <xdr:nvSpPr>
        <xdr:cNvPr id="2" name="Right Arrow 1"/>
        <xdr:cNvSpPr/>
      </xdr:nvSpPr>
      <xdr:spPr>
        <a:xfrm>
          <a:off x="10172700" y="3248025"/>
          <a:ext cx="257175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17</xdr:row>
      <xdr:rowOff>28575</xdr:rowOff>
    </xdr:from>
    <xdr:to>
      <xdr:col>2</xdr:col>
      <xdr:colOff>428625</xdr:colOff>
      <xdr:row>17</xdr:row>
      <xdr:rowOff>142875</xdr:rowOff>
    </xdr:to>
    <xdr:sp macro="" textlink="">
      <xdr:nvSpPr>
        <xdr:cNvPr id="3" name="Right Arrow 2"/>
        <xdr:cNvSpPr/>
      </xdr:nvSpPr>
      <xdr:spPr>
        <a:xfrm>
          <a:off x="3657600" y="3800475"/>
          <a:ext cx="257175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Expat%200014_for%20haley%20calcu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Expat%200015_for%20haley%20calcu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2018"/>
      <sheetName val="2019.1"/>
    </sheetNames>
    <sheetDataSet>
      <sheetData sheetId="0"/>
      <sheetData sheetId="1"/>
      <sheetData sheetId="2">
        <row r="1">
          <cell r="B1" t="str">
            <v>Allow.(on-shore) Gross</v>
          </cell>
          <cell r="C1" t="str">
            <v>Car Allow. (Reim.)</v>
          </cell>
          <cell r="D1" t="str">
            <v>Mandatory Insurance EE</v>
          </cell>
          <cell r="E1" t="str">
            <v>Mandatory Insurance ER</v>
          </cell>
          <cell r="F1" t="str">
            <v>Trade Union Fee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24724.49</v>
          </cell>
          <cell r="F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29246.04</v>
          </cell>
          <cell r="F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83507.199999999997</v>
          </cell>
          <cell r="F5">
            <v>0</v>
          </cell>
        </row>
        <row r="6">
          <cell r="B6">
            <v>0</v>
          </cell>
          <cell r="C6">
            <v>7000</v>
          </cell>
          <cell r="D6">
            <v>-8981.25</v>
          </cell>
          <cell r="E6">
            <v>37846.089999999997</v>
          </cell>
          <cell r="F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32348.77</v>
          </cell>
          <cell r="F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29373.7</v>
          </cell>
          <cell r="F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11113.76</v>
          </cell>
          <cell r="F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36154.629999999997</v>
          </cell>
          <cell r="F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11113.76</v>
          </cell>
          <cell r="F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5166.66</v>
          </cell>
          <cell r="F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10309.93</v>
          </cell>
          <cell r="F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77778.91</v>
          </cell>
          <cell r="F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-10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rawdata"/>
      <sheetName val="2018"/>
      <sheetName val="2019.1"/>
      <sheetName val="2019.2"/>
      <sheetName val="details"/>
      <sheetName val="Sheet1"/>
      <sheetName val="summary"/>
      <sheetName val="S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CAROL ID</v>
          </cell>
          <cell r="B1" t="str">
            <v xml:space="preserve">Name </v>
          </cell>
          <cell r="C1" t="str">
            <v xml:space="preserve">Currentcy </v>
          </cell>
          <cell r="D1" t="str">
            <v>PO Amount</v>
          </cell>
          <cell r="E1" t="str">
            <v xml:space="preserve">Reference Year </v>
          </cell>
          <cell r="F1" t="str">
            <v>to CNY</v>
          </cell>
          <cell r="G1" t="str">
            <v>2019 Annual Recharge</v>
          </cell>
        </row>
        <row r="2">
          <cell r="A2">
            <v>470351</v>
          </cell>
          <cell r="B2" t="str">
            <v>GIRAUD Philippe</v>
          </cell>
          <cell r="C2"/>
          <cell r="D2"/>
          <cell r="E2"/>
          <cell r="F2"/>
          <cell r="G2" t="str">
            <v>exclude</v>
          </cell>
        </row>
        <row r="3">
          <cell r="A3">
            <v>470357</v>
          </cell>
          <cell r="B3" t="str">
            <v>HAMANE Johra</v>
          </cell>
          <cell r="C3" t="str">
            <v>EUR</v>
          </cell>
          <cell r="D3">
            <v>50000</v>
          </cell>
          <cell r="E3">
            <v>2019</v>
          </cell>
          <cell r="F3">
            <v>7.56</v>
          </cell>
          <cell r="G3" t="str">
            <v>exclude</v>
          </cell>
        </row>
        <row r="4">
          <cell r="A4">
            <v>470651</v>
          </cell>
          <cell r="B4" t="str">
            <v>LAI Emily Yimei</v>
          </cell>
          <cell r="C4" t="str">
            <v>USD</v>
          </cell>
          <cell r="D4">
            <v>27000</v>
          </cell>
          <cell r="E4">
            <v>2018</v>
          </cell>
          <cell r="F4">
            <v>6.7</v>
          </cell>
          <cell r="G4">
            <v>217080</v>
          </cell>
        </row>
        <row r="5">
          <cell r="A5">
            <v>472301</v>
          </cell>
          <cell r="B5" t="str">
            <v>NG Han Meng Kenneth</v>
          </cell>
          <cell r="C5" t="str">
            <v>SGD</v>
          </cell>
          <cell r="D5">
            <v>31187</v>
          </cell>
          <cell r="E5">
            <v>2018</v>
          </cell>
          <cell r="F5">
            <v>4.95</v>
          </cell>
          <cell r="G5">
            <v>185250.78</v>
          </cell>
        </row>
        <row r="6">
          <cell r="A6">
            <v>476908</v>
          </cell>
          <cell r="B6" t="str">
            <v>YAZON Odessa Kaye</v>
          </cell>
          <cell r="C6" t="str">
            <v>USD</v>
          </cell>
          <cell r="D6">
            <v>9700</v>
          </cell>
          <cell r="E6">
            <v>2018</v>
          </cell>
          <cell r="F6">
            <v>6.7</v>
          </cell>
          <cell r="G6">
            <v>77988</v>
          </cell>
        </row>
        <row r="7">
          <cell r="A7">
            <v>470660</v>
          </cell>
          <cell r="B7" t="str">
            <v>CHUET Guillaume</v>
          </cell>
          <cell r="C7" t="str">
            <v>EUR</v>
          </cell>
          <cell r="D7">
            <v>71500</v>
          </cell>
          <cell r="E7">
            <v>2019</v>
          </cell>
          <cell r="F7">
            <v>7.56</v>
          </cell>
          <cell r="G7" t="str">
            <v>exclude</v>
          </cell>
        </row>
        <row r="8">
          <cell r="A8">
            <v>470689</v>
          </cell>
          <cell r="B8" t="str">
            <v>REQUENA Faustina</v>
          </cell>
          <cell r="C8" t="str">
            <v>EUR</v>
          </cell>
          <cell r="D8">
            <v>66000</v>
          </cell>
          <cell r="E8">
            <v>2019</v>
          </cell>
          <cell r="F8">
            <v>7.56</v>
          </cell>
          <cell r="G8" t="str">
            <v>exclude</v>
          </cell>
        </row>
        <row r="9">
          <cell r="A9">
            <v>470728</v>
          </cell>
          <cell r="B9" t="str">
            <v>GIROD Patrick</v>
          </cell>
          <cell r="C9"/>
          <cell r="D9"/>
          <cell r="E9"/>
          <cell r="F9"/>
          <cell r="G9" t="str">
            <v>exclude</v>
          </cell>
        </row>
        <row r="10">
          <cell r="A10">
            <v>479088</v>
          </cell>
          <cell r="B10" t="str">
            <v>LIM Ern Loo Jerraine</v>
          </cell>
          <cell r="C10" t="str">
            <v>SGD</v>
          </cell>
          <cell r="D10">
            <v>27660</v>
          </cell>
          <cell r="E10">
            <v>2018</v>
          </cell>
          <cell r="F10">
            <v>4.95</v>
          </cell>
          <cell r="G10">
            <v>164300.4</v>
          </cell>
        </row>
        <row r="11">
          <cell r="A11">
            <v>475928</v>
          </cell>
          <cell r="B11" t="str">
            <v>YUAN Wenjing</v>
          </cell>
          <cell r="C11" t="str">
            <v>EUR</v>
          </cell>
          <cell r="D11">
            <v>62000</v>
          </cell>
          <cell r="E11">
            <v>2019</v>
          </cell>
          <cell r="F11">
            <v>7.56</v>
          </cell>
          <cell r="G11" t="str">
            <v>exclude</v>
          </cell>
        </row>
        <row r="12">
          <cell r="A12">
            <v>488364</v>
          </cell>
          <cell r="B12" t="str">
            <v>TIU Sandy Criselle</v>
          </cell>
          <cell r="C12" t="str">
            <v>USD</v>
          </cell>
          <cell r="D12">
            <v>11964.88</v>
          </cell>
          <cell r="E12">
            <v>2018</v>
          </cell>
          <cell r="F12">
            <v>6.7</v>
          </cell>
          <cell r="G12">
            <v>288592.9056</v>
          </cell>
        </row>
        <row r="13">
          <cell r="A13">
            <v>488487</v>
          </cell>
          <cell r="B13" t="str">
            <v>RIJCKBOSCH Stijn</v>
          </cell>
          <cell r="C13" t="str">
            <v>EUR</v>
          </cell>
          <cell r="D13">
            <v>1168.8599999999999</v>
          </cell>
          <cell r="E13">
            <v>2018</v>
          </cell>
          <cell r="F13">
            <v>7.56</v>
          </cell>
          <cell r="G13">
            <v>294840</v>
          </cell>
        </row>
        <row r="14">
          <cell r="A14">
            <v>482296</v>
          </cell>
          <cell r="B14" t="str">
            <v>ISSENMANN Pierre Olivier</v>
          </cell>
          <cell r="C14" t="str">
            <v>JPY</v>
          </cell>
          <cell r="D14">
            <v>3807595</v>
          </cell>
          <cell r="E14">
            <v>2018</v>
          </cell>
          <cell r="F14">
            <v>0.06</v>
          </cell>
          <cell r="G14" t="str">
            <v>exclude</v>
          </cell>
        </row>
        <row r="15">
          <cell r="A15">
            <v>490263</v>
          </cell>
          <cell r="B15" t="str">
            <v>CHANG Yeun Hee</v>
          </cell>
          <cell r="C15" t="str">
            <v>KRW</v>
          </cell>
          <cell r="D15">
            <v>1182381</v>
          </cell>
          <cell r="E15">
            <v>2018</v>
          </cell>
          <cell r="F15">
            <v>5.8999999999999999E-3</v>
          </cell>
          <cell r="G15">
            <v>33485.029919999994</v>
          </cell>
        </row>
        <row r="16">
          <cell r="A16">
            <v>470419</v>
          </cell>
          <cell r="B16" t="str">
            <v>CAYABA Christian</v>
          </cell>
          <cell r="C16" t="str">
            <v>USD</v>
          </cell>
          <cell r="D16">
            <v>8300</v>
          </cell>
          <cell r="E16">
            <v>2018</v>
          </cell>
          <cell r="F16">
            <v>6.7</v>
          </cell>
          <cell r="G16">
            <v>66732</v>
          </cell>
        </row>
        <row r="17">
          <cell r="A17">
            <v>470364</v>
          </cell>
          <cell r="B17" t="str">
            <v>NOSE Marina</v>
          </cell>
          <cell r="C17" t="str">
            <v>EUR</v>
          </cell>
          <cell r="D17">
            <v>3800</v>
          </cell>
          <cell r="E17">
            <v>2019</v>
          </cell>
          <cell r="F17">
            <v>7.56</v>
          </cell>
          <cell r="G17">
            <v>28728</v>
          </cell>
        </row>
        <row r="18">
          <cell r="A18">
            <v>470485</v>
          </cell>
          <cell r="B18" t="str">
            <v>LOTT Oliver</v>
          </cell>
          <cell r="C18" t="str">
            <v>EUR</v>
          </cell>
          <cell r="D18">
            <v>39000</v>
          </cell>
          <cell r="E18">
            <v>2019</v>
          </cell>
          <cell r="F18">
            <v>7.56</v>
          </cell>
          <cell r="G18">
            <v>294840</v>
          </cell>
        </row>
        <row r="19">
          <cell r="A19">
            <v>483807</v>
          </cell>
          <cell r="B19" t="str">
            <v>CHANG Chih-Ying</v>
          </cell>
          <cell r="C19" t="str">
            <v>EUR</v>
          </cell>
          <cell r="D19">
            <v>6000</v>
          </cell>
          <cell r="E19">
            <v>2019</v>
          </cell>
          <cell r="F19">
            <v>7.56</v>
          </cell>
          <cell r="G19">
            <v>68040</v>
          </cell>
        </row>
        <row r="20">
          <cell r="A20">
            <v>484709</v>
          </cell>
          <cell r="B20" t="str">
            <v>TAN Ee Von</v>
          </cell>
          <cell r="C20" t="str">
            <v>EUR</v>
          </cell>
          <cell r="D20">
            <v>4000</v>
          </cell>
          <cell r="E20">
            <v>2019</v>
          </cell>
          <cell r="F20">
            <v>7.56</v>
          </cell>
          <cell r="G20">
            <v>51840</v>
          </cell>
        </row>
        <row r="21">
          <cell r="A21">
            <v>491649</v>
          </cell>
          <cell r="B21" t="str">
            <v>DELAHAIS Adrien</v>
          </cell>
          <cell r="C21" t="str">
            <v>EUR</v>
          </cell>
          <cell r="D21">
            <v>30000</v>
          </cell>
          <cell r="E21">
            <v>2019</v>
          </cell>
          <cell r="F21">
            <v>7.56</v>
          </cell>
          <cell r="G21" t="str">
            <v>exclude</v>
          </cell>
        </row>
        <row r="22">
          <cell r="A22">
            <v>487246</v>
          </cell>
          <cell r="B22" t="str">
            <v>SCHINKEL Laura Violetta</v>
          </cell>
          <cell r="C22" t="str">
            <v>EUR</v>
          </cell>
          <cell r="D22">
            <v>6000</v>
          </cell>
          <cell r="E22">
            <v>2019</v>
          </cell>
          <cell r="F22">
            <v>7.56</v>
          </cell>
          <cell r="G22">
            <v>108864</v>
          </cell>
        </row>
        <row r="23">
          <cell r="A23"/>
          <cell r="B23" t="str">
            <v>PLAZO Begona</v>
          </cell>
          <cell r="C23" t="str">
            <v>EUR</v>
          </cell>
          <cell r="D23">
            <v>45000</v>
          </cell>
          <cell r="E23">
            <v>2019</v>
          </cell>
          <cell r="F23">
            <v>7.56</v>
          </cell>
          <cell r="G23">
            <v>340200</v>
          </cell>
        </row>
        <row r="24">
          <cell r="A24">
            <v>493265</v>
          </cell>
          <cell r="B24" t="str">
            <v>TRUHANDIAZ Zagita</v>
          </cell>
          <cell r="C24"/>
          <cell r="D24"/>
          <cell r="E24"/>
          <cell r="F24"/>
          <cell r="G24"/>
        </row>
        <row r="25">
          <cell r="A25">
            <v>270312</v>
          </cell>
          <cell r="B25" t="str">
            <v>LAINE Christiane</v>
          </cell>
          <cell r="C25"/>
          <cell r="D25"/>
          <cell r="E25"/>
          <cell r="F25"/>
          <cell r="G25">
            <v>0</v>
          </cell>
        </row>
        <row r="26">
          <cell r="A26">
            <v>415743</v>
          </cell>
          <cell r="B26" t="str">
            <v>GUINAUDEAU Louis</v>
          </cell>
          <cell r="C26"/>
          <cell r="D26"/>
          <cell r="E26"/>
          <cell r="F26"/>
          <cell r="G26">
            <v>0</v>
          </cell>
        </row>
        <row r="27">
          <cell r="A27">
            <v>470413</v>
          </cell>
          <cell r="B27" t="str">
            <v>O'DONOGHUE Emilie</v>
          </cell>
          <cell r="C27"/>
          <cell r="D27"/>
          <cell r="E27"/>
          <cell r="F27"/>
          <cell r="G27">
            <v>0</v>
          </cell>
        </row>
        <row r="28">
          <cell r="A28">
            <v>470458</v>
          </cell>
          <cell r="B28" t="str">
            <v>SHETTY Vikram</v>
          </cell>
          <cell r="C28"/>
          <cell r="D28"/>
          <cell r="E28"/>
          <cell r="F28"/>
          <cell r="G28">
            <v>0</v>
          </cell>
        </row>
        <row r="29">
          <cell r="A29">
            <v>470698</v>
          </cell>
          <cell r="B29" t="str">
            <v>GIBERT Eric</v>
          </cell>
          <cell r="C29"/>
          <cell r="D29"/>
          <cell r="E29"/>
          <cell r="F29"/>
          <cell r="G29">
            <v>0</v>
          </cell>
        </row>
        <row r="30">
          <cell r="A30"/>
          <cell r="B30" t="str">
            <v>Michael CHO Hang Hoo</v>
          </cell>
          <cell r="C30"/>
          <cell r="D30"/>
          <cell r="E30"/>
          <cell r="F30"/>
          <cell r="G30"/>
        </row>
        <row r="31">
          <cell r="A31"/>
          <cell r="B31" t="str">
            <v>ALDABA Sherald</v>
          </cell>
          <cell r="C31"/>
          <cell r="D31"/>
          <cell r="E31"/>
          <cell r="F31"/>
          <cell r="G31"/>
        </row>
        <row r="32">
          <cell r="A32"/>
          <cell r="B32" t="str">
            <v>KAWAGUCHI Emi</v>
          </cell>
          <cell r="C32"/>
          <cell r="D32"/>
          <cell r="E32"/>
          <cell r="F32"/>
          <cell r="G32"/>
        </row>
        <row r="33">
          <cell r="A33"/>
          <cell r="B33" t="str">
            <v>ROCHERIEUR Mathias</v>
          </cell>
          <cell r="C33"/>
          <cell r="D33"/>
          <cell r="E33"/>
          <cell r="F33"/>
          <cell r="G33"/>
        </row>
        <row r="34">
          <cell r="A34"/>
          <cell r="B34" t="str">
            <v>ZACHERO Cosma</v>
          </cell>
          <cell r="C34"/>
          <cell r="D34"/>
          <cell r="E34"/>
          <cell r="F34"/>
          <cell r="G34"/>
        </row>
        <row r="35">
          <cell r="A35"/>
          <cell r="B35" t="str">
            <v>Sojeong</v>
          </cell>
          <cell r="C35"/>
          <cell r="D35"/>
          <cell r="E35"/>
          <cell r="F35"/>
          <cell r="G35"/>
        </row>
        <row r="36">
          <cell r="A36"/>
          <cell r="B36" t="str">
            <v>SUM Yvonnes</v>
          </cell>
          <cell r="C36"/>
          <cell r="D36"/>
          <cell r="E36"/>
          <cell r="F36"/>
          <cell r="G36"/>
        </row>
        <row r="37">
          <cell r="A37"/>
          <cell r="B37" t="str">
            <v>RAMOS Barbara Joan Marie</v>
          </cell>
          <cell r="C37"/>
          <cell r="D37"/>
          <cell r="E37"/>
          <cell r="F37"/>
          <cell r="G37"/>
        </row>
        <row r="38">
          <cell r="A38"/>
          <cell r="B38" t="str">
            <v>STAVRINADOU Ioanna</v>
          </cell>
          <cell r="C38"/>
          <cell r="D38"/>
          <cell r="E38"/>
          <cell r="F38"/>
          <cell r="G38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 Casey" refreshedDate="43552.508612384256" createdVersion="6" refreshedVersion="6" minRefreshableVersion="3" recordCount="34">
  <cacheSource type="worksheet">
    <worksheetSource ref="A1:S35" sheet="By Individual"/>
  </cacheSource>
  <cacheFields count="18">
    <cacheField name="CAROL ID" numFmtId="0">
      <sharedItems containsString="0" containsBlank="1" containsNumber="1" containsInteger="1" minValue="270312" maxValue="495299"/>
    </cacheField>
    <cacheField name="Name " numFmtId="0">
      <sharedItems/>
    </cacheField>
    <cacheField name="Expat/Local" numFmtId="0">
      <sharedItems/>
    </cacheField>
    <cacheField name="Cost Center " numFmtId="0">
      <sharedItems containsBlank="1" count="12">
        <s v="H0005505 - APAC-Purchasing"/>
        <s v="H0005526 - APAC IT SAP"/>
        <s v="H0005507 - APAC-CPD GM"/>
        <s v="H0005501 - Zone HR"/>
        <s v="H0005523 - APAC IT - Infrastructure"/>
        <s v="H0005503 - APAC-F&amp;A"/>
        <s v="H0005524 - APAC IT - Digital"/>
        <s v="H0005500 - MDC - FIXED COST"/>
        <s v="H0005522 - Asia Zone IT"/>
        <m/>
        <s v="H0005521 - APAC Mymarket"/>
        <s v="H0005502 - APAC Regularoty" u="1"/>
      </sharedItems>
    </cacheField>
    <cacheField name="JML" numFmtId="0">
      <sharedItems containsBlank="1"/>
    </cacheField>
    <cacheField name="Entity " numFmtId="0">
      <sharedItems containsBlank="1"/>
    </cacheField>
    <cacheField name="House by PO" numFmtId="0">
      <sharedItems containsString="0" containsBlank="1" containsNumber="1" containsInteger="1" minValue="26000" maxValue="71000"/>
    </cacheField>
    <cacheField name="House by PO - annual" numFmtId="164">
      <sharedItems containsString="0" containsBlank="1" containsNumber="1" containsInteger="1" minValue="322000" maxValue="862000"/>
    </cacheField>
    <cacheField name="House by reimbursement - month" numFmtId="0">
      <sharedItems containsString="0" containsBlank="1" containsNumber="1" minValue="0" maxValue="42000"/>
    </cacheField>
    <cacheField name="2019 # month" numFmtId="0">
      <sharedItems containsString="0" containsBlank="1" containsNumber="1" containsInteger="1" minValue="2" maxValue="12"/>
    </cacheField>
    <cacheField name="Prorated House reimbursement" numFmtId="1">
      <sharedItems containsString="0" containsBlank="1" containsNumber="1" minValue="0" maxValue="278883.79200000002"/>
    </cacheField>
    <cacheField name="House by reimbursement - annual" numFmtId="164">
      <sharedItems containsString="0" containsBlank="1" containsNumber="1" minValue="0" maxValue="550000"/>
    </cacheField>
    <cacheField name="Home Leave " numFmtId="0">
      <sharedItems containsString="0" containsBlank="1" containsNumber="1" containsInteger="1" minValue="0" maxValue="150000"/>
    </cacheField>
    <cacheField name="Tuition 2019 Target" numFmtId="164">
      <sharedItems containsString="0" containsBlank="1" containsNumber="1" containsInteger="1" minValue="0" maxValue="650000"/>
    </cacheField>
    <cacheField name="Tuition 2018 Actual " numFmtId="164">
      <sharedItems containsString="0" containsBlank="1" containsNumber="1" containsInteger="1" minValue="0" maxValue="650000"/>
    </cacheField>
    <cacheField name="Car" numFmtId="164">
      <sharedItems containsString="0" containsBlank="1" containsNumber="1" containsInteger="1" minValue="0" maxValue="250000"/>
    </cacheField>
    <cacheField name="Languages" numFmtId="164">
      <sharedItems containsString="0" containsBlank="1" containsNumber="1" containsInteger="1" minValue="30000" maxValue="60000"/>
    </cacheField>
    <cacheField name="Social Recharge " numFmtId="164">
      <sharedItems containsBlank="1" containsMixedTypes="1" containsNumber="1" minValue="0" maxValue="294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470351"/>
    <s v="GIRAUD Philippe"/>
    <s v="Expats"/>
    <x v="0"/>
    <s v="M1-"/>
    <s v="APAC Corporate China"/>
    <m/>
    <m/>
    <n v="23000"/>
    <n v="9"/>
    <n v="207000"/>
    <n v="276000"/>
    <n v="75000"/>
    <n v="400000"/>
    <n v="337298"/>
    <m/>
    <m/>
    <s v="-"/>
  </r>
  <r>
    <n v="470357"/>
    <s v="HAMANE Johra"/>
    <s v="Expats"/>
    <x v="1"/>
    <s v="TL+"/>
    <s v="APAC IT China"/>
    <m/>
    <m/>
    <n v="10000"/>
    <n v="12"/>
    <n v="120000"/>
    <n v="120000"/>
    <n v="15000"/>
    <m/>
    <n v="0"/>
    <m/>
    <m/>
    <s v="exclude"/>
  </r>
  <r>
    <n v="470485"/>
    <s v="LOTT Oliver"/>
    <s v="Expats"/>
    <x v="2"/>
    <s v="TL+"/>
    <s v="APAC CPD CN"/>
    <m/>
    <m/>
    <n v="18000"/>
    <n v="3"/>
    <n v="54000"/>
    <n v="54000"/>
    <n v="0"/>
    <m/>
    <m/>
    <n v="0"/>
    <m/>
    <n v="73710"/>
  </r>
  <r>
    <n v="470651"/>
    <s v="LAI Emily Yimei"/>
    <s v="Expats"/>
    <x v="3"/>
    <s v="TL+"/>
    <s v="APAC Corporate China"/>
    <m/>
    <m/>
    <n v="23102.697"/>
    <n v="5"/>
    <n v="115513.485"/>
    <n v="277232.364"/>
    <n v="0"/>
    <m/>
    <n v="0"/>
    <n v="42000"/>
    <m/>
    <n v="217080"/>
  </r>
  <r>
    <n v="470660"/>
    <s v="CHUET Guillaume"/>
    <s v="Expats"/>
    <x v="4"/>
    <s v="M2="/>
    <s v="APAC IT China"/>
    <m/>
    <m/>
    <n v="23240.315999999999"/>
    <n v="12"/>
    <n v="278883.79200000002"/>
    <n v="278883.79200000002"/>
    <n v="0"/>
    <n v="390000"/>
    <n v="221644"/>
    <n v="84000"/>
    <m/>
    <s v="exclude"/>
  </r>
  <r>
    <n v="470689"/>
    <s v="REQUENA Faustina"/>
    <s v="Expats"/>
    <x v="1"/>
    <s v="M1+"/>
    <s v="APAC IT China"/>
    <m/>
    <m/>
    <n v="10000"/>
    <n v="12"/>
    <n v="120000"/>
    <n v="120000"/>
    <n v="15000"/>
    <m/>
    <n v="0"/>
    <n v="84000"/>
    <m/>
    <s v="exclude"/>
  </r>
  <r>
    <n v="470728"/>
    <s v="GIROD Patrick"/>
    <s v="Expats"/>
    <x v="2"/>
    <s v="TE="/>
    <s v="APAC CPD CN"/>
    <n v="71000"/>
    <n v="862000"/>
    <n v="0"/>
    <n v="12"/>
    <n v="0"/>
    <n v="0"/>
    <n v="150000"/>
    <n v="650000"/>
    <n v="650000"/>
    <n v="250000"/>
    <m/>
    <s v="-"/>
  </r>
  <r>
    <n v="472301"/>
    <s v="NG Han Meng Kenneth"/>
    <s v="Expats"/>
    <x v="2"/>
    <s v="IC="/>
    <s v="APAC CPD CN"/>
    <m/>
    <m/>
    <n v="11000"/>
    <n v="12"/>
    <n v="132000"/>
    <n v="132000"/>
    <n v="16000"/>
    <m/>
    <n v="0"/>
    <m/>
    <m/>
    <n v="185250.78"/>
  </r>
  <r>
    <n v="475928"/>
    <s v="YUAN Wenjing"/>
    <s v="Expats"/>
    <x v="0"/>
    <s v="M2="/>
    <s v="APAC IT China"/>
    <n v="39000"/>
    <n v="478000"/>
    <n v="0"/>
    <n v="12"/>
    <n v="0"/>
    <n v="0"/>
    <n v="90000"/>
    <n v="210000"/>
    <n v="131350"/>
    <n v="120000"/>
    <m/>
    <s v="exclude"/>
  </r>
  <r>
    <n v="476908"/>
    <s v="YAZON Odessa Kaye"/>
    <s v="Expats"/>
    <x v="5"/>
    <s v="TL+"/>
    <s v="APAC Corporate China"/>
    <m/>
    <m/>
    <n v="16000"/>
    <n v="12"/>
    <n v="192000"/>
    <n v="192000"/>
    <n v="32000"/>
    <m/>
    <n v="0"/>
    <m/>
    <m/>
    <n v="77988"/>
  </r>
  <r>
    <n v="479088"/>
    <s v="LIM Ern Loo Jerraine"/>
    <s v="Expats"/>
    <x v="2"/>
    <s v="TL+"/>
    <s v="APAC CPD CN"/>
    <m/>
    <m/>
    <n v="16000"/>
    <n v="2"/>
    <n v="32000"/>
    <n v="32000"/>
    <n v="0"/>
    <n v="18400"/>
    <n v="133100"/>
    <n v="0"/>
    <m/>
    <n v="27383.399999999998"/>
  </r>
  <r>
    <n v="482296"/>
    <s v="ISSENMANN Pierre Olivier"/>
    <s v="Expats"/>
    <x v="2"/>
    <s v="M2="/>
    <s v="APAC CPD CN"/>
    <n v="26000"/>
    <n v="322000"/>
    <n v="0"/>
    <n v="12"/>
    <n v="0"/>
    <n v="0"/>
    <n v="30000"/>
    <m/>
    <n v="0"/>
    <n v="120000"/>
    <m/>
    <s v="exclude"/>
  </r>
  <r>
    <n v="488364"/>
    <s v="TIU Sandy Criselle"/>
    <s v="Expats"/>
    <x v="2"/>
    <s v="IC+"/>
    <s v="APAC CPD CN"/>
    <m/>
    <m/>
    <n v="11000"/>
    <n v="12"/>
    <n v="132000"/>
    <n v="132000"/>
    <n v="8000"/>
    <m/>
    <n v="0"/>
    <m/>
    <m/>
    <n v="288592.9056"/>
  </r>
  <r>
    <n v="488487"/>
    <s v="RIJCKBOSCH Stijn"/>
    <s v="Expats"/>
    <x v="5"/>
    <s v="M1+"/>
    <s v="APAC Corporate China"/>
    <n v="45000"/>
    <n v="550000"/>
    <n v="0"/>
    <n v="12"/>
    <n v="0"/>
    <n v="550000"/>
    <n v="60000"/>
    <n v="420000"/>
    <n v="268400"/>
    <n v="120000"/>
    <m/>
    <n v="294840"/>
  </r>
  <r>
    <n v="490263"/>
    <s v="CHANG Yeun Hee"/>
    <s v="Expats"/>
    <x v="2"/>
    <s v="IC+"/>
    <s v="APAC CPD CN"/>
    <m/>
    <m/>
    <n v="7500"/>
    <n v="12"/>
    <n v="90000"/>
    <n v="90000"/>
    <n v="8000"/>
    <m/>
    <n v="0"/>
    <m/>
    <m/>
    <n v="33485.029919999994"/>
  </r>
  <r>
    <n v="491649"/>
    <s v="DELAHAIS Adrien"/>
    <s v="Expats"/>
    <x v="6"/>
    <s v="IC+"/>
    <s v="APAC IT China"/>
    <m/>
    <m/>
    <n v="11000"/>
    <n v="12"/>
    <n v="132000"/>
    <n v="132000"/>
    <n v="10000"/>
    <n v="0"/>
    <n v="0"/>
    <m/>
    <n v="30000"/>
    <s v="exclude"/>
  </r>
  <r>
    <n v="493265"/>
    <s v="TRUHANDIAZ Zagita"/>
    <s v="Expats"/>
    <x v="2"/>
    <s v="IC+"/>
    <s v="APAC CPD CN"/>
    <m/>
    <m/>
    <n v="11000"/>
    <n v="12"/>
    <n v="132000"/>
    <n v="132000"/>
    <n v="8000"/>
    <m/>
    <n v="0"/>
    <m/>
    <m/>
    <n v="90000"/>
  </r>
  <r>
    <n v="270312"/>
    <s v="LAINE Christiane"/>
    <s v="Expats"/>
    <x v="7"/>
    <s v="TL+"/>
    <s v="APAC Corporate China"/>
    <m/>
    <m/>
    <n v="11000"/>
    <n v="3"/>
    <n v="33000"/>
    <n v="132000"/>
    <m/>
    <m/>
    <n v="0"/>
    <m/>
    <m/>
    <n v="0"/>
  </r>
  <r>
    <n v="415743"/>
    <s v="GUINAUDEAU Louis"/>
    <s v="Local"/>
    <x v="7"/>
    <s v="TL-"/>
    <s v="APAC Corporate China"/>
    <m/>
    <m/>
    <n v="11166"/>
    <n v="12"/>
    <n v="133992"/>
    <n v="133992"/>
    <m/>
    <m/>
    <n v="0"/>
    <m/>
    <m/>
    <n v="0"/>
  </r>
  <r>
    <n v="470413"/>
    <s v="O'DONOGHUE Emilie"/>
    <s v="Local"/>
    <x v="5"/>
    <s v="M1="/>
    <s v="APAC Corporate China"/>
    <m/>
    <m/>
    <n v="15000"/>
    <n v="12"/>
    <n v="180000"/>
    <n v="180000"/>
    <n v="0"/>
    <n v="160000"/>
    <n v="0"/>
    <n v="84000"/>
    <m/>
    <n v="0"/>
  </r>
  <r>
    <n v="470458"/>
    <s v="SHETTY Vikram"/>
    <s v="Local"/>
    <x v="8"/>
    <s v="TL+"/>
    <s v="APAC IT China"/>
    <m/>
    <m/>
    <n v="16000"/>
    <n v="12"/>
    <n v="192000"/>
    <n v="192000"/>
    <n v="0"/>
    <n v="160000"/>
    <n v="0"/>
    <m/>
    <m/>
    <n v="0"/>
  </r>
  <r>
    <n v="470698"/>
    <s v="GIBERT Eric"/>
    <s v="Local"/>
    <x v="8"/>
    <s v="M1-"/>
    <s v="APAC IT China"/>
    <m/>
    <m/>
    <n v="19000"/>
    <n v="12"/>
    <n v="228000"/>
    <n v="228000"/>
    <n v="0"/>
    <n v="420000"/>
    <n v="260350"/>
    <n v="84000"/>
    <m/>
    <n v="0"/>
  </r>
  <r>
    <n v="495299"/>
    <s v="Michael CHO Hang Hoo"/>
    <s v="Expats"/>
    <x v="9"/>
    <m/>
    <m/>
    <m/>
    <m/>
    <n v="11000"/>
    <n v="10"/>
    <n v="110000"/>
    <n v="132000"/>
    <n v="8000"/>
    <n v="0"/>
    <m/>
    <m/>
    <n v="30000"/>
    <n v="90000"/>
  </r>
  <r>
    <m/>
    <s v="ALDABA Sherald"/>
    <s v="Expats"/>
    <x v="2"/>
    <m/>
    <m/>
    <m/>
    <m/>
    <n v="18000"/>
    <n v="10"/>
    <n v="180000"/>
    <n v="180000"/>
    <n v="24000"/>
    <n v="18828"/>
    <m/>
    <m/>
    <n v="60000"/>
    <n v="67533"/>
  </r>
  <r>
    <m/>
    <s v="KAWAGUCHI Emi"/>
    <s v="Expats"/>
    <x v="2"/>
    <m/>
    <m/>
    <m/>
    <m/>
    <n v="13000"/>
    <n v="12"/>
    <n v="156000"/>
    <n v="156000"/>
    <n v="16000"/>
    <n v="0"/>
    <m/>
    <n v="84000"/>
    <n v="60000"/>
    <n v="90000"/>
  </r>
  <r>
    <n v="470419"/>
    <s v="CAYABA Christian"/>
    <s v="Local"/>
    <x v="9"/>
    <s v="M1-"/>
    <m/>
    <m/>
    <m/>
    <m/>
    <m/>
    <m/>
    <m/>
    <m/>
    <m/>
    <m/>
    <m/>
    <m/>
    <m/>
  </r>
  <r>
    <m/>
    <s v="ROCHERIEUR Mathias"/>
    <s v="Expats"/>
    <x v="3"/>
    <m/>
    <m/>
    <m/>
    <m/>
    <n v="42000"/>
    <n v="6"/>
    <n v="252000"/>
    <n v="504000"/>
    <n v="45000"/>
    <n v="18828"/>
    <m/>
    <n v="60000"/>
    <n v="30000"/>
    <s v="-"/>
  </r>
  <r>
    <m/>
    <s v="ZACHERO Cosma"/>
    <s v="Expats"/>
    <x v="2"/>
    <m/>
    <m/>
    <m/>
    <m/>
    <n v="26500"/>
    <n v="8"/>
    <n v="212000"/>
    <n v="318000"/>
    <n v="30000"/>
    <m/>
    <m/>
    <m/>
    <n v="30000"/>
    <s v="-"/>
  </r>
  <r>
    <m/>
    <s v="Sojeong"/>
    <s v="Local"/>
    <x v="3"/>
    <m/>
    <m/>
    <m/>
    <m/>
    <n v="7500"/>
    <n v="11"/>
    <n v="82500"/>
    <n v="90000"/>
    <m/>
    <m/>
    <m/>
    <m/>
    <m/>
    <s v=""/>
  </r>
  <r>
    <m/>
    <s v="SUM Yvonnes"/>
    <s v="Local"/>
    <x v="3"/>
    <m/>
    <m/>
    <m/>
    <m/>
    <n v="18000"/>
    <n v="10"/>
    <n v="180000"/>
    <n v="216000"/>
    <m/>
    <m/>
    <m/>
    <n v="70000"/>
    <m/>
    <s v=""/>
  </r>
  <r>
    <m/>
    <s v="RAMOS Barbara Joan Marie"/>
    <s v="Expats"/>
    <x v="7"/>
    <m/>
    <m/>
    <m/>
    <m/>
    <n v="13000"/>
    <n v="9"/>
    <n v="117000"/>
    <n v="156000"/>
    <n v="8000"/>
    <m/>
    <m/>
    <m/>
    <n v="30000"/>
    <n v="150000"/>
  </r>
  <r>
    <m/>
    <s v="STAVRINADOU Ioanna"/>
    <s v="Expats"/>
    <x v="2"/>
    <m/>
    <m/>
    <m/>
    <m/>
    <n v="21000"/>
    <n v="9"/>
    <n v="189000"/>
    <n v="252000"/>
    <n v="40000"/>
    <n v="400000"/>
    <m/>
    <n v="90000"/>
    <n v="60000"/>
    <n v="280000"/>
  </r>
  <r>
    <m/>
    <s v="YANG Dong Ni"/>
    <s v="Expats"/>
    <x v="0"/>
    <m/>
    <s v="APAC Corporate China"/>
    <m/>
    <m/>
    <n v="21000"/>
    <n v="7"/>
    <n v="147000"/>
    <m/>
    <n v="32000"/>
    <n v="460000"/>
    <m/>
    <m/>
    <n v="60000"/>
    <n v="90000"/>
  </r>
  <r>
    <m/>
    <s v="Begona PLAZO"/>
    <s v="Expats"/>
    <x v="10"/>
    <m/>
    <m/>
    <m/>
    <m/>
    <n v="17000"/>
    <n v="9"/>
    <n v="153000"/>
    <n v="153000"/>
    <n v="45000"/>
    <m/>
    <m/>
    <m/>
    <m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18">
    <pivotField showAll="0"/>
    <pivotField showAll="0"/>
    <pivotField multipleItemSelectionAllowed="1" showAll="0"/>
    <pivotField axis="axisRow" showAll="0">
      <items count="13">
        <item x="7"/>
        <item x="3"/>
        <item m="1" x="11"/>
        <item x="5"/>
        <item x="0"/>
        <item x="2"/>
        <item h="1" x="10"/>
        <item h="1" x="8"/>
        <item h="1" x="4"/>
        <item h="1" x="6"/>
        <item h="1" x="1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numFmtId="1" showAll="0"/>
    <pivotField numFmtId="164"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ouse by PO - annual" fld="7" baseField="3" baseItem="0"/>
    <dataField name="Sum of Prorated House reimbursement" fld="10" baseField="0" baseItem="0"/>
    <dataField name="Sum of Home Leave " fld="12" baseField="3" baseItem="0"/>
    <dataField name="Sum of Tuition 2019 Target" fld="13" baseField="3" baseItem="0"/>
    <dataField name="Sum of Languages" fld="16" baseField="3" baseItem="0"/>
    <dataField name="Sum of Social Recharge " fld="17" baseField="3" baseItem="0"/>
  </dataFields>
  <formats count="7"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G5" sqref="G5"/>
    </sheetView>
  </sheetViews>
  <sheetFormatPr defaultRowHeight="15" outlineLevelRow="1"/>
  <cols>
    <col min="2" max="2" width="34.85546875" customWidth="1"/>
    <col min="3" max="3" width="14.85546875" customWidth="1"/>
    <col min="4" max="4" width="15.7109375" customWidth="1"/>
    <col min="5" max="5" width="13.85546875" customWidth="1"/>
    <col min="6" max="7" width="13.5703125" customWidth="1"/>
    <col min="8" max="8" width="18" customWidth="1"/>
  </cols>
  <sheetData>
    <row r="1" spans="2:8" ht="15.75" thickBot="1"/>
    <row r="2" spans="2:8" s="1" customFormat="1" ht="39" customHeight="1">
      <c r="B2" s="2" t="s">
        <v>77</v>
      </c>
      <c r="C2" s="3" t="s">
        <v>22</v>
      </c>
      <c r="D2" s="3" t="s">
        <v>88</v>
      </c>
      <c r="E2" s="3" t="s">
        <v>12</v>
      </c>
      <c r="F2" s="3" t="s">
        <v>27</v>
      </c>
      <c r="G2" s="94" t="s">
        <v>15</v>
      </c>
      <c r="H2" s="98" t="s">
        <v>78</v>
      </c>
    </row>
    <row r="3" spans="2:8">
      <c r="B3" s="89" t="s">
        <v>32</v>
      </c>
      <c r="C3" s="90">
        <f t="shared" ref="C3:H3" si="0">SUM(C4:C8)</f>
        <v>550000</v>
      </c>
      <c r="D3" s="90">
        <f t="shared" si="0"/>
        <v>1643209.4849999999</v>
      </c>
      <c r="E3" s="90">
        <f t="shared" si="0"/>
        <v>228000</v>
      </c>
      <c r="F3" s="90">
        <f t="shared" si="0"/>
        <v>998828</v>
      </c>
      <c r="G3" s="95">
        <f t="shared" si="0"/>
        <v>60000</v>
      </c>
      <c r="H3" s="99">
        <f t="shared" si="0"/>
        <v>3480037.4849999999</v>
      </c>
    </row>
    <row r="4" spans="2:8" outlineLevel="1">
      <c r="B4" s="91" t="s">
        <v>0</v>
      </c>
      <c r="C4" s="4"/>
      <c r="D4" s="4">
        <v>283992</v>
      </c>
      <c r="E4" s="4">
        <v>8000</v>
      </c>
      <c r="F4" s="4"/>
      <c r="G4" s="96">
        <v>30000</v>
      </c>
      <c r="H4" s="100">
        <f>SUM(C4:G4)</f>
        <v>321992</v>
      </c>
    </row>
    <row r="5" spans="2:8" outlineLevel="1">
      <c r="B5" s="91" t="s">
        <v>1</v>
      </c>
      <c r="C5" s="4"/>
      <c r="D5" s="4">
        <v>630013.48499999999</v>
      </c>
      <c r="E5" s="4">
        <v>45000</v>
      </c>
      <c r="F5" s="4">
        <v>18828</v>
      </c>
      <c r="G5" s="96">
        <v>30000</v>
      </c>
      <c r="H5" s="100">
        <f t="shared" ref="H5:H10" si="1">SUM(C5:G5)</f>
        <v>723841.48499999999</v>
      </c>
    </row>
    <row r="6" spans="2:8" outlineLevel="1">
      <c r="B6" s="91" t="s">
        <v>2</v>
      </c>
      <c r="C6" s="4"/>
      <c r="D6" s="4">
        <v>150204</v>
      </c>
      <c r="E6" s="4">
        <v>8000</v>
      </c>
      <c r="F6" s="4"/>
      <c r="G6" s="96"/>
      <c r="H6" s="100">
        <f t="shared" si="1"/>
        <v>158204</v>
      </c>
    </row>
    <row r="7" spans="2:8" outlineLevel="1">
      <c r="B7" s="91" t="s">
        <v>3</v>
      </c>
      <c r="C7" s="4">
        <v>550000</v>
      </c>
      <c r="D7" s="4">
        <v>372000</v>
      </c>
      <c r="E7" s="4">
        <v>92000</v>
      </c>
      <c r="F7" s="4">
        <v>580000</v>
      </c>
      <c r="G7" s="96"/>
      <c r="H7" s="100">
        <f t="shared" si="1"/>
        <v>1594000</v>
      </c>
    </row>
    <row r="8" spans="2:8" outlineLevel="1">
      <c r="B8" s="91" t="s">
        <v>4</v>
      </c>
      <c r="C8" s="4"/>
      <c r="D8" s="4">
        <v>207000</v>
      </c>
      <c r="E8" s="4">
        <v>75000</v>
      </c>
      <c r="F8" s="4">
        <v>400000</v>
      </c>
      <c r="G8" s="96"/>
      <c r="H8" s="100">
        <f t="shared" si="1"/>
        <v>682000</v>
      </c>
    </row>
    <row r="9" spans="2:8">
      <c r="B9" s="89" t="s">
        <v>89</v>
      </c>
      <c r="C9" s="90">
        <v>1184000</v>
      </c>
      <c r="D9" s="90">
        <v>1419000</v>
      </c>
      <c r="E9" s="90">
        <v>338000</v>
      </c>
      <c r="F9" s="90">
        <v>1087228</v>
      </c>
      <c r="G9" s="95">
        <v>240000</v>
      </c>
      <c r="H9" s="99">
        <f t="shared" ref="H9" si="2">SUM(C9:G9)</f>
        <v>4268228</v>
      </c>
    </row>
    <row r="10" spans="2:8" ht="15.75" outlineLevel="1" thickBot="1">
      <c r="B10" s="91" t="s">
        <v>5</v>
      </c>
      <c r="C10" s="4">
        <v>1184000</v>
      </c>
      <c r="D10" s="4">
        <v>1419000</v>
      </c>
      <c r="E10" s="4">
        <v>338000</v>
      </c>
      <c r="F10" s="4">
        <v>1087228</v>
      </c>
      <c r="G10" s="96">
        <v>240000</v>
      </c>
      <c r="H10" s="100">
        <f t="shared" si="1"/>
        <v>4268228</v>
      </c>
    </row>
    <row r="11" spans="2:8" ht="15.75" thickBot="1">
      <c r="B11" s="92" t="s">
        <v>78</v>
      </c>
      <c r="C11" s="93">
        <f t="shared" ref="C11:H11" si="3">SUM(C3,C9)</f>
        <v>1734000</v>
      </c>
      <c r="D11" s="93">
        <f t="shared" si="3"/>
        <v>3062209.4849999999</v>
      </c>
      <c r="E11" s="93">
        <f t="shared" si="3"/>
        <v>566000</v>
      </c>
      <c r="F11" s="93">
        <f t="shared" si="3"/>
        <v>2086056</v>
      </c>
      <c r="G11" s="97">
        <f t="shared" si="3"/>
        <v>300000</v>
      </c>
      <c r="H11" s="101">
        <f t="shared" si="3"/>
        <v>7748265.4849999994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workbookViewId="0">
      <selection activeCell="J4" sqref="J4"/>
    </sheetView>
  </sheetViews>
  <sheetFormatPr defaultRowHeight="15"/>
  <cols>
    <col min="1" max="1" width="27.140625" customWidth="1"/>
    <col min="2" max="2" width="20.140625" customWidth="1"/>
    <col min="3" max="3" width="21.7109375" customWidth="1"/>
    <col min="4" max="4" width="18.7109375" customWidth="1"/>
    <col min="5" max="5" width="24.5703125" customWidth="1"/>
    <col min="6" max="6" width="19.5703125" customWidth="1"/>
    <col min="7" max="8" width="22.140625" customWidth="1"/>
    <col min="9" max="9" width="11" bestFit="1" customWidth="1"/>
    <col min="10" max="10" width="12.5703125" bestFit="1" customWidth="1"/>
  </cols>
  <sheetData>
    <row r="3" spans="1:10" s="76" customFormat="1" ht="30">
      <c r="A3" s="75" t="s">
        <v>77</v>
      </c>
      <c r="B3" s="76" t="s">
        <v>80</v>
      </c>
      <c r="C3" s="76" t="s">
        <v>79</v>
      </c>
      <c r="D3" s="76" t="s">
        <v>81</v>
      </c>
      <c r="E3" s="76" t="s">
        <v>82</v>
      </c>
      <c r="F3" s="76" t="s">
        <v>83</v>
      </c>
      <c r="G3" t="s">
        <v>91</v>
      </c>
      <c r="H3"/>
    </row>
    <row r="4" spans="1:10">
      <c r="A4" s="73" t="s">
        <v>0</v>
      </c>
      <c r="B4" s="5"/>
      <c r="C4" s="5">
        <v>283992</v>
      </c>
      <c r="D4" s="5">
        <v>8000</v>
      </c>
      <c r="E4" s="5"/>
      <c r="F4" s="5">
        <v>30000</v>
      </c>
      <c r="G4" s="5">
        <v>150000</v>
      </c>
      <c r="I4" s="5"/>
    </row>
    <row r="5" spans="1:10">
      <c r="A5" s="73" t="s">
        <v>1</v>
      </c>
      <c r="B5" s="5"/>
      <c r="C5" s="5">
        <v>630013.48499999999</v>
      </c>
      <c r="D5" s="5">
        <v>45000</v>
      </c>
      <c r="E5" s="5">
        <v>18828</v>
      </c>
      <c r="F5" s="5">
        <v>30000</v>
      </c>
      <c r="G5" s="5">
        <v>217080</v>
      </c>
      <c r="I5" s="5"/>
    </row>
    <row r="6" spans="1:10">
      <c r="A6" s="73" t="s">
        <v>3</v>
      </c>
      <c r="B6" s="5">
        <v>550000</v>
      </c>
      <c r="C6" s="5">
        <v>372000</v>
      </c>
      <c r="D6" s="5">
        <v>92000</v>
      </c>
      <c r="E6" s="5">
        <v>580000</v>
      </c>
      <c r="F6" s="5"/>
      <c r="G6" s="5">
        <v>372828</v>
      </c>
      <c r="I6" s="5"/>
    </row>
    <row r="7" spans="1:10">
      <c r="A7" s="73" t="s">
        <v>4</v>
      </c>
      <c r="B7" s="5">
        <v>478000</v>
      </c>
      <c r="C7" s="5">
        <v>354000</v>
      </c>
      <c r="D7" s="5">
        <v>197000</v>
      </c>
      <c r="E7" s="5">
        <v>1070000</v>
      </c>
      <c r="F7" s="5">
        <v>60000</v>
      </c>
      <c r="G7" s="5">
        <v>90000</v>
      </c>
      <c r="I7" s="5"/>
    </row>
    <row r="8" spans="1:10">
      <c r="A8" s="73" t="s">
        <v>5</v>
      </c>
      <c r="B8" s="5">
        <v>1184000</v>
      </c>
      <c r="C8" s="5">
        <v>1309000</v>
      </c>
      <c r="D8" s="5">
        <v>330000</v>
      </c>
      <c r="E8" s="5">
        <v>1087228</v>
      </c>
      <c r="F8" s="5">
        <v>210000</v>
      </c>
      <c r="G8" s="5">
        <v>1135955.11552</v>
      </c>
      <c r="I8" s="5"/>
    </row>
    <row r="9" spans="1:10">
      <c r="A9" s="73" t="s">
        <v>78</v>
      </c>
      <c r="B9" s="5">
        <v>2212000</v>
      </c>
      <c r="C9" s="5">
        <v>2949005.4849999999</v>
      </c>
      <c r="D9" s="5">
        <v>672000</v>
      </c>
      <c r="E9" s="5">
        <v>2756056</v>
      </c>
      <c r="F9" s="5">
        <v>330000</v>
      </c>
      <c r="G9" s="5">
        <v>1965863.11552</v>
      </c>
      <c r="I9" s="5"/>
    </row>
    <row r="10" spans="1:10">
      <c r="I10" s="5"/>
    </row>
    <row r="11" spans="1:10">
      <c r="B11" s="84"/>
      <c r="C11" s="84"/>
      <c r="H11" s="5"/>
    </row>
    <row r="12" spans="1:10">
      <c r="B12" s="85"/>
      <c r="C12" s="85"/>
      <c r="E12" s="86"/>
      <c r="I12" s="5"/>
    </row>
    <row r="13" spans="1:10" hidden="1">
      <c r="E13" s="5">
        <f>G8</f>
        <v>1135955.11552</v>
      </c>
      <c r="I13" s="5">
        <f t="shared" ref="I13" si="0">SUM(B13:H13)</f>
        <v>1135955.11552</v>
      </c>
    </row>
    <row r="14" spans="1:10" hidden="1">
      <c r="E14" s="87">
        <f>SUM(E12:E13)</f>
        <v>1135955.11552</v>
      </c>
      <c r="F14" s="88">
        <f>E14/1000/3295</f>
        <v>0.34475117314719272</v>
      </c>
      <c r="I14" s="5"/>
    </row>
    <row r="15" spans="1:10" hidden="1">
      <c r="A15" s="74" t="s">
        <v>86</v>
      </c>
      <c r="B15" s="77">
        <v>2692636</v>
      </c>
      <c r="C15" s="77">
        <v>2315573</v>
      </c>
      <c r="D15" s="77">
        <v>795000</v>
      </c>
      <c r="E15" s="77">
        <v>2010350</v>
      </c>
      <c r="F15" s="79" t="s">
        <v>16</v>
      </c>
      <c r="G15" s="77">
        <v>180000</v>
      </c>
      <c r="H15" s="77">
        <v>2828066.7867425447</v>
      </c>
      <c r="J15" s="80">
        <f>H15*1.7</f>
        <v>4807713.5374623258</v>
      </c>
    </row>
    <row r="16" spans="1:10" hidden="1">
      <c r="A16" s="73"/>
      <c r="B16" s="5"/>
      <c r="C16" s="5"/>
      <c r="D16" s="5"/>
      <c r="E16" s="5"/>
      <c r="F16" s="78"/>
      <c r="G16" s="5"/>
      <c r="H16" s="5"/>
      <c r="I16" s="83" t="s">
        <v>87</v>
      </c>
    </row>
    <row r="17" spans="1:3" hidden="1">
      <c r="A17" s="81" t="s">
        <v>84</v>
      </c>
      <c r="B17" s="7">
        <f>SUM(B13,C13,D13,E13,F13,G13,H13)</f>
        <v>1135955.11552</v>
      </c>
      <c r="C17" s="82">
        <v>18828522.571317218</v>
      </c>
    </row>
    <row r="18" spans="1:3" hidden="1">
      <c r="A18" s="81" t="s">
        <v>85</v>
      </c>
      <c r="B18" s="7">
        <f>SUM(B15:E15,G15,H15)</f>
        <v>10821625.786742546</v>
      </c>
      <c r="C18" s="7">
        <f>SUM(B15:E15,G15,J15)</f>
        <v>12801272.537462326</v>
      </c>
    </row>
    <row r="19" spans="1:3" hidden="1">
      <c r="A19" s="6"/>
      <c r="B19" s="8">
        <f>B17/B18-1</f>
        <v>-0.89502916309380742</v>
      </c>
      <c r="C19" s="8">
        <f>C17/C18-1</f>
        <v>0.47083210018507349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/>
  <cols>
    <col min="1" max="1" width="9.85546875" bestFit="1" customWidth="1"/>
    <col min="2" max="2" width="24.85546875" bestFit="1" customWidth="1"/>
    <col min="3" max="3" width="11.7109375" bestFit="1" customWidth="1"/>
    <col min="4" max="4" width="31.28515625" bestFit="1" customWidth="1"/>
    <col min="5" max="5" width="5.42578125" customWidth="1"/>
    <col min="6" max="6" width="20.28515625" bestFit="1" customWidth="1"/>
    <col min="7" max="7" width="12.140625" bestFit="1" customWidth="1"/>
    <col min="8" max="8" width="10" bestFit="1" customWidth="1"/>
    <col min="9" max="9" width="15.7109375" customWidth="1"/>
    <col min="10" max="10" width="9" customWidth="1"/>
    <col min="11" max="11" width="10.28515625" bestFit="1" customWidth="1"/>
    <col min="12" max="12" width="13.5703125" hidden="1" customWidth="1"/>
    <col min="13" max="13" width="14.28515625" bestFit="1" customWidth="1"/>
    <col min="14" max="14" width="10.28515625" bestFit="1" customWidth="1"/>
    <col min="15" max="15" width="8.42578125" bestFit="1" customWidth="1"/>
    <col min="16" max="16" width="10.28515625" bestFit="1" customWidth="1"/>
    <col min="17" max="17" width="12.140625" bestFit="1" customWidth="1"/>
    <col min="18" max="18" width="12.140625" customWidth="1"/>
    <col min="19" max="19" width="18" bestFit="1" customWidth="1"/>
    <col min="20" max="20" width="16.85546875" customWidth="1"/>
  </cols>
  <sheetData>
    <row r="1" spans="1:20" ht="51">
      <c r="A1" s="66" t="s">
        <v>17</v>
      </c>
      <c r="B1" s="67" t="s">
        <v>18</v>
      </c>
      <c r="C1" s="67" t="s">
        <v>76</v>
      </c>
      <c r="D1" s="67" t="s">
        <v>19</v>
      </c>
      <c r="E1" s="67" t="s">
        <v>20</v>
      </c>
      <c r="F1" s="67" t="s">
        <v>21</v>
      </c>
      <c r="G1" s="68" t="s">
        <v>11</v>
      </c>
      <c r="H1" s="69" t="s">
        <v>22</v>
      </c>
      <c r="I1" s="70" t="s">
        <v>23</v>
      </c>
      <c r="J1" s="71" t="s">
        <v>24</v>
      </c>
      <c r="K1" s="71" t="s">
        <v>25</v>
      </c>
      <c r="L1" s="69" t="s">
        <v>26</v>
      </c>
      <c r="M1" s="9" t="s">
        <v>12</v>
      </c>
      <c r="N1" s="72" t="s">
        <v>27</v>
      </c>
      <c r="O1" s="69" t="s">
        <v>28</v>
      </c>
      <c r="P1" s="9" t="s">
        <v>13</v>
      </c>
      <c r="Q1" s="9" t="s">
        <v>15</v>
      </c>
      <c r="R1" s="131" t="s">
        <v>93</v>
      </c>
      <c r="S1" s="10" t="s">
        <v>14</v>
      </c>
    </row>
    <row r="2" spans="1:20">
      <c r="A2" s="11">
        <v>470351</v>
      </c>
      <c r="B2" s="12" t="s">
        <v>29</v>
      </c>
      <c r="C2" s="12" t="s">
        <v>30</v>
      </c>
      <c r="D2" s="12" t="s">
        <v>4</v>
      </c>
      <c r="E2" s="13" t="s">
        <v>31</v>
      </c>
      <c r="F2" s="12" t="s">
        <v>32</v>
      </c>
      <c r="G2" s="15"/>
      <c r="H2" s="14"/>
      <c r="I2" s="14">
        <v>23000</v>
      </c>
      <c r="J2" s="15">
        <v>9</v>
      </c>
      <c r="K2" s="16">
        <f>I2*J2</f>
        <v>207000</v>
      </c>
      <c r="L2" s="14">
        <f>I2*12</f>
        <v>276000</v>
      </c>
      <c r="M2" s="14">
        <v>75000</v>
      </c>
      <c r="N2" s="14">
        <v>400000</v>
      </c>
      <c r="O2" s="14">
        <f>10798+326500</f>
        <v>337298</v>
      </c>
      <c r="P2" s="14"/>
      <c r="Q2" s="14"/>
      <c r="R2" s="121"/>
      <c r="S2" s="17" t="s">
        <v>16</v>
      </c>
      <c r="T2" t="e">
        <f>VLOOKUP(B2,'[1]2019.1'!$B:$G,6,FALSE)</f>
        <v>#N/A</v>
      </c>
    </row>
    <row r="3" spans="1:20">
      <c r="A3" s="11">
        <v>470357</v>
      </c>
      <c r="B3" s="12" t="s">
        <v>33</v>
      </c>
      <c r="C3" s="12" t="s">
        <v>30</v>
      </c>
      <c r="D3" s="12" t="s">
        <v>10</v>
      </c>
      <c r="E3" s="13" t="s">
        <v>34</v>
      </c>
      <c r="F3" s="12" t="s">
        <v>35</v>
      </c>
      <c r="G3" s="15"/>
      <c r="H3" s="14"/>
      <c r="I3" s="14">
        <v>10000</v>
      </c>
      <c r="J3" s="15">
        <v>12</v>
      </c>
      <c r="K3" s="16">
        <f t="shared" ref="K3:K35" si="0">I3*J3</f>
        <v>120000</v>
      </c>
      <c r="L3" s="14">
        <f t="shared" ref="L3:L23" si="1">I3*12</f>
        <v>120000</v>
      </c>
      <c r="M3" s="14">
        <v>15000</v>
      </c>
      <c r="N3" s="14"/>
      <c r="O3" s="14">
        <v>0</v>
      </c>
      <c r="P3" s="14"/>
      <c r="Q3" s="14"/>
      <c r="R3" s="121"/>
      <c r="S3" s="18" t="str">
        <f>IFERROR(VLOOKUP(A3,[2]SR!A:G,7,FALSE),"")</f>
        <v>exclude</v>
      </c>
      <c r="T3" t="str">
        <f>VLOOKUP(B3,[2]SR!$B:$G,6,FALSE)</f>
        <v>exclude</v>
      </c>
    </row>
    <row r="4" spans="1:20">
      <c r="A4" s="19">
        <v>470485</v>
      </c>
      <c r="B4" s="20" t="s">
        <v>36</v>
      </c>
      <c r="C4" s="20" t="s">
        <v>30</v>
      </c>
      <c r="D4" s="20" t="s">
        <v>5</v>
      </c>
      <c r="E4" s="21" t="s">
        <v>34</v>
      </c>
      <c r="F4" s="20" t="s">
        <v>37</v>
      </c>
      <c r="G4" s="23"/>
      <c r="H4" s="22"/>
      <c r="I4" s="22">
        <v>18000</v>
      </c>
      <c r="J4" s="23">
        <v>3</v>
      </c>
      <c r="K4" s="24">
        <f t="shared" si="0"/>
        <v>54000</v>
      </c>
      <c r="L4" s="22">
        <f>I4*3</f>
        <v>54000</v>
      </c>
      <c r="M4" s="25">
        <v>0</v>
      </c>
      <c r="N4" s="22"/>
      <c r="O4" s="22"/>
      <c r="P4" s="22">
        <v>0</v>
      </c>
      <c r="Q4" s="22"/>
      <c r="R4" s="122"/>
      <c r="S4" s="26">
        <f>(IFERROR(VLOOKUP(A4,[2]SR!A:G,7,FALSE),""))/12*3</f>
        <v>73710</v>
      </c>
      <c r="T4">
        <f>VLOOKUP(B4,[2]SR!$B:$G,6,FALSE)</f>
        <v>294840</v>
      </c>
    </row>
    <row r="5" spans="1:20">
      <c r="A5" s="27">
        <v>470651</v>
      </c>
      <c r="B5" s="28" t="s">
        <v>38</v>
      </c>
      <c r="C5" s="28" t="s">
        <v>30</v>
      </c>
      <c r="D5" s="12" t="s">
        <v>92</v>
      </c>
      <c r="E5" s="13" t="s">
        <v>34</v>
      </c>
      <c r="F5" s="12" t="s">
        <v>32</v>
      </c>
      <c r="G5" s="15"/>
      <c r="H5" s="14"/>
      <c r="I5" s="14">
        <v>23102.697</v>
      </c>
      <c r="J5" s="15">
        <v>5</v>
      </c>
      <c r="K5" s="16">
        <f t="shared" si="0"/>
        <v>115513.485</v>
      </c>
      <c r="L5" s="14">
        <f>I5*12</f>
        <v>277232.364</v>
      </c>
      <c r="M5" s="29">
        <v>0</v>
      </c>
      <c r="N5" s="14"/>
      <c r="O5" s="14">
        <v>0</v>
      </c>
      <c r="P5" s="30">
        <v>42000</v>
      </c>
      <c r="Q5" s="30"/>
      <c r="R5" s="123"/>
      <c r="S5" s="18">
        <f>IFERROR(VLOOKUP(A5,[2]SR!A:G,7,FALSE),"")</f>
        <v>217080</v>
      </c>
      <c r="T5">
        <f>VLOOKUP(B5,[2]SR!$B:$G,6,FALSE)</f>
        <v>217080</v>
      </c>
    </row>
    <row r="6" spans="1:20">
      <c r="A6" s="11">
        <v>470660</v>
      </c>
      <c r="B6" s="12" t="s">
        <v>39</v>
      </c>
      <c r="C6" s="12" t="s">
        <v>30</v>
      </c>
      <c r="D6" s="12" t="s">
        <v>8</v>
      </c>
      <c r="E6" s="13" t="s">
        <v>40</v>
      </c>
      <c r="F6" s="12" t="s">
        <v>35</v>
      </c>
      <c r="G6" s="15"/>
      <c r="H6" s="14"/>
      <c r="I6" s="14">
        <v>23240.315999999999</v>
      </c>
      <c r="J6" s="15">
        <v>12</v>
      </c>
      <c r="K6" s="16">
        <f t="shared" si="0"/>
        <v>278883.79200000002</v>
      </c>
      <c r="L6" s="14">
        <f t="shared" si="1"/>
        <v>278883.79200000002</v>
      </c>
      <c r="M6" s="29">
        <v>0</v>
      </c>
      <c r="N6" s="14">
        <v>390000</v>
      </c>
      <c r="O6" s="14">
        <v>221644</v>
      </c>
      <c r="P6" s="30">
        <v>84000</v>
      </c>
      <c r="Q6" s="30"/>
      <c r="R6" s="132">
        <v>41478</v>
      </c>
      <c r="S6" s="18" t="str">
        <f>IFERROR(VLOOKUP(A6,[2]SR!A:G,7,FALSE),"")</f>
        <v>exclude</v>
      </c>
      <c r="T6" t="str">
        <f>VLOOKUP(B6,[2]SR!$B:$G,6,FALSE)</f>
        <v>exclude</v>
      </c>
    </row>
    <row r="7" spans="1:20">
      <c r="A7" s="11">
        <v>470689</v>
      </c>
      <c r="B7" s="12" t="s">
        <v>41</v>
      </c>
      <c r="C7" s="12" t="s">
        <v>30</v>
      </c>
      <c r="D7" s="12" t="s">
        <v>10</v>
      </c>
      <c r="E7" s="13" t="s">
        <v>42</v>
      </c>
      <c r="F7" s="12" t="s">
        <v>35</v>
      </c>
      <c r="G7" s="15"/>
      <c r="H7" s="14"/>
      <c r="I7" s="14">
        <v>10000</v>
      </c>
      <c r="J7" s="15">
        <v>12</v>
      </c>
      <c r="K7" s="16">
        <f t="shared" si="0"/>
        <v>120000</v>
      </c>
      <c r="L7" s="14">
        <f t="shared" si="1"/>
        <v>120000</v>
      </c>
      <c r="M7" s="14">
        <v>15000</v>
      </c>
      <c r="N7" s="14"/>
      <c r="O7" s="14">
        <v>0</v>
      </c>
      <c r="P7" s="30">
        <v>84000</v>
      </c>
      <c r="Q7" s="30"/>
      <c r="R7" s="123"/>
      <c r="S7" s="18" t="str">
        <f>IFERROR(VLOOKUP(A7,[2]SR!A:G,7,FALSE),"")</f>
        <v>exclude</v>
      </c>
      <c r="T7" t="str">
        <f>VLOOKUP(B7,[2]SR!$B:$G,6,FALSE)</f>
        <v>exclude</v>
      </c>
    </row>
    <row r="8" spans="1:20">
      <c r="A8" s="11">
        <v>470728</v>
      </c>
      <c r="B8" s="28" t="s">
        <v>43</v>
      </c>
      <c r="C8" s="28" t="s">
        <v>30</v>
      </c>
      <c r="D8" s="12" t="s">
        <v>5</v>
      </c>
      <c r="E8" s="13" t="s">
        <v>44</v>
      </c>
      <c r="F8" s="12" t="s">
        <v>37</v>
      </c>
      <c r="G8" s="15">
        <v>71000</v>
      </c>
      <c r="H8" s="14">
        <f>G8*12+10000</f>
        <v>862000</v>
      </c>
      <c r="I8" s="14">
        <v>0</v>
      </c>
      <c r="J8" s="15">
        <v>12</v>
      </c>
      <c r="K8" s="16">
        <f t="shared" si="0"/>
        <v>0</v>
      </c>
      <c r="L8" s="14">
        <f t="shared" si="1"/>
        <v>0</v>
      </c>
      <c r="M8" s="14">
        <v>150000</v>
      </c>
      <c r="N8" s="14">
        <v>650000</v>
      </c>
      <c r="O8" s="14">
        <v>650000</v>
      </c>
      <c r="P8" s="14">
        <v>250000</v>
      </c>
      <c r="Q8" s="14"/>
      <c r="R8" s="121"/>
      <c r="S8" s="17" t="s">
        <v>16</v>
      </c>
      <c r="T8" t="str">
        <f>VLOOKUP(B8,[2]SR!$B:$G,6,FALSE)</f>
        <v>exclude</v>
      </c>
    </row>
    <row r="9" spans="1:20">
      <c r="A9" s="11">
        <v>472301</v>
      </c>
      <c r="B9" s="12" t="s">
        <v>45</v>
      </c>
      <c r="C9" s="12" t="s">
        <v>30</v>
      </c>
      <c r="D9" s="12" t="s">
        <v>5</v>
      </c>
      <c r="E9" s="13" t="s">
        <v>46</v>
      </c>
      <c r="F9" s="12" t="s">
        <v>37</v>
      </c>
      <c r="G9" s="15"/>
      <c r="H9" s="14"/>
      <c r="I9" s="14">
        <v>11000</v>
      </c>
      <c r="J9" s="15">
        <v>12</v>
      </c>
      <c r="K9" s="16">
        <f t="shared" si="0"/>
        <v>132000</v>
      </c>
      <c r="L9" s="14">
        <f t="shared" si="1"/>
        <v>132000</v>
      </c>
      <c r="M9" s="14">
        <v>16000</v>
      </c>
      <c r="N9" s="14"/>
      <c r="O9" s="14">
        <v>0</v>
      </c>
      <c r="P9" s="14"/>
      <c r="Q9" s="14"/>
      <c r="R9" s="132">
        <v>36422</v>
      </c>
      <c r="S9" s="18">
        <f>IFERROR(VLOOKUP(A9,[2]SR!A:G,7,FALSE),"")</f>
        <v>185250.78</v>
      </c>
      <c r="T9">
        <f>VLOOKUP(B9,[2]SR!$B:$G,6,FALSE)</f>
        <v>185250.78</v>
      </c>
    </row>
    <row r="10" spans="1:20">
      <c r="A10" s="11">
        <v>475928</v>
      </c>
      <c r="B10" s="28" t="s">
        <v>47</v>
      </c>
      <c r="C10" s="28" t="s">
        <v>30</v>
      </c>
      <c r="D10" s="12" t="s">
        <v>4</v>
      </c>
      <c r="E10" s="13" t="s">
        <v>40</v>
      </c>
      <c r="F10" s="12" t="s">
        <v>35</v>
      </c>
      <c r="G10" s="15">
        <v>39000</v>
      </c>
      <c r="H10" s="14">
        <f>G10*12+10000</f>
        <v>478000</v>
      </c>
      <c r="I10" s="14">
        <v>0</v>
      </c>
      <c r="J10" s="15">
        <v>12</v>
      </c>
      <c r="K10" s="16">
        <f t="shared" si="0"/>
        <v>0</v>
      </c>
      <c r="L10" s="14">
        <f t="shared" si="1"/>
        <v>0</v>
      </c>
      <c r="M10" s="14">
        <v>90000</v>
      </c>
      <c r="N10" s="14">
        <v>210000</v>
      </c>
      <c r="O10" s="14">
        <v>131350</v>
      </c>
      <c r="P10" s="14">
        <v>120000</v>
      </c>
      <c r="Q10" s="14"/>
      <c r="R10" s="121"/>
      <c r="S10" s="18" t="str">
        <f>IFERROR(VLOOKUP(A10,[2]SR!A:G,7,FALSE),"")</f>
        <v>exclude</v>
      </c>
      <c r="T10" t="str">
        <f>VLOOKUP(B10,[2]SR!$B:$G,6,FALSE)</f>
        <v>exclude</v>
      </c>
    </row>
    <row r="11" spans="1:20">
      <c r="A11" s="11">
        <v>476908</v>
      </c>
      <c r="B11" s="12" t="s">
        <v>48</v>
      </c>
      <c r="C11" s="12" t="s">
        <v>30</v>
      </c>
      <c r="D11" s="12" t="s">
        <v>3</v>
      </c>
      <c r="E11" s="13" t="s">
        <v>34</v>
      </c>
      <c r="F11" s="12" t="s">
        <v>32</v>
      </c>
      <c r="G11" s="15"/>
      <c r="H11" s="14"/>
      <c r="I11" s="14">
        <v>16000</v>
      </c>
      <c r="J11" s="15">
        <v>12</v>
      </c>
      <c r="K11" s="16">
        <f t="shared" si="0"/>
        <v>192000</v>
      </c>
      <c r="L11" s="14">
        <f>I11*12</f>
        <v>192000</v>
      </c>
      <c r="M11" s="14">
        <v>32000</v>
      </c>
      <c r="N11" s="14"/>
      <c r="O11" s="14">
        <v>0</v>
      </c>
      <c r="P11" s="14"/>
      <c r="Q11" s="14"/>
      <c r="R11" s="121"/>
      <c r="S11" s="18">
        <f>IFERROR(VLOOKUP(A11,[2]SR!A:G,7,FALSE),"")</f>
        <v>77988</v>
      </c>
      <c r="T11">
        <f>VLOOKUP(B11,[2]SR!$B:$G,6,FALSE)</f>
        <v>77988</v>
      </c>
    </row>
    <row r="12" spans="1:20">
      <c r="A12" s="19">
        <v>479088</v>
      </c>
      <c r="B12" s="20" t="s">
        <v>49</v>
      </c>
      <c r="C12" s="20" t="s">
        <v>30</v>
      </c>
      <c r="D12" s="20" t="s">
        <v>5</v>
      </c>
      <c r="E12" s="21" t="s">
        <v>34</v>
      </c>
      <c r="F12" s="20" t="s">
        <v>37</v>
      </c>
      <c r="G12" s="23"/>
      <c r="H12" s="22"/>
      <c r="I12" s="22">
        <v>16000</v>
      </c>
      <c r="J12" s="23">
        <v>2</v>
      </c>
      <c r="K12" s="24">
        <f t="shared" si="0"/>
        <v>32000</v>
      </c>
      <c r="L12" s="22">
        <f>I12*2</f>
        <v>32000</v>
      </c>
      <c r="M12" s="25">
        <v>0</v>
      </c>
      <c r="N12" s="22">
        <v>18400</v>
      </c>
      <c r="O12" s="22">
        <v>133100</v>
      </c>
      <c r="P12" s="22">
        <v>0</v>
      </c>
      <c r="Q12" s="22"/>
      <c r="R12" s="122"/>
      <c r="S12" s="26">
        <f>(IFERROR(VLOOKUP(A12,[2]SR!A:G,7,FALSE),""))/12*2</f>
        <v>27383.399999999998</v>
      </c>
      <c r="T12">
        <f>VLOOKUP(B12,[2]SR!$B:$G,6,FALSE)</f>
        <v>164300.4</v>
      </c>
    </row>
    <row r="13" spans="1:20">
      <c r="A13" s="11">
        <v>482296</v>
      </c>
      <c r="B13" s="28" t="s">
        <v>50</v>
      </c>
      <c r="C13" s="28" t="s">
        <v>30</v>
      </c>
      <c r="D13" s="12" t="s">
        <v>5</v>
      </c>
      <c r="E13" s="13" t="s">
        <v>40</v>
      </c>
      <c r="F13" s="12" t="s">
        <v>37</v>
      </c>
      <c r="G13" s="15">
        <v>26000</v>
      </c>
      <c r="H13" s="14">
        <f>G13*12+10000</f>
        <v>322000</v>
      </c>
      <c r="I13" s="14">
        <v>0</v>
      </c>
      <c r="J13" s="15">
        <v>12</v>
      </c>
      <c r="K13" s="16">
        <f t="shared" si="0"/>
        <v>0</v>
      </c>
      <c r="L13" s="14">
        <f t="shared" si="1"/>
        <v>0</v>
      </c>
      <c r="M13" s="14">
        <v>30000</v>
      </c>
      <c r="N13" s="14"/>
      <c r="O13" s="14">
        <v>0</v>
      </c>
      <c r="P13" s="30">
        <v>120000</v>
      </c>
      <c r="Q13" s="30"/>
      <c r="R13" s="123"/>
      <c r="S13" s="18" t="str">
        <f>IFERROR(VLOOKUP(A13,[2]SR!A:G,7,FALSE),"")</f>
        <v>exclude</v>
      </c>
      <c r="T13" t="str">
        <f>VLOOKUP(B13,[2]SR!$B:$G,6,FALSE)</f>
        <v>exclude</v>
      </c>
    </row>
    <row r="14" spans="1:20">
      <c r="A14" s="11">
        <v>488364</v>
      </c>
      <c r="B14" s="12" t="s">
        <v>51</v>
      </c>
      <c r="C14" s="12" t="s">
        <v>30</v>
      </c>
      <c r="D14" s="12" t="s">
        <v>5</v>
      </c>
      <c r="E14" s="13" t="s">
        <v>52</v>
      </c>
      <c r="F14" s="12" t="s">
        <v>37</v>
      </c>
      <c r="G14" s="15"/>
      <c r="H14" s="14"/>
      <c r="I14" s="14">
        <v>11000</v>
      </c>
      <c r="J14" s="15">
        <v>12</v>
      </c>
      <c r="K14" s="16">
        <f t="shared" si="0"/>
        <v>132000</v>
      </c>
      <c r="L14" s="14">
        <f t="shared" si="1"/>
        <v>132000</v>
      </c>
      <c r="M14" s="14">
        <v>8000</v>
      </c>
      <c r="N14" s="14"/>
      <c r="O14" s="14">
        <v>0</v>
      </c>
      <c r="P14" s="14"/>
      <c r="Q14" s="14"/>
      <c r="R14" s="121"/>
      <c r="S14" s="18">
        <f>IFERROR(VLOOKUP(A14,[2]SR!A:G,7,FALSE),"")</f>
        <v>288592.9056</v>
      </c>
      <c r="T14">
        <f>VLOOKUP(B14,[2]SR!$B:$G,6,FALSE)</f>
        <v>288592.9056</v>
      </c>
    </row>
    <row r="15" spans="1:20">
      <c r="A15" s="11">
        <v>488487</v>
      </c>
      <c r="B15" s="28" t="s">
        <v>53</v>
      </c>
      <c r="C15" s="28" t="s">
        <v>30</v>
      </c>
      <c r="D15" s="12" t="s">
        <v>3</v>
      </c>
      <c r="E15" s="13" t="s">
        <v>42</v>
      </c>
      <c r="F15" s="12" t="s">
        <v>32</v>
      </c>
      <c r="G15" s="15">
        <v>45000</v>
      </c>
      <c r="H15" s="14">
        <f>G15*12+10000</f>
        <v>550000</v>
      </c>
      <c r="I15" s="14">
        <v>0</v>
      </c>
      <c r="J15" s="15">
        <v>12</v>
      </c>
      <c r="K15" s="16">
        <f t="shared" si="0"/>
        <v>0</v>
      </c>
      <c r="L15" s="14">
        <v>550000</v>
      </c>
      <c r="M15" s="14">
        <v>60000</v>
      </c>
      <c r="N15" s="14">
        <v>420000</v>
      </c>
      <c r="O15" s="14">
        <v>268400</v>
      </c>
      <c r="P15" s="14">
        <v>120000</v>
      </c>
      <c r="Q15" s="14"/>
      <c r="R15" s="121"/>
      <c r="S15" s="18">
        <f>IFERROR(VLOOKUP(A15,[2]SR!A:G,7,FALSE),"")</f>
        <v>294840</v>
      </c>
      <c r="T15">
        <f>VLOOKUP(B15,[2]SR!$B:$G,6,FALSE)</f>
        <v>294840</v>
      </c>
    </row>
    <row r="16" spans="1:20">
      <c r="A16" s="11">
        <v>490263</v>
      </c>
      <c r="B16" s="12" t="s">
        <v>54</v>
      </c>
      <c r="C16" s="12" t="s">
        <v>30</v>
      </c>
      <c r="D16" s="12" t="s">
        <v>5</v>
      </c>
      <c r="E16" s="13" t="s">
        <v>52</v>
      </c>
      <c r="F16" s="12" t="s">
        <v>37</v>
      </c>
      <c r="G16" s="15"/>
      <c r="H16" s="14"/>
      <c r="I16" s="14">
        <v>7500</v>
      </c>
      <c r="J16" s="15">
        <v>12</v>
      </c>
      <c r="K16" s="16">
        <f t="shared" si="0"/>
        <v>90000</v>
      </c>
      <c r="L16" s="14">
        <f t="shared" si="1"/>
        <v>90000</v>
      </c>
      <c r="M16" s="14">
        <v>8000</v>
      </c>
      <c r="N16" s="14"/>
      <c r="O16" s="14">
        <v>0</v>
      </c>
      <c r="P16" s="14"/>
      <c r="Q16" s="14"/>
      <c r="R16" s="121"/>
      <c r="S16" s="18">
        <f>IFERROR(VLOOKUP(A16,[2]SR!A:G,7,FALSE),"")</f>
        <v>33485.029919999994</v>
      </c>
      <c r="T16">
        <f>VLOOKUP(B16,[2]SR!$B:$G,6,FALSE)</f>
        <v>33485.029919999994</v>
      </c>
    </row>
    <row r="17" spans="1:20">
      <c r="A17" s="11">
        <v>491649</v>
      </c>
      <c r="B17" s="12" t="s">
        <v>55</v>
      </c>
      <c r="C17" s="12" t="s">
        <v>30</v>
      </c>
      <c r="D17" s="12" t="s">
        <v>9</v>
      </c>
      <c r="E17" s="13" t="s">
        <v>52</v>
      </c>
      <c r="F17" s="12" t="s">
        <v>35</v>
      </c>
      <c r="G17" s="15"/>
      <c r="H17" s="14"/>
      <c r="I17" s="14">
        <v>11000</v>
      </c>
      <c r="J17" s="15">
        <v>12</v>
      </c>
      <c r="K17" s="16">
        <f t="shared" si="0"/>
        <v>132000</v>
      </c>
      <c r="L17" s="14">
        <f t="shared" si="1"/>
        <v>132000</v>
      </c>
      <c r="M17" s="31">
        <v>10000</v>
      </c>
      <c r="N17" s="14">
        <v>0</v>
      </c>
      <c r="O17" s="14">
        <v>0</v>
      </c>
      <c r="P17" s="30"/>
      <c r="Q17" s="30">
        <v>30000</v>
      </c>
      <c r="R17" s="123"/>
      <c r="S17" s="18" t="str">
        <f>IFERROR(VLOOKUP(A17,[2]SR!A:G,7,FALSE),"")</f>
        <v>exclude</v>
      </c>
      <c r="T17" t="str">
        <f>VLOOKUP(B17,[2]SR!$B:$G,6,FALSE)</f>
        <v>exclude</v>
      </c>
    </row>
    <row r="18" spans="1:20">
      <c r="A18" s="11">
        <v>493265</v>
      </c>
      <c r="B18" s="12" t="s">
        <v>56</v>
      </c>
      <c r="C18" s="12" t="s">
        <v>30</v>
      </c>
      <c r="D18" s="12" t="s">
        <v>5</v>
      </c>
      <c r="E18" s="13" t="s">
        <v>52</v>
      </c>
      <c r="F18" s="12" t="s">
        <v>37</v>
      </c>
      <c r="G18" s="15"/>
      <c r="H18" s="14"/>
      <c r="I18" s="14">
        <v>11000</v>
      </c>
      <c r="J18" s="15">
        <v>12</v>
      </c>
      <c r="K18" s="16">
        <f t="shared" si="0"/>
        <v>132000</v>
      </c>
      <c r="L18" s="14">
        <f t="shared" si="1"/>
        <v>132000</v>
      </c>
      <c r="M18" s="14">
        <v>8000</v>
      </c>
      <c r="N18" s="14"/>
      <c r="O18" s="14">
        <v>0</v>
      </c>
      <c r="P18" s="14"/>
      <c r="Q18" s="14"/>
      <c r="R18" s="121"/>
      <c r="S18" s="32">
        <v>90000</v>
      </c>
      <c r="T18">
        <f>VLOOKUP(B18,[2]SR!$B:$G,6,FALSE)</f>
        <v>0</v>
      </c>
    </row>
    <row r="19" spans="1:20">
      <c r="A19" s="19">
        <v>270312</v>
      </c>
      <c r="B19" s="20" t="s">
        <v>57</v>
      </c>
      <c r="C19" s="20" t="s">
        <v>30</v>
      </c>
      <c r="D19" s="20" t="s">
        <v>0</v>
      </c>
      <c r="E19" s="21" t="s">
        <v>34</v>
      </c>
      <c r="F19" s="20" t="s">
        <v>32</v>
      </c>
      <c r="G19" s="23"/>
      <c r="H19" s="22"/>
      <c r="I19" s="22">
        <v>11000</v>
      </c>
      <c r="J19" s="23">
        <v>3</v>
      </c>
      <c r="K19" s="24">
        <f t="shared" si="0"/>
        <v>33000</v>
      </c>
      <c r="L19" s="14">
        <f>I19*12</f>
        <v>132000</v>
      </c>
      <c r="M19" s="22"/>
      <c r="N19" s="22"/>
      <c r="O19" s="22">
        <v>0</v>
      </c>
      <c r="P19" s="22"/>
      <c r="Q19" s="22"/>
      <c r="R19" s="122"/>
      <c r="S19" s="33">
        <f>IFERROR(VLOOKUP(A19,[2]SR!A:G,7,FALSE),"")</f>
        <v>0</v>
      </c>
      <c r="T19">
        <f>VLOOKUP(B19,[2]SR!$B:$G,6,FALSE)</f>
        <v>0</v>
      </c>
    </row>
    <row r="20" spans="1:20">
      <c r="A20" s="11">
        <v>415743</v>
      </c>
      <c r="B20" s="34" t="s">
        <v>58</v>
      </c>
      <c r="C20" s="34" t="s">
        <v>59</v>
      </c>
      <c r="D20" s="12" t="s">
        <v>0</v>
      </c>
      <c r="E20" s="13" t="s">
        <v>60</v>
      </c>
      <c r="F20" s="12" t="s">
        <v>32</v>
      </c>
      <c r="G20" s="15"/>
      <c r="H20" s="14"/>
      <c r="I20" s="14">
        <v>11166</v>
      </c>
      <c r="J20" s="15">
        <v>12</v>
      </c>
      <c r="K20" s="16">
        <f t="shared" si="0"/>
        <v>133992</v>
      </c>
      <c r="L20" s="14">
        <f t="shared" si="1"/>
        <v>133992</v>
      </c>
      <c r="M20" s="14"/>
      <c r="N20" s="14"/>
      <c r="O20" s="14">
        <v>0</v>
      </c>
      <c r="P20" s="14"/>
      <c r="Q20" s="14"/>
      <c r="R20" s="121"/>
      <c r="S20" s="18">
        <f>IFERROR(VLOOKUP(A20,[2]SR!A:G,7,FALSE),"")</f>
        <v>0</v>
      </c>
      <c r="T20">
        <f>VLOOKUP(B20,[2]SR!$B:$G,6,FALSE)</f>
        <v>0</v>
      </c>
    </row>
    <row r="21" spans="1:20">
      <c r="A21" s="11">
        <v>470413</v>
      </c>
      <c r="B21" s="34" t="s">
        <v>61</v>
      </c>
      <c r="C21" s="34" t="s">
        <v>59</v>
      </c>
      <c r="D21" s="12" t="s">
        <v>3</v>
      </c>
      <c r="E21" s="13" t="s">
        <v>62</v>
      </c>
      <c r="F21" s="12" t="s">
        <v>32</v>
      </c>
      <c r="G21" s="15"/>
      <c r="H21" s="14"/>
      <c r="I21" s="14">
        <v>15000</v>
      </c>
      <c r="J21" s="15">
        <v>12</v>
      </c>
      <c r="K21" s="16">
        <f t="shared" si="0"/>
        <v>180000</v>
      </c>
      <c r="L21" s="14">
        <f t="shared" si="1"/>
        <v>180000</v>
      </c>
      <c r="M21" s="29">
        <v>0</v>
      </c>
      <c r="N21" s="35">
        <v>160000</v>
      </c>
      <c r="O21" s="35">
        <v>0</v>
      </c>
      <c r="P21" s="30">
        <v>84000</v>
      </c>
      <c r="Q21" s="30"/>
      <c r="R21" s="123"/>
      <c r="S21" s="18">
        <f>IFERROR(VLOOKUP(A21,[2]SR!A:G,7,FALSE),"")</f>
        <v>0</v>
      </c>
      <c r="T21">
        <f>VLOOKUP(B21,[2]SR!$B:$G,6,FALSE)</f>
        <v>0</v>
      </c>
    </row>
    <row r="22" spans="1:20">
      <c r="A22" s="11">
        <v>470458</v>
      </c>
      <c r="B22" s="34" t="s">
        <v>63</v>
      </c>
      <c r="C22" s="34" t="s">
        <v>59</v>
      </c>
      <c r="D22" s="12" t="s">
        <v>7</v>
      </c>
      <c r="E22" s="13" t="s">
        <v>34</v>
      </c>
      <c r="F22" s="12" t="s">
        <v>35</v>
      </c>
      <c r="G22" s="15"/>
      <c r="H22" s="14"/>
      <c r="I22" s="14">
        <v>16000</v>
      </c>
      <c r="J22" s="15">
        <v>12</v>
      </c>
      <c r="K22" s="16">
        <f t="shared" si="0"/>
        <v>192000</v>
      </c>
      <c r="L22" s="14">
        <f t="shared" si="1"/>
        <v>192000</v>
      </c>
      <c r="M22" s="29">
        <v>0</v>
      </c>
      <c r="N22" s="14">
        <v>160000</v>
      </c>
      <c r="O22" s="14">
        <v>0</v>
      </c>
      <c r="P22" s="14"/>
      <c r="Q22" s="14"/>
      <c r="R22" s="121"/>
      <c r="S22" s="18">
        <f>IFERROR(VLOOKUP(A22,[2]SR!A:G,7,FALSE),"")</f>
        <v>0</v>
      </c>
      <c r="T22">
        <f>VLOOKUP(B22,[2]SR!$B:$G,6,FALSE)</f>
        <v>0</v>
      </c>
    </row>
    <row r="23" spans="1:20">
      <c r="A23" s="11">
        <v>470698</v>
      </c>
      <c r="B23" s="34" t="s">
        <v>64</v>
      </c>
      <c r="C23" s="34" t="s">
        <v>59</v>
      </c>
      <c r="D23" s="12" t="s">
        <v>7</v>
      </c>
      <c r="E23" s="13" t="s">
        <v>31</v>
      </c>
      <c r="F23" s="12" t="s">
        <v>35</v>
      </c>
      <c r="G23" s="15"/>
      <c r="H23" s="14"/>
      <c r="I23" s="14">
        <v>19000</v>
      </c>
      <c r="J23" s="15">
        <v>12</v>
      </c>
      <c r="K23" s="16">
        <f t="shared" si="0"/>
        <v>228000</v>
      </c>
      <c r="L23" s="14">
        <f t="shared" si="1"/>
        <v>228000</v>
      </c>
      <c r="M23" s="29">
        <v>0</v>
      </c>
      <c r="N23" s="14">
        <v>420000</v>
      </c>
      <c r="O23" s="14">
        <v>260350</v>
      </c>
      <c r="P23" s="30">
        <v>84000</v>
      </c>
      <c r="Q23" s="30"/>
      <c r="R23" s="123"/>
      <c r="S23" s="18">
        <f>IFERROR(VLOOKUP(A23,[2]SR!A:G,7,FALSE),"")</f>
        <v>0</v>
      </c>
      <c r="T23">
        <f>VLOOKUP(B23,[2]SR!$B:$G,6,FALSE)</f>
        <v>0</v>
      </c>
    </row>
    <row r="24" spans="1:20">
      <c r="A24" s="116">
        <v>495299</v>
      </c>
      <c r="B24" s="117" t="s">
        <v>65</v>
      </c>
      <c r="C24" s="117" t="s">
        <v>30</v>
      </c>
      <c r="D24" s="103"/>
      <c r="E24" s="104"/>
      <c r="F24" s="117"/>
      <c r="G24" s="118"/>
      <c r="H24" s="119"/>
      <c r="I24" s="118">
        <v>11000</v>
      </c>
      <c r="J24" s="118">
        <v>10</v>
      </c>
      <c r="K24" s="120">
        <f t="shared" si="0"/>
        <v>110000</v>
      </c>
      <c r="L24" s="119">
        <f>11000*12</f>
        <v>132000</v>
      </c>
      <c r="M24" s="119">
        <v>8000</v>
      </c>
      <c r="N24" s="119">
        <v>0</v>
      </c>
      <c r="O24" s="119"/>
      <c r="P24" s="119"/>
      <c r="Q24" s="119">
        <v>30000</v>
      </c>
      <c r="R24" s="124"/>
      <c r="S24" s="108">
        <v>90000</v>
      </c>
      <c r="T24">
        <f>VLOOKUP(B24,[2]SR!$B:$G,6,FALSE)</f>
        <v>0</v>
      </c>
    </row>
    <row r="25" spans="1:20">
      <c r="A25" s="36"/>
      <c r="B25" s="41" t="s">
        <v>66</v>
      </c>
      <c r="C25" s="41" t="s">
        <v>30</v>
      </c>
      <c r="D25" s="28" t="s">
        <v>5</v>
      </c>
      <c r="E25" s="13"/>
      <c r="F25" s="41"/>
      <c r="G25" s="37"/>
      <c r="H25" s="40"/>
      <c r="I25" s="37">
        <v>18000</v>
      </c>
      <c r="J25" s="37">
        <v>10</v>
      </c>
      <c r="K25" s="38">
        <f t="shared" si="0"/>
        <v>180000</v>
      </c>
      <c r="L25" s="39">
        <f>18000*10</f>
        <v>180000</v>
      </c>
      <c r="M25" s="39">
        <f>8000*3</f>
        <v>24000</v>
      </c>
      <c r="N25" s="39">
        <v>18828</v>
      </c>
      <c r="O25" s="39"/>
      <c r="P25" s="40"/>
      <c r="Q25" s="39">
        <v>60000</v>
      </c>
      <c r="R25" s="132">
        <v>39844</v>
      </c>
      <c r="S25" s="42">
        <v>67533</v>
      </c>
      <c r="T25">
        <f>VLOOKUP(B25,[2]SR!$B:$G,6,FALSE)</f>
        <v>0</v>
      </c>
    </row>
    <row r="26" spans="1:20">
      <c r="A26" s="36"/>
      <c r="B26" s="41" t="s">
        <v>67</v>
      </c>
      <c r="C26" s="41" t="s">
        <v>30</v>
      </c>
      <c r="D26" s="28" t="s">
        <v>5</v>
      </c>
      <c r="E26" s="13"/>
      <c r="F26" s="41"/>
      <c r="G26" s="37"/>
      <c r="H26" s="40"/>
      <c r="I26" s="37">
        <v>13000</v>
      </c>
      <c r="J26" s="37">
        <v>12</v>
      </c>
      <c r="K26" s="38">
        <f t="shared" si="0"/>
        <v>156000</v>
      </c>
      <c r="L26" s="39">
        <f>13000*12</f>
        <v>156000</v>
      </c>
      <c r="M26" s="39">
        <f>8000*2</f>
        <v>16000</v>
      </c>
      <c r="N26" s="40">
        <v>0</v>
      </c>
      <c r="O26" s="40"/>
      <c r="P26" s="43">
        <f>7000*12</f>
        <v>84000</v>
      </c>
      <c r="Q26" s="39">
        <v>60000</v>
      </c>
      <c r="R26" s="125"/>
      <c r="S26" s="32">
        <v>90000</v>
      </c>
      <c r="T26">
        <f>VLOOKUP(B26,[2]SR!$B:$G,6,FALSE)</f>
        <v>0</v>
      </c>
    </row>
    <row r="27" spans="1:20">
      <c r="A27" s="102">
        <v>470419</v>
      </c>
      <c r="B27" s="103" t="s">
        <v>68</v>
      </c>
      <c r="C27" s="103" t="s">
        <v>59</v>
      </c>
      <c r="D27" s="103"/>
      <c r="E27" s="104" t="s">
        <v>31</v>
      </c>
      <c r="F27" s="103"/>
      <c r="G27" s="105"/>
      <c r="H27" s="106"/>
      <c r="I27" s="106"/>
      <c r="J27" s="105"/>
      <c r="K27" s="107"/>
      <c r="L27" s="106"/>
      <c r="M27" s="106"/>
      <c r="N27" s="106"/>
      <c r="O27" s="106"/>
      <c r="P27" s="106"/>
      <c r="Q27" s="106"/>
      <c r="R27" s="126"/>
      <c r="S27" s="108"/>
      <c r="T27">
        <f>VLOOKUP(B27,[2]SR!$B:$G,6,FALSE)</f>
        <v>66732</v>
      </c>
    </row>
    <row r="28" spans="1:20">
      <c r="A28" s="11"/>
      <c r="B28" s="44" t="s">
        <v>69</v>
      </c>
      <c r="C28" s="44" t="s">
        <v>30</v>
      </c>
      <c r="D28" s="12" t="s">
        <v>1</v>
      </c>
      <c r="E28" s="13"/>
      <c r="F28" s="12"/>
      <c r="G28" s="14"/>
      <c r="H28" s="14"/>
      <c r="I28" s="14">
        <v>42000</v>
      </c>
      <c r="J28" s="45">
        <v>6</v>
      </c>
      <c r="K28" s="46">
        <f t="shared" si="0"/>
        <v>252000</v>
      </c>
      <c r="L28" s="14">
        <f>42000*12</f>
        <v>504000</v>
      </c>
      <c r="M28" s="14">
        <v>45000</v>
      </c>
      <c r="N28" s="14">
        <v>18828</v>
      </c>
      <c r="O28" s="14"/>
      <c r="P28" s="35">
        <f>10000*6</f>
        <v>60000</v>
      </c>
      <c r="Q28" s="47">
        <v>30000</v>
      </c>
      <c r="R28" s="127"/>
      <c r="S28" s="17" t="s">
        <v>16</v>
      </c>
      <c r="T28">
        <f>VLOOKUP(B28,[2]SR!$B:$G,6,FALSE)</f>
        <v>0</v>
      </c>
    </row>
    <row r="29" spans="1:20">
      <c r="A29" s="27"/>
      <c r="B29" s="28" t="s">
        <v>70</v>
      </c>
      <c r="C29" s="28" t="s">
        <v>30</v>
      </c>
      <c r="D29" s="28" t="s">
        <v>5</v>
      </c>
      <c r="E29" s="48"/>
      <c r="F29" s="28"/>
      <c r="G29" s="14"/>
      <c r="H29" s="30"/>
      <c r="I29" s="14">
        <v>26500</v>
      </c>
      <c r="J29" s="45">
        <v>8</v>
      </c>
      <c r="K29" s="46">
        <f t="shared" si="0"/>
        <v>212000</v>
      </c>
      <c r="L29" s="30">
        <f>26500*12</f>
        <v>318000</v>
      </c>
      <c r="M29" s="30">
        <f>15000*2</f>
        <v>30000</v>
      </c>
      <c r="N29" s="30"/>
      <c r="O29" s="30"/>
      <c r="P29" s="30"/>
      <c r="Q29" s="49">
        <v>30000</v>
      </c>
      <c r="R29" s="128"/>
      <c r="S29" s="17" t="s">
        <v>16</v>
      </c>
      <c r="T29">
        <f>VLOOKUP(B29,[2]SR!$B:$G,6,FALSE)</f>
        <v>0</v>
      </c>
    </row>
    <row r="30" spans="1:20">
      <c r="A30" s="27"/>
      <c r="B30" s="34" t="s">
        <v>71</v>
      </c>
      <c r="C30" s="34" t="s">
        <v>59</v>
      </c>
      <c r="D30" s="12" t="s">
        <v>1</v>
      </c>
      <c r="E30" s="48"/>
      <c r="F30" s="28"/>
      <c r="G30" s="14"/>
      <c r="H30" s="30"/>
      <c r="I30" s="14">
        <v>7500</v>
      </c>
      <c r="J30" s="45">
        <v>11</v>
      </c>
      <c r="K30" s="46">
        <f t="shared" si="0"/>
        <v>82500</v>
      </c>
      <c r="L30" s="30">
        <f>7500*12</f>
        <v>90000</v>
      </c>
      <c r="M30" s="30"/>
      <c r="N30" s="30"/>
      <c r="O30" s="30"/>
      <c r="P30" s="30"/>
      <c r="Q30" s="49"/>
      <c r="R30" s="128"/>
      <c r="S30" s="18" t="str">
        <f>IFERROR(VLOOKUP(A30,[2]SR!A:G,7,FALSE),"")</f>
        <v/>
      </c>
      <c r="T30">
        <f>VLOOKUP(B30,[2]SR!$B:$G,6,FALSE)</f>
        <v>0</v>
      </c>
    </row>
    <row r="31" spans="1:20">
      <c r="A31" s="27"/>
      <c r="B31" s="34" t="s">
        <v>72</v>
      </c>
      <c r="C31" s="34" t="s">
        <v>59</v>
      </c>
      <c r="D31" s="12" t="s">
        <v>1</v>
      </c>
      <c r="E31" s="48"/>
      <c r="F31" s="28"/>
      <c r="G31" s="14"/>
      <c r="H31" s="30"/>
      <c r="I31" s="14">
        <v>18000</v>
      </c>
      <c r="J31" s="45">
        <v>10</v>
      </c>
      <c r="K31" s="46">
        <f t="shared" si="0"/>
        <v>180000</v>
      </c>
      <c r="L31" s="30">
        <f>18000*12</f>
        <v>216000</v>
      </c>
      <c r="M31" s="30"/>
      <c r="N31" s="30"/>
      <c r="O31" s="30"/>
      <c r="P31" s="30">
        <f>7000*10</f>
        <v>70000</v>
      </c>
      <c r="Q31" s="49"/>
      <c r="R31" s="128"/>
      <c r="S31" s="18" t="str">
        <f>IFERROR(VLOOKUP(A31,[2]SR!A:G,7,FALSE),"")</f>
        <v/>
      </c>
      <c r="T31">
        <f>VLOOKUP(B31,[2]SR!$B:$G,6,FALSE)</f>
        <v>0</v>
      </c>
    </row>
    <row r="32" spans="1:20">
      <c r="A32" s="11"/>
      <c r="B32" s="12" t="s">
        <v>73</v>
      </c>
      <c r="C32" s="12" t="s">
        <v>30</v>
      </c>
      <c r="D32" s="28" t="s">
        <v>0</v>
      </c>
      <c r="E32" s="13"/>
      <c r="F32" s="12"/>
      <c r="G32" s="15"/>
      <c r="H32" s="14"/>
      <c r="I32" s="14">
        <v>13000</v>
      </c>
      <c r="J32" s="15">
        <v>9</v>
      </c>
      <c r="K32" s="16">
        <f t="shared" si="0"/>
        <v>117000</v>
      </c>
      <c r="L32" s="14">
        <f>13000*12</f>
        <v>156000</v>
      </c>
      <c r="M32" s="14">
        <v>8000</v>
      </c>
      <c r="N32" s="14"/>
      <c r="O32" s="14"/>
      <c r="P32" s="14"/>
      <c r="Q32" s="14">
        <v>30000</v>
      </c>
      <c r="R32" s="121"/>
      <c r="S32" s="32">
        <v>150000</v>
      </c>
      <c r="T32">
        <f>VLOOKUP(B32,[2]SR!$B:$G,6,FALSE)</f>
        <v>0</v>
      </c>
    </row>
    <row r="33" spans="1:20">
      <c r="A33" s="11"/>
      <c r="B33" s="12" t="s">
        <v>74</v>
      </c>
      <c r="C33" s="12" t="s">
        <v>30</v>
      </c>
      <c r="D33" s="28" t="s">
        <v>5</v>
      </c>
      <c r="E33" s="13"/>
      <c r="F33" s="12"/>
      <c r="G33" s="15"/>
      <c r="H33" s="14"/>
      <c r="I33" s="14">
        <v>21000</v>
      </c>
      <c r="J33" s="15">
        <v>9</v>
      </c>
      <c r="K33" s="16">
        <f t="shared" si="0"/>
        <v>189000</v>
      </c>
      <c r="L33" s="14">
        <f>21000*12</f>
        <v>252000</v>
      </c>
      <c r="M33" s="14">
        <f>4*10000</f>
        <v>40000</v>
      </c>
      <c r="N33" s="14">
        <f>200000*2</f>
        <v>400000</v>
      </c>
      <c r="O33" s="14"/>
      <c r="P33" s="35">
        <f>10000*9</f>
        <v>90000</v>
      </c>
      <c r="Q33" s="14">
        <v>60000</v>
      </c>
      <c r="R33" s="121"/>
      <c r="S33" s="32">
        <v>280000</v>
      </c>
      <c r="T33">
        <f>VLOOKUP(B33,[2]SR!$B:$G,6,FALSE)</f>
        <v>0</v>
      </c>
    </row>
    <row r="34" spans="1:20">
      <c r="A34" s="109"/>
      <c r="B34" s="110" t="s">
        <v>90</v>
      </c>
      <c r="C34" s="12" t="s">
        <v>30</v>
      </c>
      <c r="D34" s="12" t="s">
        <v>4</v>
      </c>
      <c r="E34" s="111"/>
      <c r="F34" s="12" t="s">
        <v>32</v>
      </c>
      <c r="G34" s="112"/>
      <c r="H34" s="113"/>
      <c r="I34" s="113">
        <v>21000</v>
      </c>
      <c r="J34" s="112">
        <v>7</v>
      </c>
      <c r="K34" s="114">
        <f t="shared" si="0"/>
        <v>147000</v>
      </c>
      <c r="L34" s="113"/>
      <c r="M34" s="113">
        <v>32000</v>
      </c>
      <c r="N34" s="113">
        <v>460000</v>
      </c>
      <c r="O34" s="113"/>
      <c r="P34" s="115"/>
      <c r="Q34" s="113">
        <v>60000</v>
      </c>
      <c r="R34" s="129"/>
      <c r="S34" s="32">
        <v>90000</v>
      </c>
    </row>
    <row r="35" spans="1:20" ht="15.75" thickBot="1">
      <c r="A35" s="50"/>
      <c r="B35" s="51" t="s">
        <v>75</v>
      </c>
      <c r="C35" s="51" t="s">
        <v>30</v>
      </c>
      <c r="D35" s="51" t="s">
        <v>6</v>
      </c>
      <c r="E35" s="52"/>
      <c r="F35" s="51"/>
      <c r="G35" s="54"/>
      <c r="H35" s="53"/>
      <c r="I35" s="53">
        <v>17000</v>
      </c>
      <c r="J35" s="54">
        <v>9</v>
      </c>
      <c r="K35" s="55">
        <f t="shared" si="0"/>
        <v>153000</v>
      </c>
      <c r="L35" s="53">
        <f>17000*9</f>
        <v>153000</v>
      </c>
      <c r="M35" s="56">
        <f>3*15000</f>
        <v>45000</v>
      </c>
      <c r="N35" s="53"/>
      <c r="O35" s="53"/>
      <c r="P35" s="53"/>
      <c r="Q35" s="53"/>
      <c r="R35" s="130"/>
      <c r="S35" s="57" t="s">
        <v>16</v>
      </c>
      <c r="T35" t="e">
        <f>VLOOKUP(B35,[2]SR!$B:$G,6,FALSE)</f>
        <v>#N/A</v>
      </c>
    </row>
    <row r="36" spans="1:20">
      <c r="A36" s="58"/>
      <c r="B36" s="58"/>
      <c r="C36" s="58"/>
      <c r="D36" s="59"/>
      <c r="E36" s="60"/>
      <c r="F36" s="59"/>
      <c r="G36" s="61"/>
      <c r="H36" s="62">
        <f>SUM(H2:H33)</f>
        <v>2212000</v>
      </c>
      <c r="I36" s="61"/>
      <c r="J36" s="63"/>
      <c r="K36" s="64">
        <f>SUM(K2:K35)</f>
        <v>4282889.2769999998</v>
      </c>
      <c r="L36" s="64"/>
      <c r="M36" s="64">
        <f>SUM(M2:M35)</f>
        <v>765000</v>
      </c>
      <c r="N36" s="64">
        <f>SUM(N2:N35)</f>
        <v>3726056</v>
      </c>
      <c r="O36" s="64"/>
      <c r="P36" s="64">
        <f>SUM(P3:P35)</f>
        <v>1292000</v>
      </c>
      <c r="Q36" s="64">
        <f>SUM(Q3:Q35)</f>
        <v>390000</v>
      </c>
      <c r="R36" s="64"/>
      <c r="S36" s="65">
        <f>SUM(S3:S35)</f>
        <v>2055863.11552</v>
      </c>
    </row>
    <row r="37" spans="1:20">
      <c r="L37">
        <v>1577</v>
      </c>
    </row>
  </sheetData>
  <autoFilter ref="A1:T37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Non-payroll</vt:lpstr>
      <vt:lpstr>By Individual</vt:lpstr>
    </vt:vector>
  </TitlesOfParts>
  <Company>L'Oréal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Haley</dc:creator>
  <cp:lastModifiedBy>FANG Casey</cp:lastModifiedBy>
  <dcterms:created xsi:type="dcterms:W3CDTF">2019-03-11T12:25:49Z</dcterms:created>
  <dcterms:modified xsi:type="dcterms:W3CDTF">2019-04-01T09:50:51Z</dcterms:modified>
</cp:coreProperties>
</file>