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ng\Documents\USU\DF_Areas\debris_flow_stats\data\data_sheets\processed_summary_data\"/>
    </mc:Choice>
  </mc:AlternateContent>
  <xr:revisionPtr revIDLastSave="0" documentId="13_ncr:1_{0D0870E0-B7A2-4565-860E-3243080EE076}" xr6:coauthVersionLast="47" xr6:coauthVersionMax="47" xr10:uidLastSave="{00000000-0000-0000-0000-000000000000}"/>
  <bookViews>
    <workbookView xWindow="-93" yWindow="-93" windowWidth="25786" windowHeight="13866" xr2:uid="{AD9FBDA0-C11E-4F82-832A-9900A0A1B26A}"/>
  </bookViews>
  <sheets>
    <sheet name="Catchment_Stats" sheetId="10" r:id="rId1"/>
    <sheet name="GSD and Vol Est" sheetId="2" r:id="rId2"/>
    <sheet name="Vol_Summaries" sheetId="9" r:id="rId3"/>
    <sheet name="River_Stats" sheetId="5" r:id="rId4"/>
    <sheet name="CatchStatsWall" sheetId="3" r:id="rId5"/>
    <sheet name="Sheet1" sheetId="11" r:id="rId6"/>
  </sheets>
  <definedNames>
    <definedName name="_xlchart.v1.0" hidden="1">Catchment_Stats!$AB$2:$AB$53</definedName>
    <definedName name="_xlchart.v1.1" hidden="1">Catchment_Stats!$B$2:$B$53</definedName>
    <definedName name="_xlchart.v1.10" hidden="1">Catchment_Stats!$L$2:$L$53</definedName>
    <definedName name="_xlchart.v1.2" hidden="1">Catchment_Stats!$B$2:$B$53</definedName>
    <definedName name="_xlchart.v1.3" hidden="1">Catchment_Stats!$C$2:$C$53</definedName>
    <definedName name="_xlchart.v1.4" hidden="1">Catchment_Stats!$B$2:$B$53</definedName>
    <definedName name="_xlchart.v1.5" hidden="1">Catchment_Stats!$I$2:$I$53</definedName>
    <definedName name="_xlchart.v1.6" hidden="1">Catchment_Stats!$AB$2:$AB$53</definedName>
    <definedName name="_xlchart.v1.7" hidden="1">Catchment_Stats!$AF$2:$AF$53</definedName>
    <definedName name="_xlchart.v1.8" hidden="1">Catchment_Stats!$B$2:$B$53</definedName>
    <definedName name="_xlchart.v1.9" hidden="1">Catchment_Stats!$B$2:$B$53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2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29" i="9"/>
  <c r="E28" i="9"/>
  <c r="E27" i="9"/>
  <c r="E26" i="9"/>
  <c r="E25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6" i="9"/>
  <c r="E4" i="9"/>
  <c r="E5" i="9"/>
  <c r="E3" i="9"/>
  <c r="E2" i="9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2" i="10"/>
  <c r="Y43" i="2"/>
  <c r="Z43" i="2" s="1"/>
  <c r="Y44" i="2"/>
  <c r="Z44" i="2" s="1"/>
  <c r="Y45" i="2"/>
  <c r="Z45" i="2" s="1"/>
  <c r="Y46" i="2"/>
  <c r="Z46" i="2" s="1"/>
  <c r="Y47" i="2"/>
  <c r="Z47" i="2" s="1"/>
  <c r="Y48" i="2"/>
  <c r="Z48" i="2" s="1"/>
  <c r="Y49" i="2"/>
  <c r="Z49" i="2" s="1"/>
  <c r="Y50" i="2"/>
  <c r="Z50" i="2" s="1"/>
  <c r="Y51" i="2"/>
  <c r="Z51" i="2" s="1"/>
  <c r="Y52" i="2"/>
  <c r="Z52" i="2" s="1"/>
  <c r="Y53" i="2"/>
  <c r="Z53" i="2" s="1"/>
  <c r="Y7" i="2"/>
  <c r="Z7" i="2" s="1"/>
  <c r="Y8" i="2"/>
  <c r="Z8" i="2" s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2" i="2"/>
  <c r="G7" i="2"/>
  <c r="M7" i="2" s="1"/>
  <c r="G8" i="2"/>
  <c r="M8" i="2" s="1"/>
  <c r="F7" i="2"/>
  <c r="L7" i="2" s="1"/>
  <c r="F8" i="2"/>
  <c r="L8" i="2" s="1"/>
  <c r="E7" i="2"/>
  <c r="K7" i="2" s="1"/>
  <c r="E8" i="2"/>
  <c r="K8" i="2" s="1"/>
  <c r="D9" i="2"/>
  <c r="D10" i="2"/>
  <c r="D7" i="2"/>
  <c r="J7" i="2" s="1"/>
  <c r="D8" i="2"/>
  <c r="J8" i="2" s="1"/>
  <c r="AG52" i="10"/>
  <c r="AG53" i="10"/>
  <c r="AF52" i="10"/>
  <c r="AF53" i="10"/>
  <c r="AD52" i="10"/>
  <c r="AD53" i="10"/>
  <c r="AG9" i="10"/>
  <c r="AG8" i="10"/>
  <c r="AF6" i="10"/>
  <c r="AF7" i="10"/>
  <c r="AF8" i="10"/>
  <c r="AF9" i="10"/>
  <c r="AD8" i="10"/>
  <c r="U8" i="2" s="1"/>
  <c r="V8" i="2" s="1"/>
  <c r="AD9" i="10"/>
  <c r="AE6" i="10"/>
  <c r="AE7" i="10"/>
  <c r="AE8" i="10"/>
  <c r="AE9" i="10"/>
  <c r="AE10" i="10"/>
  <c r="AG7" i="10"/>
  <c r="AD7" i="10"/>
  <c r="U7" i="2" s="1"/>
  <c r="V7" i="2" s="1"/>
  <c r="M6" i="10"/>
  <c r="M7" i="10"/>
  <c r="M8" i="10"/>
  <c r="M9" i="10"/>
  <c r="Z9" i="10"/>
  <c r="Z6" i="10"/>
  <c r="Z7" i="10"/>
  <c r="Z8" i="10"/>
  <c r="AG6" i="10"/>
  <c r="AD6" i="10"/>
  <c r="Y6" i="2"/>
  <c r="Z6" i="2" s="1"/>
  <c r="G6" i="2"/>
  <c r="M6" i="2" s="1"/>
  <c r="F6" i="2"/>
  <c r="L6" i="2" s="1"/>
  <c r="E6" i="2"/>
  <c r="K6" i="2" s="1"/>
  <c r="D6" i="2"/>
  <c r="J6" i="2" s="1"/>
  <c r="Y52" i="10"/>
  <c r="Z52" i="10" s="1"/>
  <c r="Y53" i="10"/>
  <c r="Z53" i="10" s="1"/>
  <c r="Y51" i="10"/>
  <c r="M52" i="10"/>
  <c r="M53" i="10"/>
  <c r="AG39" i="10"/>
  <c r="AG40" i="10"/>
  <c r="AG41" i="10"/>
  <c r="AF38" i="10"/>
  <c r="AF39" i="10"/>
  <c r="AF40" i="10"/>
  <c r="AF41" i="10"/>
  <c r="AE38" i="10"/>
  <c r="AE39" i="10"/>
  <c r="AE40" i="10"/>
  <c r="AE41" i="10"/>
  <c r="AD39" i="10"/>
  <c r="AD40" i="10"/>
  <c r="AD41" i="10"/>
  <c r="Z38" i="10"/>
  <c r="Z39" i="10"/>
  <c r="Z40" i="10"/>
  <c r="Z41" i="10"/>
  <c r="AG38" i="10"/>
  <c r="AD38" i="10"/>
  <c r="M38" i="10"/>
  <c r="M39" i="10"/>
  <c r="M40" i="10"/>
  <c r="M41" i="10"/>
  <c r="U6" i="2" l="1"/>
  <c r="V6" i="2" s="1"/>
  <c r="AE52" i="10"/>
  <c r="U52" i="2" s="1"/>
  <c r="V52" i="2" s="1"/>
  <c r="AE53" i="10"/>
  <c r="U53" i="2" s="1"/>
  <c r="V53" i="2" s="1"/>
  <c r="U9" i="2"/>
  <c r="U38" i="2"/>
  <c r="U39" i="2"/>
  <c r="U40" i="2"/>
  <c r="U41" i="2"/>
  <c r="V41" i="2" s="1"/>
  <c r="G43" i="2"/>
  <c r="M43" i="2" s="1"/>
  <c r="G44" i="2"/>
  <c r="M44" i="2" s="1"/>
  <c r="G45" i="2"/>
  <c r="M45" i="2" s="1"/>
  <c r="G46" i="2"/>
  <c r="M46" i="2" s="1"/>
  <c r="G47" i="2"/>
  <c r="M47" i="2" s="1"/>
  <c r="G48" i="2"/>
  <c r="M48" i="2" s="1"/>
  <c r="G49" i="2"/>
  <c r="M49" i="2" s="1"/>
  <c r="G50" i="2"/>
  <c r="M50" i="2" s="1"/>
  <c r="G51" i="2"/>
  <c r="M51" i="2" s="1"/>
  <c r="G52" i="2"/>
  <c r="M52" i="2" s="1"/>
  <c r="G53" i="2"/>
  <c r="M53" i="2" s="1"/>
  <c r="G20" i="2"/>
  <c r="M20" i="2" s="1"/>
  <c r="G21" i="2"/>
  <c r="M21" i="2" s="1"/>
  <c r="G22" i="2"/>
  <c r="M22" i="2" s="1"/>
  <c r="G23" i="2"/>
  <c r="M23" i="2" s="1"/>
  <c r="G24" i="2"/>
  <c r="M24" i="2" s="1"/>
  <c r="G25" i="2"/>
  <c r="M25" i="2" s="1"/>
  <c r="G26" i="2"/>
  <c r="M26" i="2" s="1"/>
  <c r="G27" i="2"/>
  <c r="M27" i="2" s="1"/>
  <c r="G28" i="2"/>
  <c r="M28" i="2" s="1"/>
  <c r="G29" i="2"/>
  <c r="M29" i="2" s="1"/>
  <c r="G30" i="2"/>
  <c r="M30" i="2" s="1"/>
  <c r="G31" i="2"/>
  <c r="M31" i="2" s="1"/>
  <c r="G32" i="2"/>
  <c r="M32" i="2" s="1"/>
  <c r="G33" i="2"/>
  <c r="M33" i="2" s="1"/>
  <c r="G34" i="2"/>
  <c r="M34" i="2" s="1"/>
  <c r="G35" i="2"/>
  <c r="M35" i="2" s="1"/>
  <c r="G36" i="2"/>
  <c r="M36" i="2" s="1"/>
  <c r="G37" i="2"/>
  <c r="M37" i="2" s="1"/>
  <c r="G38" i="2"/>
  <c r="M38" i="2" s="1"/>
  <c r="G39" i="2"/>
  <c r="M39" i="2" s="1"/>
  <c r="G40" i="2"/>
  <c r="M40" i="2" s="1"/>
  <c r="G41" i="2"/>
  <c r="M41" i="2" s="1"/>
  <c r="G42" i="2"/>
  <c r="M42" i="2" s="1"/>
  <c r="G18" i="2"/>
  <c r="M18" i="2" s="1"/>
  <c r="G19" i="2"/>
  <c r="M19" i="2" s="1"/>
  <c r="G3" i="2"/>
  <c r="M3" i="2" s="1"/>
  <c r="G5" i="2"/>
  <c r="M5" i="2" s="1"/>
  <c r="G9" i="2"/>
  <c r="M9" i="2" s="1"/>
  <c r="G10" i="2"/>
  <c r="M10" i="2" s="1"/>
  <c r="G11" i="2"/>
  <c r="M11" i="2" s="1"/>
  <c r="G12" i="2"/>
  <c r="M12" i="2" s="1"/>
  <c r="G13" i="2"/>
  <c r="M13" i="2" s="1"/>
  <c r="G14" i="2"/>
  <c r="M14" i="2" s="1"/>
  <c r="G15" i="2"/>
  <c r="M15" i="2" s="1"/>
  <c r="G2" i="2"/>
  <c r="F43" i="2"/>
  <c r="L43" i="2" s="1"/>
  <c r="F44" i="2"/>
  <c r="L44" i="2" s="1"/>
  <c r="F45" i="2"/>
  <c r="L45" i="2" s="1"/>
  <c r="F46" i="2"/>
  <c r="L46" i="2" s="1"/>
  <c r="F47" i="2"/>
  <c r="L47" i="2" s="1"/>
  <c r="F48" i="2"/>
  <c r="L48" i="2" s="1"/>
  <c r="F49" i="2"/>
  <c r="L49" i="2" s="1"/>
  <c r="F50" i="2"/>
  <c r="L50" i="2" s="1"/>
  <c r="F51" i="2"/>
  <c r="L51" i="2" s="1"/>
  <c r="F52" i="2"/>
  <c r="L52" i="2" s="1"/>
  <c r="F53" i="2"/>
  <c r="L53" i="2" s="1"/>
  <c r="F20" i="2"/>
  <c r="L20" i="2" s="1"/>
  <c r="F21" i="2"/>
  <c r="L21" i="2" s="1"/>
  <c r="F22" i="2"/>
  <c r="L22" i="2" s="1"/>
  <c r="F23" i="2"/>
  <c r="L23" i="2" s="1"/>
  <c r="F24" i="2"/>
  <c r="L24" i="2" s="1"/>
  <c r="F25" i="2"/>
  <c r="L25" i="2" s="1"/>
  <c r="F26" i="2"/>
  <c r="L26" i="2" s="1"/>
  <c r="F27" i="2"/>
  <c r="L27" i="2" s="1"/>
  <c r="F28" i="2"/>
  <c r="L28" i="2" s="1"/>
  <c r="F29" i="2"/>
  <c r="L29" i="2" s="1"/>
  <c r="F30" i="2"/>
  <c r="L30" i="2" s="1"/>
  <c r="F31" i="2"/>
  <c r="L31" i="2" s="1"/>
  <c r="F32" i="2"/>
  <c r="L32" i="2" s="1"/>
  <c r="F33" i="2"/>
  <c r="L33" i="2" s="1"/>
  <c r="F34" i="2"/>
  <c r="L34" i="2" s="1"/>
  <c r="F35" i="2"/>
  <c r="L35" i="2" s="1"/>
  <c r="F36" i="2"/>
  <c r="L36" i="2" s="1"/>
  <c r="F37" i="2"/>
  <c r="L37" i="2" s="1"/>
  <c r="F38" i="2"/>
  <c r="L38" i="2" s="1"/>
  <c r="F39" i="2"/>
  <c r="L39" i="2" s="1"/>
  <c r="F40" i="2"/>
  <c r="L40" i="2" s="1"/>
  <c r="F41" i="2"/>
  <c r="L41" i="2" s="1"/>
  <c r="F42" i="2"/>
  <c r="L42" i="2" s="1"/>
  <c r="F18" i="2"/>
  <c r="L18" i="2" s="1"/>
  <c r="F19" i="2"/>
  <c r="L19" i="2" s="1"/>
  <c r="F3" i="2"/>
  <c r="L3" i="2" s="1"/>
  <c r="F5" i="2"/>
  <c r="L5" i="2" s="1"/>
  <c r="F9" i="2"/>
  <c r="L9" i="2" s="1"/>
  <c r="F10" i="2"/>
  <c r="L10" i="2" s="1"/>
  <c r="F11" i="2"/>
  <c r="L11" i="2" s="1"/>
  <c r="F12" i="2"/>
  <c r="L12" i="2" s="1"/>
  <c r="F13" i="2"/>
  <c r="L13" i="2" s="1"/>
  <c r="F14" i="2"/>
  <c r="L14" i="2" s="1"/>
  <c r="F15" i="2"/>
  <c r="L15" i="2" s="1"/>
  <c r="F2" i="2"/>
  <c r="E43" i="2"/>
  <c r="K43" i="2" s="1"/>
  <c r="E44" i="2"/>
  <c r="K44" i="2" s="1"/>
  <c r="E45" i="2"/>
  <c r="K45" i="2" s="1"/>
  <c r="E46" i="2"/>
  <c r="K46" i="2" s="1"/>
  <c r="E47" i="2"/>
  <c r="K47" i="2" s="1"/>
  <c r="E48" i="2"/>
  <c r="K48" i="2" s="1"/>
  <c r="E49" i="2"/>
  <c r="K49" i="2" s="1"/>
  <c r="E50" i="2"/>
  <c r="K50" i="2" s="1"/>
  <c r="E51" i="2"/>
  <c r="K51" i="2" s="1"/>
  <c r="E52" i="2"/>
  <c r="K52" i="2" s="1"/>
  <c r="E53" i="2"/>
  <c r="K53" i="2" s="1"/>
  <c r="E20" i="2"/>
  <c r="K20" i="2" s="1"/>
  <c r="E21" i="2"/>
  <c r="K21" i="2" s="1"/>
  <c r="E22" i="2"/>
  <c r="K22" i="2" s="1"/>
  <c r="E23" i="2"/>
  <c r="K23" i="2" s="1"/>
  <c r="E24" i="2"/>
  <c r="K24" i="2" s="1"/>
  <c r="E25" i="2"/>
  <c r="K25" i="2" s="1"/>
  <c r="E26" i="2"/>
  <c r="K26" i="2" s="1"/>
  <c r="E27" i="2"/>
  <c r="K27" i="2" s="1"/>
  <c r="E28" i="2"/>
  <c r="K28" i="2" s="1"/>
  <c r="E29" i="2"/>
  <c r="K29" i="2" s="1"/>
  <c r="E30" i="2"/>
  <c r="K30" i="2" s="1"/>
  <c r="E31" i="2"/>
  <c r="K31" i="2" s="1"/>
  <c r="E32" i="2"/>
  <c r="K32" i="2" s="1"/>
  <c r="E33" i="2"/>
  <c r="K33" i="2" s="1"/>
  <c r="E34" i="2"/>
  <c r="K34" i="2" s="1"/>
  <c r="E35" i="2"/>
  <c r="K35" i="2" s="1"/>
  <c r="E36" i="2"/>
  <c r="K36" i="2" s="1"/>
  <c r="E37" i="2"/>
  <c r="K37" i="2" s="1"/>
  <c r="E38" i="2"/>
  <c r="K38" i="2" s="1"/>
  <c r="E39" i="2"/>
  <c r="K39" i="2" s="1"/>
  <c r="E40" i="2"/>
  <c r="K40" i="2" s="1"/>
  <c r="E41" i="2"/>
  <c r="K41" i="2" s="1"/>
  <c r="E42" i="2"/>
  <c r="K42" i="2" s="1"/>
  <c r="E16" i="2"/>
  <c r="K16" i="2" s="1"/>
  <c r="E17" i="2"/>
  <c r="K17" i="2" s="1"/>
  <c r="E18" i="2"/>
  <c r="K18" i="2" s="1"/>
  <c r="E19" i="2"/>
  <c r="K19" i="2" s="1"/>
  <c r="E3" i="2"/>
  <c r="K3" i="2" s="1"/>
  <c r="E4" i="2"/>
  <c r="K4" i="2" s="1"/>
  <c r="E5" i="2"/>
  <c r="K5" i="2" s="1"/>
  <c r="E9" i="2"/>
  <c r="K9" i="2" s="1"/>
  <c r="E10" i="2"/>
  <c r="K10" i="2" s="1"/>
  <c r="E11" i="2"/>
  <c r="K11" i="2" s="1"/>
  <c r="E12" i="2"/>
  <c r="K12" i="2" s="1"/>
  <c r="E13" i="2"/>
  <c r="K13" i="2" s="1"/>
  <c r="E14" i="2"/>
  <c r="K14" i="2" s="1"/>
  <c r="E15" i="2"/>
  <c r="K15" i="2" s="1"/>
  <c r="E2" i="2"/>
  <c r="D45" i="2"/>
  <c r="J45" i="2" s="1"/>
  <c r="D46" i="2"/>
  <c r="J46" i="2" s="1"/>
  <c r="D47" i="2"/>
  <c r="J47" i="2" s="1"/>
  <c r="D48" i="2"/>
  <c r="J48" i="2" s="1"/>
  <c r="D44" i="2"/>
  <c r="J44" i="2" s="1"/>
  <c r="D34" i="2"/>
  <c r="J34" i="2" s="1"/>
  <c r="D35" i="2"/>
  <c r="D33" i="2"/>
  <c r="J33" i="2" s="1"/>
  <c r="J9" i="2"/>
  <c r="J10" i="2"/>
  <c r="D11" i="2"/>
  <c r="J11" i="2" s="1"/>
  <c r="D3" i="2"/>
  <c r="J3" i="2" s="1"/>
  <c r="D5" i="2"/>
  <c r="J5" i="2" s="1"/>
  <c r="D2" i="2"/>
  <c r="C43" i="2"/>
  <c r="I43" i="2" s="1"/>
  <c r="C44" i="2"/>
  <c r="C45" i="2"/>
  <c r="C46" i="2"/>
  <c r="C47" i="2"/>
  <c r="C48" i="2"/>
  <c r="C49" i="2"/>
  <c r="I49" i="2" s="1"/>
  <c r="C50" i="2"/>
  <c r="I50" i="2" s="1"/>
  <c r="C51" i="2"/>
  <c r="I51" i="2" s="1"/>
  <c r="C52" i="2"/>
  <c r="I52" i="2" s="1"/>
  <c r="C53" i="2"/>
  <c r="I53" i="2" s="1"/>
  <c r="C40" i="2"/>
  <c r="I40" i="2" s="1"/>
  <c r="C41" i="2"/>
  <c r="I41" i="2" s="1"/>
  <c r="C42" i="2"/>
  <c r="I42" i="2" s="1"/>
  <c r="C37" i="2"/>
  <c r="I37" i="2" s="1"/>
  <c r="C38" i="2"/>
  <c r="I38" i="2" s="1"/>
  <c r="C39" i="2"/>
  <c r="I39" i="2" s="1"/>
  <c r="C35" i="2"/>
  <c r="C36" i="2"/>
  <c r="I36" i="2" s="1"/>
  <c r="C33" i="2"/>
  <c r="C34" i="2"/>
  <c r="B44" i="2"/>
  <c r="B45" i="2"/>
  <c r="B46" i="2"/>
  <c r="B47" i="2"/>
  <c r="B48" i="2"/>
  <c r="B33" i="2"/>
  <c r="B34" i="2"/>
  <c r="B35" i="2"/>
  <c r="B32" i="2"/>
  <c r="H32" i="2" s="1"/>
  <c r="B31" i="2"/>
  <c r="H31" i="2" s="1"/>
  <c r="B12" i="2"/>
  <c r="H12" i="2" s="1"/>
  <c r="B13" i="2"/>
  <c r="H13" i="2" s="1"/>
  <c r="B14" i="2"/>
  <c r="H14" i="2" s="1"/>
  <c r="B15" i="2"/>
  <c r="H15" i="2" s="1"/>
  <c r="B18" i="2"/>
  <c r="H18" i="2" s="1"/>
  <c r="B19" i="2"/>
  <c r="H19" i="2" s="1"/>
  <c r="B20" i="2"/>
  <c r="H20" i="2" s="1"/>
  <c r="B21" i="2"/>
  <c r="H21" i="2" s="1"/>
  <c r="B22" i="2"/>
  <c r="H22" i="2" s="1"/>
  <c r="B23" i="2"/>
  <c r="H23" i="2" s="1"/>
  <c r="B24" i="2"/>
  <c r="H24" i="2" s="1"/>
  <c r="B25" i="2"/>
  <c r="H25" i="2" s="1"/>
  <c r="B26" i="2"/>
  <c r="H26" i="2" s="1"/>
  <c r="B27" i="2"/>
  <c r="H27" i="2" s="1"/>
  <c r="B28" i="2"/>
  <c r="H28" i="2" s="1"/>
  <c r="B29" i="2"/>
  <c r="H29" i="2" s="1"/>
  <c r="B30" i="2"/>
  <c r="H30" i="2" s="1"/>
  <c r="AG51" i="10"/>
  <c r="AF51" i="10"/>
  <c r="AE51" i="10"/>
  <c r="AD51" i="10"/>
  <c r="U51" i="2" s="1"/>
  <c r="V51" i="2" s="1"/>
  <c r="Z51" i="10"/>
  <c r="M51" i="10"/>
  <c r="AG50" i="10"/>
  <c r="AF50" i="10"/>
  <c r="AE50" i="10"/>
  <c r="AD50" i="10"/>
  <c r="U50" i="2" s="1"/>
  <c r="V50" i="2" s="1"/>
  <c r="Z50" i="10"/>
  <c r="M50" i="10"/>
  <c r="AG49" i="10"/>
  <c r="AF49" i="10"/>
  <c r="AE49" i="10"/>
  <c r="AD49" i="10"/>
  <c r="U49" i="2" s="1"/>
  <c r="V49" i="2" s="1"/>
  <c r="Z49" i="10"/>
  <c r="M49" i="10"/>
  <c r="AG48" i="10"/>
  <c r="AF48" i="10"/>
  <c r="AE48" i="10"/>
  <c r="AD48" i="10"/>
  <c r="Z48" i="10"/>
  <c r="M48" i="10"/>
  <c r="AG47" i="10"/>
  <c r="AF47" i="10"/>
  <c r="AE47" i="10"/>
  <c r="AD47" i="10"/>
  <c r="U47" i="2" s="1"/>
  <c r="V47" i="2" s="1"/>
  <c r="Z47" i="10"/>
  <c r="M47" i="10"/>
  <c r="AG46" i="10"/>
  <c r="AF46" i="10"/>
  <c r="AE46" i="10"/>
  <c r="AD46" i="10"/>
  <c r="U46" i="2" s="1"/>
  <c r="V46" i="2" s="1"/>
  <c r="Z46" i="10"/>
  <c r="M46" i="10"/>
  <c r="AG45" i="10"/>
  <c r="AF45" i="10"/>
  <c r="AE45" i="10"/>
  <c r="AD45" i="10"/>
  <c r="U45" i="2" s="1"/>
  <c r="V45" i="2" s="1"/>
  <c r="Z45" i="10"/>
  <c r="M45" i="10"/>
  <c r="AG44" i="10"/>
  <c r="AF44" i="10"/>
  <c r="AE44" i="10"/>
  <c r="AD44" i="10"/>
  <c r="Z44" i="10"/>
  <c r="M44" i="10"/>
  <c r="AG43" i="10"/>
  <c r="AF43" i="10"/>
  <c r="AE43" i="10"/>
  <c r="AD43" i="10"/>
  <c r="U43" i="2" s="1"/>
  <c r="V43" i="2" s="1"/>
  <c r="Z43" i="10"/>
  <c r="M43" i="10"/>
  <c r="AG42" i="10"/>
  <c r="AF42" i="10"/>
  <c r="AE42" i="10"/>
  <c r="AD42" i="10"/>
  <c r="Z42" i="10"/>
  <c r="M42" i="10"/>
  <c r="AG37" i="10"/>
  <c r="AE37" i="10"/>
  <c r="AD37" i="10"/>
  <c r="AA37" i="10"/>
  <c r="Z37" i="10"/>
  <c r="M37" i="10"/>
  <c r="AG36" i="10"/>
  <c r="AF36" i="10"/>
  <c r="AE36" i="10"/>
  <c r="AD36" i="10"/>
  <c r="Z36" i="10"/>
  <c r="M36" i="10"/>
  <c r="AG35" i="10"/>
  <c r="AF35" i="10"/>
  <c r="AE35" i="10"/>
  <c r="AD35" i="10"/>
  <c r="Z35" i="10"/>
  <c r="M35" i="10"/>
  <c r="AG34" i="10"/>
  <c r="AF34" i="10"/>
  <c r="AE34" i="10"/>
  <c r="AD34" i="10"/>
  <c r="Z34" i="10"/>
  <c r="M34" i="10"/>
  <c r="AG33" i="10"/>
  <c r="AF33" i="10"/>
  <c r="AE33" i="10"/>
  <c r="AD33" i="10"/>
  <c r="Z33" i="10"/>
  <c r="M33" i="10"/>
  <c r="AG32" i="10"/>
  <c r="AF32" i="10"/>
  <c r="AE32" i="10"/>
  <c r="AD32" i="10"/>
  <c r="Z32" i="10"/>
  <c r="M32" i="10"/>
  <c r="AG31" i="10"/>
  <c r="AF31" i="10"/>
  <c r="AE31" i="10"/>
  <c r="AD31" i="10"/>
  <c r="Z31" i="10"/>
  <c r="M31" i="10"/>
  <c r="AG30" i="10"/>
  <c r="AF30" i="10"/>
  <c r="AE30" i="10"/>
  <c r="AD30" i="10"/>
  <c r="Z30" i="10"/>
  <c r="M30" i="10"/>
  <c r="AG29" i="10"/>
  <c r="AF29" i="10"/>
  <c r="AE29" i="10"/>
  <c r="AD29" i="10"/>
  <c r="Z29" i="10"/>
  <c r="M29" i="10"/>
  <c r="AG28" i="10"/>
  <c r="AF28" i="10"/>
  <c r="AE28" i="10"/>
  <c r="AD28" i="10"/>
  <c r="Z28" i="10"/>
  <c r="M28" i="10"/>
  <c r="AG27" i="10"/>
  <c r="AF27" i="10"/>
  <c r="AE27" i="10"/>
  <c r="AD27" i="10"/>
  <c r="Z27" i="10"/>
  <c r="M27" i="10"/>
  <c r="AG26" i="10"/>
  <c r="AF26" i="10"/>
  <c r="AE26" i="10"/>
  <c r="AD26" i="10"/>
  <c r="Z26" i="10"/>
  <c r="M26" i="10"/>
  <c r="AG25" i="10"/>
  <c r="AF25" i="10"/>
  <c r="AE25" i="10"/>
  <c r="AD25" i="10"/>
  <c r="Z25" i="10"/>
  <c r="M25" i="10"/>
  <c r="AG24" i="10"/>
  <c r="AF24" i="10"/>
  <c r="AE24" i="10"/>
  <c r="AD24" i="10"/>
  <c r="Z24" i="10"/>
  <c r="M24" i="10"/>
  <c r="AG23" i="10"/>
  <c r="AF23" i="10"/>
  <c r="AE23" i="10"/>
  <c r="AD23" i="10"/>
  <c r="Z23" i="10"/>
  <c r="M23" i="10"/>
  <c r="AG22" i="10"/>
  <c r="AF22" i="10"/>
  <c r="AE22" i="10"/>
  <c r="AD22" i="10"/>
  <c r="Z22" i="10"/>
  <c r="M22" i="10"/>
  <c r="AG21" i="10"/>
  <c r="AF21" i="10"/>
  <c r="AE21" i="10"/>
  <c r="AD21" i="10"/>
  <c r="Z21" i="10"/>
  <c r="M21" i="10"/>
  <c r="AG20" i="10"/>
  <c r="AF20" i="10"/>
  <c r="AE20" i="10"/>
  <c r="AD20" i="10"/>
  <c r="Z20" i="10"/>
  <c r="M20" i="10"/>
  <c r="AG19" i="10"/>
  <c r="AF19" i="10"/>
  <c r="AE19" i="10"/>
  <c r="AD19" i="10"/>
  <c r="Z19" i="10"/>
  <c r="M19" i="10"/>
  <c r="AG18" i="10"/>
  <c r="AF18" i="10"/>
  <c r="AE18" i="10"/>
  <c r="AD18" i="10"/>
  <c r="Z18" i="10"/>
  <c r="M18" i="10"/>
  <c r="AG17" i="10"/>
  <c r="AF17" i="10"/>
  <c r="AE17" i="10"/>
  <c r="AD17" i="10"/>
  <c r="Z17" i="10"/>
  <c r="M17" i="10"/>
  <c r="H17" i="10"/>
  <c r="G17" i="2" s="1"/>
  <c r="M17" i="2" s="1"/>
  <c r="AG16" i="10"/>
  <c r="AF16" i="10"/>
  <c r="AE16" i="10"/>
  <c r="AD16" i="10"/>
  <c r="Z16" i="10"/>
  <c r="M16" i="10"/>
  <c r="H16" i="10"/>
  <c r="G16" i="2" s="1"/>
  <c r="M16" i="2" s="1"/>
  <c r="AG15" i="10"/>
  <c r="AF15" i="10"/>
  <c r="AE15" i="10"/>
  <c r="AD15" i="10"/>
  <c r="Z15" i="10"/>
  <c r="M15" i="10"/>
  <c r="AG14" i="10"/>
  <c r="AF14" i="10"/>
  <c r="AE14" i="10"/>
  <c r="AD14" i="10"/>
  <c r="Z14" i="10"/>
  <c r="M14" i="10"/>
  <c r="AG13" i="10"/>
  <c r="AF13" i="10"/>
  <c r="AE13" i="10"/>
  <c r="AD13" i="10"/>
  <c r="Z13" i="10"/>
  <c r="M13" i="10"/>
  <c r="AG12" i="10"/>
  <c r="AF12" i="10"/>
  <c r="AE12" i="10"/>
  <c r="AD12" i="10"/>
  <c r="U12" i="2" s="1"/>
  <c r="V12" i="2" s="1"/>
  <c r="Z12" i="10"/>
  <c r="M12" i="10"/>
  <c r="AG11" i="10"/>
  <c r="AF11" i="10"/>
  <c r="AE11" i="10"/>
  <c r="AD11" i="10"/>
  <c r="Z11" i="10"/>
  <c r="M11" i="10"/>
  <c r="AG10" i="10"/>
  <c r="AF10" i="10"/>
  <c r="AD10" i="10"/>
  <c r="Z10" i="10"/>
  <c r="AG5" i="10"/>
  <c r="AF5" i="10"/>
  <c r="AE5" i="10"/>
  <c r="AD5" i="10"/>
  <c r="Z5" i="10"/>
  <c r="M5" i="10"/>
  <c r="AG4" i="10"/>
  <c r="AF4" i="10"/>
  <c r="AE4" i="10"/>
  <c r="AD4" i="10"/>
  <c r="Z4" i="10"/>
  <c r="M4" i="10"/>
  <c r="H4" i="10"/>
  <c r="G4" i="2" s="1"/>
  <c r="M4" i="2" s="1"/>
  <c r="AG3" i="10"/>
  <c r="AF3" i="10"/>
  <c r="AE3" i="10"/>
  <c r="AD3" i="10"/>
  <c r="Z3" i="10"/>
  <c r="M3" i="10"/>
  <c r="AG2" i="10"/>
  <c r="AF2" i="10"/>
  <c r="AE2" i="10"/>
  <c r="AD2" i="10"/>
  <c r="Z2" i="10"/>
  <c r="M2" i="10"/>
  <c r="Y10" i="2"/>
  <c r="Z10" i="2" s="1"/>
  <c r="Y11" i="2"/>
  <c r="Z11" i="2" s="1"/>
  <c r="Y12" i="2"/>
  <c r="Z12" i="2" s="1"/>
  <c r="Y13" i="2"/>
  <c r="Z13" i="2" s="1"/>
  <c r="Y14" i="2"/>
  <c r="Z14" i="2" s="1"/>
  <c r="Y15" i="2"/>
  <c r="Z15" i="2" s="1"/>
  <c r="Y16" i="2"/>
  <c r="Z16" i="2" s="1"/>
  <c r="Y17" i="2"/>
  <c r="Z17" i="2" s="1"/>
  <c r="Y18" i="2"/>
  <c r="Z18" i="2" s="1"/>
  <c r="Y19" i="2"/>
  <c r="Z19" i="2" s="1"/>
  <c r="Y20" i="2"/>
  <c r="Z20" i="2" s="1"/>
  <c r="Y21" i="2"/>
  <c r="Z21" i="2" s="1"/>
  <c r="Y22" i="2"/>
  <c r="Z22" i="2" s="1"/>
  <c r="Y23" i="2"/>
  <c r="Z23" i="2" s="1"/>
  <c r="Y24" i="2"/>
  <c r="Z24" i="2" s="1"/>
  <c r="Y25" i="2"/>
  <c r="Z25" i="2" s="1"/>
  <c r="Y26" i="2"/>
  <c r="Z26" i="2" s="1"/>
  <c r="Y27" i="2"/>
  <c r="Z27" i="2" s="1"/>
  <c r="Y28" i="2"/>
  <c r="Z28" i="2" s="1"/>
  <c r="Y29" i="2"/>
  <c r="Z29" i="2" s="1"/>
  <c r="Y30" i="2"/>
  <c r="Z30" i="2" s="1"/>
  <c r="Y31" i="2"/>
  <c r="Z31" i="2" s="1"/>
  <c r="Y32" i="2"/>
  <c r="Z32" i="2" s="1"/>
  <c r="Y33" i="2"/>
  <c r="Z33" i="2" s="1"/>
  <c r="Y34" i="2"/>
  <c r="Z34" i="2" s="1"/>
  <c r="Y35" i="2"/>
  <c r="Z35" i="2" s="1"/>
  <c r="Y36" i="2"/>
  <c r="Z36" i="2" s="1"/>
  <c r="Y37" i="2"/>
  <c r="Y38" i="2"/>
  <c r="Z38" i="2" s="1"/>
  <c r="Y39" i="2"/>
  <c r="Z39" i="2" s="1"/>
  <c r="Y40" i="2"/>
  <c r="Z40" i="2" s="1"/>
  <c r="Y41" i="2"/>
  <c r="Z41" i="2" s="1"/>
  <c r="Y42" i="2"/>
  <c r="Z42" i="2" s="1"/>
  <c r="Y3" i="2"/>
  <c r="Z3" i="2" s="1"/>
  <c r="Y4" i="2"/>
  <c r="Z4" i="2" s="1"/>
  <c r="Y5" i="2"/>
  <c r="Z5" i="2" s="1"/>
  <c r="Y9" i="2"/>
  <c r="Z9" i="2" s="1"/>
  <c r="Y2" i="2"/>
  <c r="Z2" i="2" s="1"/>
  <c r="U35" i="2" l="1"/>
  <c r="AF37" i="10"/>
  <c r="W37" i="2"/>
  <c r="U15" i="2"/>
  <c r="U20" i="2"/>
  <c r="U24" i="2"/>
  <c r="U28" i="2"/>
  <c r="V28" i="2" s="1"/>
  <c r="U32" i="2"/>
  <c r="V32" i="2" s="1"/>
  <c r="U36" i="2"/>
  <c r="U44" i="2"/>
  <c r="V44" i="2" s="1"/>
  <c r="U48" i="2"/>
  <c r="V48" i="2" s="1"/>
  <c r="U3" i="2"/>
  <c r="F4" i="2"/>
  <c r="L4" i="2" s="1"/>
  <c r="F17" i="2"/>
  <c r="L17" i="2" s="1"/>
  <c r="U22" i="2"/>
  <c r="U26" i="2"/>
  <c r="U30" i="2"/>
  <c r="V30" i="2" s="1"/>
  <c r="U34" i="2"/>
  <c r="V34" i="2" s="1"/>
  <c r="U42" i="2"/>
  <c r="V42" i="2" s="1"/>
  <c r="U13" i="2"/>
  <c r="V13" i="2" s="1"/>
  <c r="U18" i="2"/>
  <c r="U5" i="2"/>
  <c r="U2" i="2"/>
  <c r="U10" i="2"/>
  <c r="V10" i="2" s="1"/>
  <c r="U11" i="2"/>
  <c r="V11" i="2" s="1"/>
  <c r="U14" i="2"/>
  <c r="U19" i="2"/>
  <c r="U23" i="2"/>
  <c r="U27" i="2"/>
  <c r="V27" i="2" s="1"/>
  <c r="U31" i="2"/>
  <c r="V31" i="2" s="1"/>
  <c r="D4" i="2"/>
  <c r="J4" i="2" s="1"/>
  <c r="U17" i="2"/>
  <c r="U21" i="2"/>
  <c r="U25" i="2"/>
  <c r="U29" i="2"/>
  <c r="V29" i="2" s="1"/>
  <c r="U33" i="2"/>
  <c r="V33" i="2" s="1"/>
  <c r="U4" i="2"/>
  <c r="U16" i="2"/>
  <c r="U37" i="2"/>
  <c r="F16" i="2"/>
  <c r="L16" i="2" s="1"/>
  <c r="B17" i="2"/>
  <c r="H17" i="2" s="1"/>
  <c r="Z37" i="2"/>
  <c r="B16" i="2"/>
  <c r="H16" i="2" s="1"/>
  <c r="O10" i="5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I2" i="3"/>
  <c r="AH2" i="3"/>
  <c r="AG2" i="3"/>
  <c r="AK2" i="3"/>
  <c r="AL2" i="3" l="1"/>
  <c r="V15" i="2" l="1"/>
  <c r="V23" i="2"/>
  <c r="V39" i="2"/>
  <c r="V40" i="2"/>
  <c r="V35" i="2"/>
  <c r="V22" i="2" l="1"/>
  <c r="V14" i="2"/>
  <c r="V37" i="2"/>
  <c r="V36" i="2"/>
  <c r="V19" i="2"/>
  <c r="V5" i="2"/>
  <c r="V18" i="2"/>
  <c r="V4" i="2"/>
  <c r="V21" i="2"/>
  <c r="V25" i="2"/>
  <c r="V17" i="2"/>
  <c r="V3" i="2"/>
  <c r="V38" i="2"/>
  <c r="V20" i="2"/>
  <c r="V26" i="2"/>
  <c r="V24" i="2"/>
  <c r="V16" i="2"/>
  <c r="V2" i="2"/>
  <c r="J35" i="2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1" i="5"/>
  <c r="X22" i="5"/>
  <c r="X2" i="5"/>
  <c r="O19" i="5"/>
  <c r="O21" i="5"/>
  <c r="O22" i="5"/>
  <c r="Y9" i="5"/>
  <c r="Y8" i="5"/>
  <c r="Y7" i="5"/>
  <c r="Y6" i="5"/>
  <c r="Y5" i="5"/>
  <c r="Y4" i="5"/>
  <c r="Y3" i="5"/>
  <c r="Y2" i="5"/>
  <c r="O11" i="5"/>
  <c r="O12" i="5"/>
  <c r="O13" i="5"/>
  <c r="O14" i="5"/>
  <c r="O15" i="5"/>
  <c r="O16" i="5"/>
  <c r="O17" i="5"/>
  <c r="O18" i="5"/>
  <c r="N10" i="5"/>
  <c r="N11" i="5"/>
  <c r="N12" i="5"/>
  <c r="N13" i="5"/>
  <c r="N14" i="5"/>
  <c r="N15" i="5"/>
  <c r="N16" i="5"/>
  <c r="N17" i="5"/>
  <c r="N18" i="5"/>
  <c r="N19" i="5"/>
  <c r="N21" i="5"/>
  <c r="N22" i="5"/>
  <c r="N23" i="5"/>
  <c r="N24" i="5"/>
  <c r="N25" i="5"/>
  <c r="O8" i="5"/>
  <c r="O9" i="5"/>
  <c r="N9" i="5"/>
  <c r="N7" i="5"/>
  <c r="N8" i="5"/>
  <c r="O7" i="5"/>
  <c r="N3" i="5"/>
  <c r="N4" i="5"/>
  <c r="N5" i="5"/>
  <c r="N6" i="5"/>
  <c r="N2" i="5"/>
  <c r="O6" i="5"/>
  <c r="O5" i="5"/>
  <c r="O2" i="5"/>
  <c r="O3" i="5"/>
  <c r="O4" i="5"/>
  <c r="Y14" i="3"/>
  <c r="X15" i="3"/>
  <c r="X17" i="3"/>
  <c r="V14" i="3"/>
  <c r="U14" i="3"/>
  <c r="U15" i="3"/>
  <c r="Y15" i="3" s="1"/>
  <c r="U16" i="3"/>
  <c r="Y16" i="3" s="1"/>
  <c r="U17" i="3"/>
  <c r="Y17" i="3" s="1"/>
  <c r="T15" i="3"/>
  <c r="T16" i="3"/>
  <c r="X16" i="3" s="1"/>
  <c r="T17" i="3"/>
  <c r="R17" i="3"/>
  <c r="V17" i="3" s="1"/>
  <c r="R16" i="3"/>
  <c r="V16" i="3" s="1"/>
  <c r="R15" i="3"/>
  <c r="V15" i="3" s="1"/>
  <c r="S17" i="3"/>
  <c r="W17" i="3" s="1"/>
  <c r="S16" i="3"/>
  <c r="W16" i="3" s="1"/>
  <c r="S15" i="3"/>
  <c r="W15" i="3" s="1"/>
  <c r="T14" i="3"/>
  <c r="X14" i="3" s="1"/>
  <c r="R14" i="3"/>
  <c r="S14" i="3"/>
  <c r="W14" i="3" s="1"/>
  <c r="U3" i="3"/>
  <c r="Y3" i="3" s="1"/>
  <c r="U9" i="3"/>
  <c r="Y9" i="3" s="1"/>
  <c r="U10" i="3"/>
  <c r="Y10" i="3" s="1"/>
  <c r="T9" i="3"/>
  <c r="X9" i="3" s="1"/>
  <c r="S3" i="3"/>
  <c r="W3" i="3" s="1"/>
  <c r="S4" i="3"/>
  <c r="W4" i="3" s="1"/>
  <c r="S5" i="3"/>
  <c r="W5" i="3" s="1"/>
  <c r="S6" i="3"/>
  <c r="W6" i="3" s="1"/>
  <c r="S7" i="3"/>
  <c r="S8" i="3"/>
  <c r="W8" i="3" s="1"/>
  <c r="S9" i="3"/>
  <c r="S10" i="3"/>
  <c r="W10" i="3" s="1"/>
  <c r="S11" i="3"/>
  <c r="S12" i="3"/>
  <c r="W12" i="3" s="1"/>
  <c r="S13" i="3"/>
  <c r="W13" i="3" s="1"/>
  <c r="R3" i="3"/>
  <c r="V3" i="3" s="1"/>
  <c r="R10" i="3"/>
  <c r="V10" i="3" s="1"/>
  <c r="U2" i="3"/>
  <c r="Y2" i="3" s="1"/>
  <c r="T2" i="3"/>
  <c r="X2" i="3" s="1"/>
  <c r="S2" i="3"/>
  <c r="W2" i="3" s="1"/>
  <c r="R2" i="3"/>
  <c r="V2" i="3" s="1"/>
  <c r="W11" i="3"/>
  <c r="W9" i="3"/>
  <c r="W7" i="3"/>
  <c r="D13" i="3"/>
  <c r="U13" i="3" s="1"/>
  <c r="Y13" i="3" s="1"/>
  <c r="D12" i="3"/>
  <c r="R12" i="3" s="1"/>
  <c r="V12" i="3" s="1"/>
  <c r="D11" i="3"/>
  <c r="T11" i="3" s="1"/>
  <c r="X11" i="3" s="1"/>
  <c r="D10" i="3"/>
  <c r="T10" i="3" s="1"/>
  <c r="X10" i="3" s="1"/>
  <c r="D9" i="3"/>
  <c r="R9" i="3" s="1"/>
  <c r="V9" i="3" s="1"/>
  <c r="D8" i="3"/>
  <c r="U8" i="3" s="1"/>
  <c r="Y8" i="3" s="1"/>
  <c r="D7" i="3"/>
  <c r="U7" i="3" s="1"/>
  <c r="Y7" i="3" s="1"/>
  <c r="D6" i="3"/>
  <c r="U6" i="3" s="1"/>
  <c r="Y6" i="3" s="1"/>
  <c r="P5" i="3"/>
  <c r="D5" i="3"/>
  <c r="U5" i="3" s="1"/>
  <c r="Y5" i="3" s="1"/>
  <c r="D4" i="3"/>
  <c r="R4" i="3" s="1"/>
  <c r="V4" i="3" s="1"/>
  <c r="D3" i="3"/>
  <c r="T3" i="3" s="1"/>
  <c r="X3" i="3" s="1"/>
  <c r="V9" i="2" l="1"/>
  <c r="T8" i="3"/>
  <c r="X8" i="3" s="1"/>
  <c r="T7" i="3"/>
  <c r="X7" i="3" s="1"/>
  <c r="R8" i="3"/>
  <c r="V8" i="3" s="1"/>
  <c r="U12" i="3"/>
  <c r="Y12" i="3" s="1"/>
  <c r="R7" i="3"/>
  <c r="V7" i="3" s="1"/>
  <c r="T13" i="3"/>
  <c r="X13" i="3" s="1"/>
  <c r="T5" i="3"/>
  <c r="X5" i="3" s="1"/>
  <c r="U11" i="3"/>
  <c r="Y11" i="3" s="1"/>
  <c r="T6" i="3"/>
  <c r="X6" i="3" s="1"/>
  <c r="R6" i="3"/>
  <c r="V6" i="3" s="1"/>
  <c r="T12" i="3"/>
  <c r="X12" i="3" s="1"/>
  <c r="T4" i="3"/>
  <c r="X4" i="3" s="1"/>
  <c r="R11" i="3"/>
  <c r="V11" i="3" s="1"/>
  <c r="U4" i="3"/>
  <c r="Y4" i="3" s="1"/>
  <c r="R13" i="3"/>
  <c r="V13" i="3" s="1"/>
  <c r="R5" i="3"/>
  <c r="V5" i="3" s="1"/>
  <c r="K2" i="2"/>
  <c r="J2" i="2" l="1"/>
  <c r="L2" i="2"/>
  <c r="M2" i="2"/>
</calcChain>
</file>

<file path=xl/sharedStrings.xml><?xml version="1.0" encoding="utf-8"?>
<sst xmlns="http://schemas.openxmlformats.org/spreadsheetml/2006/main" count="421" uniqueCount="176">
  <si>
    <t>Site</t>
  </si>
  <si>
    <t>Catch_Area</t>
  </si>
  <si>
    <t>Cp</t>
  </si>
  <si>
    <t>Sp</t>
  </si>
  <si>
    <t>Mean_Catc_E</t>
  </si>
  <si>
    <t>MgO</t>
  </si>
  <si>
    <t>Rd</t>
  </si>
  <si>
    <t>WI</t>
  </si>
  <si>
    <t>CS</t>
  </si>
  <si>
    <t>Om</t>
  </si>
  <si>
    <t>Ro</t>
  </si>
  <si>
    <t>T</t>
  </si>
  <si>
    <t>K</t>
  </si>
  <si>
    <t>HC</t>
  </si>
  <si>
    <t>S23</t>
  </si>
  <si>
    <t>Bmh</t>
  </si>
  <si>
    <t>DR 1</t>
  </si>
  <si>
    <t>DR 4</t>
  </si>
  <si>
    <t>DR 5</t>
  </si>
  <si>
    <t>int_vol_Wall</t>
  </si>
  <si>
    <t>est_D16 (phi)</t>
  </si>
  <si>
    <t>est_D50 (phi)</t>
  </si>
  <si>
    <t>est_D84 (phi)</t>
  </si>
  <si>
    <t>est_D16 (mm)</t>
  </si>
  <si>
    <t>est_D50 (mm)</t>
  </si>
  <si>
    <t>est_D84 (mm)</t>
  </si>
  <si>
    <t>obs_D16_sub</t>
  </si>
  <si>
    <t>obs_D50_sub</t>
  </si>
  <si>
    <t>obs_D84_sub</t>
  </si>
  <si>
    <t>obs_D16_sur</t>
  </si>
  <si>
    <t>obs_D50_sur</t>
  </si>
  <si>
    <t>obs_D84_sur</t>
  </si>
  <si>
    <t>est_D84B (phi)</t>
  </si>
  <si>
    <t>obs_D84B</t>
  </si>
  <si>
    <t>Seeley_1</t>
  </si>
  <si>
    <t>Fish_Creek_1</t>
  </si>
  <si>
    <t>Fish_Creek_2</t>
  </si>
  <si>
    <t>Fish_Creek_3</t>
  </si>
  <si>
    <t>Fish_Creek_4</t>
  </si>
  <si>
    <t>Fish_Creek_5</t>
  </si>
  <si>
    <t>Fish_Creek_6</t>
  </si>
  <si>
    <t>Fish_Creek_7</t>
  </si>
  <si>
    <t>Shingle_Creek_1A</t>
  </si>
  <si>
    <t>Shingle_Creek_2</t>
  </si>
  <si>
    <t>Y</t>
  </si>
  <si>
    <t>N</t>
  </si>
  <si>
    <t>StreamCat_Trib?</t>
  </si>
  <si>
    <t xml:space="preserve"> est_D84B (mm)</t>
  </si>
  <si>
    <t>Shingle 1</t>
  </si>
  <si>
    <t>Cp2011</t>
  </si>
  <si>
    <t>Cp2008</t>
  </si>
  <si>
    <t>Cp2016</t>
  </si>
  <si>
    <t>est_D16 (phi) 2008</t>
  </si>
  <si>
    <t>est_D16 (phi) 2011</t>
  </si>
  <si>
    <t>est_D16 (phi) 2016</t>
  </si>
  <si>
    <t>est_D16 (mm) 2016</t>
  </si>
  <si>
    <t>est_D16 (mm) 2008</t>
  </si>
  <si>
    <t>est_D16 (mm) 2011</t>
  </si>
  <si>
    <t>Brian_Head_2</t>
  </si>
  <si>
    <t>Brian_Head_3</t>
  </si>
  <si>
    <t>Brian_Head_4</t>
  </si>
  <si>
    <t>Brian_Head_5A</t>
  </si>
  <si>
    <t>Trail_Mountain_1</t>
  </si>
  <si>
    <t>Trail_Mountain_2A</t>
  </si>
  <si>
    <t>Trail_Mountain_3A</t>
  </si>
  <si>
    <t>AnnP</t>
  </si>
  <si>
    <t>Relief</t>
  </si>
  <si>
    <t>Sp23</t>
  </si>
  <si>
    <t>Mean_Slope</t>
  </si>
  <si>
    <t>Valley_W</t>
  </si>
  <si>
    <t>Sinuosity</t>
  </si>
  <si>
    <t>Gradient</t>
  </si>
  <si>
    <t>SlopeDeg</t>
  </si>
  <si>
    <t>Seeley_1A</t>
  </si>
  <si>
    <t>Seeley_2A</t>
  </si>
  <si>
    <t>Shingle 1A</t>
  </si>
  <si>
    <t>Shingle 2A</t>
  </si>
  <si>
    <t>Lake Fork 1</t>
  </si>
  <si>
    <t>POCR Blind Canyon 1</t>
  </si>
  <si>
    <t>Dollar Ridge 2A</t>
  </si>
  <si>
    <t>Dollar Ridge 1A</t>
  </si>
  <si>
    <t>Dollar Ridge 1</t>
  </si>
  <si>
    <t>Dollar Ridge 4</t>
  </si>
  <si>
    <t>Dollar Ridge 5</t>
  </si>
  <si>
    <t>Seeley 1</t>
  </si>
  <si>
    <t>Seeley 1A</t>
  </si>
  <si>
    <t>Fish Creek 1</t>
  </si>
  <si>
    <t>Fish Creek 2</t>
  </si>
  <si>
    <t>Fish Creek 3</t>
  </si>
  <si>
    <t>Shingle Creek 1A</t>
  </si>
  <si>
    <t>Brian Head 5A</t>
  </si>
  <si>
    <t>Trail Mountain 1</t>
  </si>
  <si>
    <t>Trail Mountain 2A</t>
  </si>
  <si>
    <t>Reach_L_m</t>
  </si>
  <si>
    <t>IMP_BFw_m</t>
  </si>
  <si>
    <t>RMS_BFw_m</t>
  </si>
  <si>
    <t>us_da_km</t>
  </si>
  <si>
    <t>Q2_m3s</t>
  </si>
  <si>
    <t>Q5_m3s</t>
  </si>
  <si>
    <t>Q10_m3s</t>
  </si>
  <si>
    <t>EstD50_df</t>
  </si>
  <si>
    <t>Q100_m3s</t>
  </si>
  <si>
    <t>Q500_m3s</t>
  </si>
  <si>
    <t>Q50_m3s</t>
  </si>
  <si>
    <t>flow_depth_m</t>
  </si>
  <si>
    <t>IMP_BFd_m</t>
  </si>
  <si>
    <t>RMS_BFd_m</t>
  </si>
  <si>
    <t>EstD16_df</t>
  </si>
  <si>
    <t>Channel_Devlp</t>
  </si>
  <si>
    <t>Lake Fork 1A</t>
  </si>
  <si>
    <t>0-3</t>
  </si>
  <si>
    <t>Fanslope_Deg</t>
  </si>
  <si>
    <t>int_volG14</t>
  </si>
  <si>
    <t>EstD50m_pre</t>
  </si>
  <si>
    <t>EstD50mm_pre</t>
  </si>
  <si>
    <t>EstD84_df</t>
  </si>
  <si>
    <t>Fish_Creek_5_2014</t>
  </si>
  <si>
    <t>int_estimg</t>
  </si>
  <si>
    <t>Shingle_Creek_2_2014</t>
  </si>
  <si>
    <t>Fish_Creek_4_2018</t>
  </si>
  <si>
    <t>Shingle Creek 2_2011</t>
  </si>
  <si>
    <t>Fish_Creek_4_2011</t>
  </si>
  <si>
    <t>Fish_Creek_5_2011</t>
  </si>
  <si>
    <t>Fish_Creek_7_2011</t>
  </si>
  <si>
    <t>Fish_Creek_5_2018</t>
  </si>
  <si>
    <t>Fish_Creek_7_2018</t>
  </si>
  <si>
    <t>P</t>
  </si>
  <si>
    <t>sqrt_S23</t>
  </si>
  <si>
    <t>sqrt_Bmh</t>
  </si>
  <si>
    <t>lnvol_Wall</t>
  </si>
  <si>
    <t>S23_A</t>
  </si>
  <si>
    <t>sqrts23</t>
  </si>
  <si>
    <t>sqrtbmh</t>
  </si>
  <si>
    <t>logvol</t>
  </si>
  <si>
    <t>logvolWall</t>
  </si>
  <si>
    <t>Clay Springs 1A</t>
  </si>
  <si>
    <t>Clay Springs 2A</t>
  </si>
  <si>
    <t>Clay Springs 3A</t>
  </si>
  <si>
    <t>RF_angle</t>
  </si>
  <si>
    <t>Runout_L</t>
  </si>
  <si>
    <t>River_L</t>
  </si>
  <si>
    <t>I</t>
  </si>
  <si>
    <t>P/I</t>
  </si>
  <si>
    <t>Mean_slope_perc</t>
  </si>
  <si>
    <t>esti15</t>
  </si>
  <si>
    <t>ln_vol</t>
  </si>
  <si>
    <t>i15_2</t>
  </si>
  <si>
    <t>i15_1</t>
  </si>
  <si>
    <t>i15_5</t>
  </si>
  <si>
    <t>Trail Mountain 3A</t>
  </si>
  <si>
    <t>Trail Mountain 4A</t>
  </si>
  <si>
    <t>Trail Mountain 5A</t>
  </si>
  <si>
    <t>Brian Head 3</t>
  </si>
  <si>
    <t>Twitchell 1A</t>
  </si>
  <si>
    <t>Twitchell 2A</t>
  </si>
  <si>
    <t>Twitchell 3A</t>
  </si>
  <si>
    <t>Twitchell 4A</t>
  </si>
  <si>
    <t>Twitchell 5A</t>
  </si>
  <si>
    <t>Twitchell 6A</t>
  </si>
  <si>
    <t>Twitchell 7A</t>
  </si>
  <si>
    <t>Twitchell 8A</t>
  </si>
  <si>
    <t>Seeley 2A</t>
  </si>
  <si>
    <t>Seeley 3A</t>
  </si>
  <si>
    <t>Seeley 4A</t>
  </si>
  <si>
    <t>Seeley 5A</t>
  </si>
  <si>
    <t>Clay Springs 1</t>
  </si>
  <si>
    <t>Clay Springs 2</t>
  </si>
  <si>
    <t>Dollar Ridge 3A</t>
  </si>
  <si>
    <t>Dollar Ridge 5A</t>
  </si>
  <si>
    <t>Dollar Ridge 4A</t>
  </si>
  <si>
    <t>Trib_L</t>
  </si>
  <si>
    <t>Trib_Slope</t>
  </si>
  <si>
    <t>p_Bmh</t>
  </si>
  <si>
    <t>ln_Wall</t>
  </si>
  <si>
    <t>ln_G14</t>
  </si>
  <si>
    <t>ln_estint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</si>
</sst>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boxWhisker" uniqueId="{34360B8C-0D61-4861-8707-49B3CE118A57}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plotArea>
      <cx:plotAreaRegion>
        <cx:series layoutId="boxWhisker" uniqueId="{2DB69B9D-50FF-455D-B1C6-CD222E31A02E}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_xlchart.v1.10</cx:f>
      </cx:numDim>
    </cx:data>
  </cx:chartData>
  <cx:chart>
    <cx:plotArea>
      <cx:plotAreaRegion>
        <cx:series layoutId="boxWhisker" uniqueId="{F0415632-4758-49C0-8A75-3D482FF390E7}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_xlchart.v1.7</cx:f>
      </cx:numDim>
    </cx:data>
  </cx:chartData>
  <cx:chart>
    <cx:title pos="t" align="ctr" overlay="0">
      <cx:tx>
        <cx:txData>
          <cx:v>sqrtBmh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sqrtBmh</a:t>
          </a:r>
        </a:p>
      </cx:txPr>
    </cx:title>
    <cx:plotArea>
      <cx:plotAreaRegion>
        <cx:series layoutId="boxWhisker" uniqueId="{E8453EB7-A743-4341-B47F-5C9E61F84B3B}">
          <cx:tx>
            <cx:txData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52915</xdr:colOff>
      <xdr:row>2</xdr:row>
      <xdr:rowOff>76199</xdr:rowOff>
    </xdr:from>
    <xdr:to>
      <xdr:col>7</xdr:col>
      <xdr:colOff>120648</xdr:colOff>
      <xdr:row>17</xdr:row>
      <xdr:rowOff>88899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3478B22-1BE0-14F5-F039-36793E0C6B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915" y="44026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444499</xdr:colOff>
      <xdr:row>2</xdr:row>
      <xdr:rowOff>8466</xdr:rowOff>
    </xdr:from>
    <xdr:to>
      <xdr:col>14</xdr:col>
      <xdr:colOff>512233</xdr:colOff>
      <xdr:row>17</xdr:row>
      <xdr:rowOff>21166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74D037F-7CB1-873C-48EC-7894DA347B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8766" y="37253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18</xdr:row>
      <xdr:rowOff>38100</xdr:rowOff>
    </xdr:from>
    <xdr:to>
      <xdr:col>7</xdr:col>
      <xdr:colOff>105833</xdr:colOff>
      <xdr:row>33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FD290CE-DBED-E902-B83A-84D24EB4CF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314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33866</xdr:colOff>
      <xdr:row>17</xdr:row>
      <xdr:rowOff>143932</xdr:rowOff>
    </xdr:from>
    <xdr:to>
      <xdr:col>15</xdr:col>
      <xdr:colOff>101599</xdr:colOff>
      <xdr:row>32</xdr:row>
      <xdr:rowOff>156632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B15830D-F996-7D63-B5E0-A8AF4E594C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599" y="323849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A689-E732-4F1D-90F2-99728A3DED08}">
  <dimension ref="A1:AG53"/>
  <sheetViews>
    <sheetView tabSelected="1" zoomScale="90" zoomScaleNormal="90" workbookViewId="0">
      <pane xSplit="7" ySplit="27" topLeftCell="S45" activePane="bottomRight" state="frozen"/>
      <selection pane="topRight" activeCell="H1" sqref="H1"/>
      <selection pane="bottomLeft" activeCell="A26" sqref="A26"/>
      <selection pane="bottomRight" activeCell="AF1" sqref="AF1:AF1048576"/>
    </sheetView>
  </sheetViews>
  <sheetFormatPr defaultRowHeight="14.35" x14ac:dyDescent="0.5"/>
  <cols>
    <col min="1" max="1" width="17.52734375" customWidth="1"/>
    <col min="13" max="13" width="10.41015625" customWidth="1"/>
    <col min="14" max="14" width="11.17578125" customWidth="1"/>
  </cols>
  <sheetData>
    <row r="1" spans="1:33" x14ac:dyDescent="0.5">
      <c r="A1" t="s">
        <v>0</v>
      </c>
      <c r="B1" t="s">
        <v>108</v>
      </c>
      <c r="C1" t="s">
        <v>1</v>
      </c>
      <c r="D1" t="s">
        <v>111</v>
      </c>
      <c r="E1" t="s">
        <v>51</v>
      </c>
      <c r="F1" t="s">
        <v>49</v>
      </c>
      <c r="G1" t="s">
        <v>50</v>
      </c>
      <c r="H1" t="s">
        <v>67</v>
      </c>
      <c r="I1" t="s">
        <v>66</v>
      </c>
      <c r="J1" t="s">
        <v>170</v>
      </c>
      <c r="K1" t="s">
        <v>171</v>
      </c>
      <c r="L1" t="s">
        <v>68</v>
      </c>
      <c r="M1" t="s">
        <v>143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65</v>
      </c>
      <c r="V1" t="s">
        <v>11</v>
      </c>
      <c r="W1" t="s">
        <v>12</v>
      </c>
      <c r="X1" t="s">
        <v>13</v>
      </c>
      <c r="Y1" t="s">
        <v>14</v>
      </c>
      <c r="Z1" t="s">
        <v>130</v>
      </c>
      <c r="AA1" t="s">
        <v>15</v>
      </c>
      <c r="AB1" t="s">
        <v>172</v>
      </c>
      <c r="AC1" t="s">
        <v>46</v>
      </c>
      <c r="AD1" t="s">
        <v>9</v>
      </c>
      <c r="AE1" t="s">
        <v>127</v>
      </c>
      <c r="AF1" t="s">
        <v>128</v>
      </c>
      <c r="AG1" t="s">
        <v>10</v>
      </c>
    </row>
    <row r="2" spans="1:33" x14ac:dyDescent="0.5">
      <c r="A2" t="s">
        <v>90</v>
      </c>
      <c r="B2">
        <v>0</v>
      </c>
      <c r="C2" s="1">
        <v>0.267044</v>
      </c>
      <c r="D2" s="1"/>
      <c r="E2" s="4">
        <v>97.59</v>
      </c>
      <c r="F2" s="4"/>
      <c r="G2" s="4"/>
      <c r="H2" s="4">
        <v>39.549999999999997</v>
      </c>
      <c r="I2" s="4">
        <v>386.25</v>
      </c>
      <c r="J2" s="4"/>
      <c r="K2" s="4"/>
      <c r="L2" s="4">
        <v>22.41</v>
      </c>
      <c r="M2" s="1">
        <f t="shared" ref="M2:M9" si="0">L2/360</f>
        <v>6.225E-2</v>
      </c>
      <c r="N2" s="4">
        <v>2521.8961829999998</v>
      </c>
      <c r="O2">
        <v>2.67</v>
      </c>
      <c r="P2" s="2">
        <v>147.06</v>
      </c>
      <c r="Q2">
        <v>238.99</v>
      </c>
      <c r="R2">
        <v>71.92</v>
      </c>
      <c r="S2">
        <v>0.76</v>
      </c>
      <c r="T2">
        <v>30</v>
      </c>
      <c r="U2">
        <v>630.02</v>
      </c>
      <c r="V2">
        <v>5.53</v>
      </c>
      <c r="W2">
        <v>1.2</v>
      </c>
      <c r="X2">
        <v>0.03</v>
      </c>
      <c r="Y2" s="1">
        <v>0.109278</v>
      </c>
      <c r="Z2" s="1">
        <f t="shared" ref="Z2:Z9" si="1">Y2*10</f>
        <v>1.0927800000000001</v>
      </c>
      <c r="AA2" s="1">
        <v>0.21229400000000001</v>
      </c>
      <c r="AB2" s="1">
        <f>AA2/C2*100</f>
        <v>79.497760668653854</v>
      </c>
      <c r="AC2" t="s">
        <v>45</v>
      </c>
      <c r="AD2">
        <f t="shared" ref="AD2:AD9" si="2">S2</f>
        <v>0.76</v>
      </c>
      <c r="AE2" s="6">
        <f t="shared" ref="AE2:AE10" si="3">SQRT(Y2)</f>
        <v>0.33057223113867262</v>
      </c>
      <c r="AF2">
        <f t="shared" ref="AF2:AF9" si="4">SQRT(AA2)</f>
        <v>0.46075373031588146</v>
      </c>
      <c r="AG2">
        <f t="shared" ref="AG2:AG9" si="5">T2</f>
        <v>30</v>
      </c>
    </row>
    <row r="3" spans="1:33" x14ac:dyDescent="0.5">
      <c r="A3" t="s">
        <v>152</v>
      </c>
      <c r="B3">
        <v>1</v>
      </c>
      <c r="C3" s="1">
        <v>3.0509379999999999</v>
      </c>
      <c r="D3" s="4">
        <v>8</v>
      </c>
      <c r="E3" s="4">
        <v>47.36</v>
      </c>
      <c r="F3" s="4"/>
      <c r="G3" s="4"/>
      <c r="H3" s="4">
        <v>14.84</v>
      </c>
      <c r="I3" s="4">
        <v>744.89</v>
      </c>
      <c r="J3" s="4"/>
      <c r="K3" s="4"/>
      <c r="L3" s="4">
        <v>13.49</v>
      </c>
      <c r="M3" s="1">
        <f t="shared" si="0"/>
        <v>3.7472222222222226E-2</v>
      </c>
      <c r="N3" s="4">
        <v>2928.27</v>
      </c>
      <c r="O3">
        <v>2.0699999999999998</v>
      </c>
      <c r="P3" s="2">
        <v>147.06</v>
      </c>
      <c r="Q3">
        <v>340.64</v>
      </c>
      <c r="R3">
        <v>71.36</v>
      </c>
      <c r="S3">
        <v>0.76</v>
      </c>
      <c r="T3">
        <v>39</v>
      </c>
      <c r="U3">
        <v>651.86</v>
      </c>
      <c r="V3">
        <v>3.89</v>
      </c>
      <c r="W3">
        <v>1.2</v>
      </c>
      <c r="X3">
        <v>0.04</v>
      </c>
      <c r="Y3">
        <v>0.45</v>
      </c>
      <c r="Z3" s="1">
        <f t="shared" si="1"/>
        <v>4.5</v>
      </c>
      <c r="AA3" s="1">
        <v>2.59</v>
      </c>
      <c r="AB3" s="1">
        <f t="shared" ref="AB3:AB53" si="6">AA3/C3*100</f>
        <v>84.891925040757954</v>
      </c>
      <c r="AC3" t="s">
        <v>44</v>
      </c>
      <c r="AD3">
        <f t="shared" si="2"/>
        <v>0.76</v>
      </c>
      <c r="AE3" s="6">
        <f t="shared" si="3"/>
        <v>0.67082039324993692</v>
      </c>
      <c r="AF3">
        <f t="shared" si="4"/>
        <v>1.6093476939431082</v>
      </c>
      <c r="AG3">
        <f t="shared" si="5"/>
        <v>39</v>
      </c>
    </row>
    <row r="4" spans="1:33" x14ac:dyDescent="0.5">
      <c r="A4" t="s">
        <v>80</v>
      </c>
      <c r="B4">
        <v>1</v>
      </c>
      <c r="C4" s="1">
        <v>2.2400000000000002</v>
      </c>
      <c r="D4" s="4"/>
      <c r="E4" s="4">
        <v>71.06</v>
      </c>
      <c r="F4" s="4"/>
      <c r="G4" s="4"/>
      <c r="H4" s="4">
        <f>Y4/C4*100</f>
        <v>11.89004464285714</v>
      </c>
      <c r="I4" s="4">
        <v>548.41</v>
      </c>
      <c r="J4" s="4"/>
      <c r="K4" s="4"/>
      <c r="L4" s="4">
        <v>20.6</v>
      </c>
      <c r="M4" s="1">
        <f t="shared" si="0"/>
        <v>5.7222222222222223E-2</v>
      </c>
      <c r="N4" s="4">
        <v>2422.75</v>
      </c>
      <c r="O4" s="1">
        <v>3</v>
      </c>
      <c r="P4" s="2">
        <v>100.86</v>
      </c>
      <c r="Q4">
        <v>226.24</v>
      </c>
      <c r="R4">
        <v>67.88</v>
      </c>
      <c r="S4">
        <v>1.34</v>
      </c>
      <c r="T4">
        <v>58</v>
      </c>
      <c r="U4">
        <v>450.79</v>
      </c>
      <c r="V4">
        <v>4.49</v>
      </c>
      <c r="W4">
        <v>1.94</v>
      </c>
      <c r="X4">
        <v>0.16</v>
      </c>
      <c r="Y4" s="1">
        <v>0.26633699999999993</v>
      </c>
      <c r="Z4" s="1">
        <f t="shared" si="1"/>
        <v>2.6633699999999996</v>
      </c>
      <c r="AA4" s="1">
        <v>0.3</v>
      </c>
      <c r="AB4" s="1">
        <f t="shared" si="6"/>
        <v>13.392857142857142</v>
      </c>
      <c r="AC4" t="s">
        <v>44</v>
      </c>
      <c r="AD4">
        <f t="shared" si="2"/>
        <v>1.34</v>
      </c>
      <c r="AE4" s="6">
        <f t="shared" si="3"/>
        <v>0.51607848240359711</v>
      </c>
      <c r="AF4">
        <f t="shared" si="4"/>
        <v>0.54772255750516607</v>
      </c>
      <c r="AG4">
        <f t="shared" si="5"/>
        <v>58</v>
      </c>
    </row>
    <row r="5" spans="1:33" x14ac:dyDescent="0.5">
      <c r="A5" t="s">
        <v>79</v>
      </c>
      <c r="B5">
        <v>0</v>
      </c>
      <c r="C5" s="1">
        <v>1.27</v>
      </c>
      <c r="D5" s="4"/>
      <c r="E5" s="4">
        <v>62.94</v>
      </c>
      <c r="F5" s="4"/>
      <c r="G5" s="4"/>
      <c r="H5" s="4">
        <v>49.36</v>
      </c>
      <c r="I5" s="4">
        <v>604.79</v>
      </c>
      <c r="J5" s="4"/>
      <c r="K5" s="4"/>
      <c r="L5" s="4">
        <v>23.35</v>
      </c>
      <c r="M5" s="1">
        <f t="shared" si="0"/>
        <v>6.4861111111111119E-2</v>
      </c>
      <c r="N5" s="4">
        <v>2217.12</v>
      </c>
      <c r="O5">
        <v>3.05</v>
      </c>
      <c r="P5" s="2">
        <v>100.86</v>
      </c>
      <c r="Q5">
        <v>209.97</v>
      </c>
      <c r="R5">
        <v>69.31</v>
      </c>
      <c r="S5">
        <v>1.34</v>
      </c>
      <c r="T5">
        <v>58</v>
      </c>
      <c r="U5">
        <v>381.11</v>
      </c>
      <c r="V5">
        <v>5.04</v>
      </c>
      <c r="W5">
        <v>1.94</v>
      </c>
      <c r="X5">
        <v>0.04</v>
      </c>
      <c r="Y5" s="1">
        <v>0.62</v>
      </c>
      <c r="Z5" s="1">
        <f t="shared" si="1"/>
        <v>6.2</v>
      </c>
      <c r="AA5" s="1">
        <v>0.25</v>
      </c>
      <c r="AB5" s="1">
        <f t="shared" si="6"/>
        <v>19.685039370078737</v>
      </c>
      <c r="AC5" t="s">
        <v>45</v>
      </c>
      <c r="AD5">
        <f t="shared" si="2"/>
        <v>1.34</v>
      </c>
      <c r="AE5" s="6">
        <f t="shared" si="3"/>
        <v>0.78740078740118113</v>
      </c>
      <c r="AF5">
        <f t="shared" si="4"/>
        <v>0.5</v>
      </c>
      <c r="AG5">
        <f t="shared" si="5"/>
        <v>58</v>
      </c>
    </row>
    <row r="6" spans="1:33" x14ac:dyDescent="0.5">
      <c r="A6" t="s">
        <v>167</v>
      </c>
      <c r="B6">
        <v>0</v>
      </c>
      <c r="C6" s="1">
        <v>1.84</v>
      </c>
      <c r="D6" s="4"/>
      <c r="E6" s="4">
        <v>65.599999999999994</v>
      </c>
      <c r="F6" s="4"/>
      <c r="G6" s="4"/>
      <c r="H6" s="4">
        <v>30.53</v>
      </c>
      <c r="I6" s="4">
        <v>497.28</v>
      </c>
      <c r="J6" s="4"/>
      <c r="K6" s="4"/>
      <c r="L6" s="4">
        <v>19.170000000000002</v>
      </c>
      <c r="M6" s="1">
        <f t="shared" si="0"/>
        <v>5.3250000000000006E-2</v>
      </c>
      <c r="N6" s="4">
        <v>2125.9499999999998</v>
      </c>
      <c r="O6">
        <v>2.99</v>
      </c>
      <c r="P6" s="2">
        <v>100.86</v>
      </c>
      <c r="Q6">
        <v>240.14</v>
      </c>
      <c r="R6">
        <v>67.45</v>
      </c>
      <c r="S6">
        <v>1.34</v>
      </c>
      <c r="T6">
        <v>58</v>
      </c>
      <c r="U6">
        <v>370.23</v>
      </c>
      <c r="V6">
        <v>6.47</v>
      </c>
      <c r="W6">
        <v>6.66</v>
      </c>
      <c r="X6">
        <v>0.19</v>
      </c>
      <c r="Y6" s="1">
        <v>0.56000000000000005</v>
      </c>
      <c r="Z6" s="1">
        <f t="shared" si="1"/>
        <v>5.6000000000000005</v>
      </c>
      <c r="AA6" s="1">
        <v>0.01</v>
      </c>
      <c r="AB6" s="1">
        <f t="shared" si="6"/>
        <v>0.54347826086956519</v>
      </c>
      <c r="AC6" t="s">
        <v>44</v>
      </c>
      <c r="AD6">
        <f t="shared" si="2"/>
        <v>1.34</v>
      </c>
      <c r="AE6" s="6">
        <f t="shared" si="3"/>
        <v>0.74833147735478833</v>
      </c>
      <c r="AF6">
        <f t="shared" si="4"/>
        <v>0.1</v>
      </c>
      <c r="AG6">
        <f t="shared" si="5"/>
        <v>58</v>
      </c>
    </row>
    <row r="7" spans="1:33" x14ac:dyDescent="0.5">
      <c r="A7" t="s">
        <v>169</v>
      </c>
      <c r="B7">
        <v>0</v>
      </c>
      <c r="C7" s="1">
        <v>3.29</v>
      </c>
      <c r="D7" s="4"/>
      <c r="E7" s="4">
        <v>78.06</v>
      </c>
      <c r="F7" s="4"/>
      <c r="G7" s="4"/>
      <c r="H7" s="4">
        <v>24.36</v>
      </c>
      <c r="I7" s="4">
        <v>534.1</v>
      </c>
      <c r="J7" s="4"/>
      <c r="K7" s="4"/>
      <c r="L7" s="4">
        <v>18.03</v>
      </c>
      <c r="M7" s="1">
        <f t="shared" si="0"/>
        <v>5.0083333333333334E-2</v>
      </c>
      <c r="N7" s="4">
        <v>2246.1999999999998</v>
      </c>
      <c r="O7" s="1">
        <v>3.01</v>
      </c>
      <c r="P7" s="2">
        <v>100.86</v>
      </c>
      <c r="Q7" s="1">
        <v>238.74</v>
      </c>
      <c r="R7">
        <v>68.11</v>
      </c>
      <c r="S7">
        <v>1.34</v>
      </c>
      <c r="T7">
        <v>58</v>
      </c>
      <c r="U7">
        <v>432.08</v>
      </c>
      <c r="V7">
        <v>6.42</v>
      </c>
      <c r="W7">
        <v>6.66</v>
      </c>
      <c r="X7">
        <v>0.14000000000000001</v>
      </c>
      <c r="Y7" s="1">
        <v>0.8</v>
      </c>
      <c r="Z7" s="1">
        <f t="shared" si="1"/>
        <v>8</v>
      </c>
      <c r="AA7" s="1">
        <v>0.16</v>
      </c>
      <c r="AB7" s="1">
        <f t="shared" si="6"/>
        <v>4.86322188449848</v>
      </c>
      <c r="AC7" t="s">
        <v>44</v>
      </c>
      <c r="AD7">
        <f t="shared" si="2"/>
        <v>1.34</v>
      </c>
      <c r="AE7" s="6">
        <f t="shared" si="3"/>
        <v>0.89442719099991586</v>
      </c>
      <c r="AF7">
        <f t="shared" si="4"/>
        <v>0.4</v>
      </c>
      <c r="AG7">
        <f t="shared" si="5"/>
        <v>58</v>
      </c>
    </row>
    <row r="8" spans="1:33" x14ac:dyDescent="0.5">
      <c r="A8" t="s">
        <v>168</v>
      </c>
      <c r="B8">
        <v>0</v>
      </c>
      <c r="C8" s="1">
        <v>1.43</v>
      </c>
      <c r="D8" s="4"/>
      <c r="E8" s="4">
        <v>95.63</v>
      </c>
      <c r="F8" s="4"/>
      <c r="G8" s="4"/>
      <c r="H8" s="4">
        <v>57.24</v>
      </c>
      <c r="I8" s="4">
        <v>637.95000000000005</v>
      </c>
      <c r="J8" s="4"/>
      <c r="K8" s="4"/>
      <c r="L8" s="4">
        <v>23.71</v>
      </c>
      <c r="M8" s="1">
        <f t="shared" si="0"/>
        <v>6.586111111111112E-2</v>
      </c>
      <c r="N8" s="4">
        <v>2297.62</v>
      </c>
      <c r="O8" s="1">
        <v>3.05</v>
      </c>
      <c r="P8" s="2">
        <v>102.63</v>
      </c>
      <c r="Q8" s="1">
        <v>217.1</v>
      </c>
      <c r="R8">
        <v>69.31</v>
      </c>
      <c r="S8">
        <v>1.28</v>
      </c>
      <c r="T8">
        <v>58</v>
      </c>
      <c r="U8">
        <v>447.75</v>
      </c>
      <c r="V8">
        <v>5.99</v>
      </c>
      <c r="W8">
        <v>5.42</v>
      </c>
      <c r="X8">
        <v>0.04</v>
      </c>
      <c r="Y8" s="1">
        <v>0.82</v>
      </c>
      <c r="Z8" s="1">
        <f t="shared" si="1"/>
        <v>8.1999999999999993</v>
      </c>
      <c r="AA8" s="1">
        <v>1.02</v>
      </c>
      <c r="AB8" s="1">
        <f t="shared" si="6"/>
        <v>71.328671328671334</v>
      </c>
      <c r="AC8" t="s">
        <v>44</v>
      </c>
      <c r="AD8">
        <f t="shared" si="2"/>
        <v>1.28</v>
      </c>
      <c r="AE8" s="6">
        <f t="shared" si="3"/>
        <v>0.90553851381374162</v>
      </c>
      <c r="AF8">
        <f t="shared" si="4"/>
        <v>1.0099504938362078</v>
      </c>
      <c r="AG8">
        <f t="shared" si="5"/>
        <v>58</v>
      </c>
    </row>
    <row r="9" spans="1:33" x14ac:dyDescent="0.5">
      <c r="A9" t="s">
        <v>81</v>
      </c>
      <c r="B9">
        <v>0</v>
      </c>
      <c r="C9">
        <v>0.15</v>
      </c>
      <c r="E9" s="4">
        <v>44.86</v>
      </c>
      <c r="H9" s="4">
        <v>14.36</v>
      </c>
      <c r="I9" s="4">
        <v>292.24</v>
      </c>
      <c r="J9" s="4"/>
      <c r="K9" s="4"/>
      <c r="L9" s="4">
        <v>16.329999999999998</v>
      </c>
      <c r="M9" s="1">
        <f t="shared" si="0"/>
        <v>4.5361111111111109E-2</v>
      </c>
      <c r="N9" s="4">
        <v>2053.9699999999998</v>
      </c>
      <c r="O9" s="1">
        <v>3.34</v>
      </c>
      <c r="P9" s="2">
        <v>100.86</v>
      </c>
      <c r="Q9">
        <v>222.75</v>
      </c>
      <c r="R9">
        <v>75.5</v>
      </c>
      <c r="S9">
        <v>1.34</v>
      </c>
      <c r="T9">
        <v>58</v>
      </c>
      <c r="U9">
        <v>401.93</v>
      </c>
      <c r="V9">
        <v>6.25</v>
      </c>
      <c r="W9">
        <v>6.66</v>
      </c>
      <c r="X9">
        <v>0.03</v>
      </c>
      <c r="Y9">
        <v>0.02</v>
      </c>
      <c r="Z9" s="1">
        <f t="shared" si="1"/>
        <v>0.2</v>
      </c>
      <c r="AA9">
        <v>0.03</v>
      </c>
      <c r="AB9" s="1">
        <f t="shared" si="6"/>
        <v>20</v>
      </c>
      <c r="AC9" t="s">
        <v>44</v>
      </c>
      <c r="AD9">
        <f t="shared" si="2"/>
        <v>1.34</v>
      </c>
      <c r="AE9" s="6">
        <f t="shared" si="3"/>
        <v>0.1414213562373095</v>
      </c>
      <c r="AF9">
        <f t="shared" si="4"/>
        <v>0.17320508075688773</v>
      </c>
      <c r="AG9">
        <f t="shared" si="5"/>
        <v>58</v>
      </c>
    </row>
    <row r="10" spans="1:33" x14ac:dyDescent="0.5">
      <c r="A10" t="s">
        <v>82</v>
      </c>
      <c r="B10">
        <v>0</v>
      </c>
      <c r="C10" s="3">
        <v>0.48</v>
      </c>
      <c r="D10" s="3">
        <v>5</v>
      </c>
      <c r="E10" s="4">
        <v>90.44</v>
      </c>
      <c r="F10" s="4"/>
      <c r="G10" s="4"/>
      <c r="H10" s="4">
        <v>47.5</v>
      </c>
      <c r="I10" s="4">
        <v>471.22</v>
      </c>
      <c r="J10" s="4"/>
      <c r="K10" s="4"/>
      <c r="L10" s="4">
        <v>22.4</v>
      </c>
      <c r="M10" s="1">
        <v>0.06</v>
      </c>
      <c r="N10" s="4">
        <v>2120.4899999999998</v>
      </c>
      <c r="O10">
        <v>2.93</v>
      </c>
      <c r="P10" s="2">
        <v>113.2</v>
      </c>
      <c r="Q10">
        <v>395.36</v>
      </c>
      <c r="R10">
        <v>65.27</v>
      </c>
      <c r="S10">
        <v>1.17</v>
      </c>
      <c r="T10">
        <v>58</v>
      </c>
      <c r="U10">
        <v>629.54</v>
      </c>
      <c r="V10">
        <v>4.49</v>
      </c>
      <c r="W10">
        <v>1.94</v>
      </c>
      <c r="X10">
        <v>0.19</v>
      </c>
      <c r="Y10" s="1">
        <v>0.23</v>
      </c>
      <c r="Z10" s="1">
        <f t="shared" ref="Z10:Z41" si="7">Y10*10</f>
        <v>2.3000000000000003</v>
      </c>
      <c r="AA10" s="1">
        <v>0.16312699999999999</v>
      </c>
      <c r="AB10" s="1">
        <f t="shared" si="6"/>
        <v>33.984791666666666</v>
      </c>
      <c r="AC10" t="s">
        <v>45</v>
      </c>
      <c r="AD10">
        <f t="shared" ref="AD10:AD41" si="8">S10</f>
        <v>1.17</v>
      </c>
      <c r="AE10" s="6">
        <f t="shared" si="3"/>
        <v>0.47958315233127197</v>
      </c>
      <c r="AF10">
        <f t="shared" ref="AF10:AF41" si="9">SQRT(AA10)</f>
        <v>0.4038898364653411</v>
      </c>
      <c r="AG10">
        <f t="shared" ref="AG10:AG41" si="10">T10</f>
        <v>58</v>
      </c>
    </row>
    <row r="11" spans="1:33" x14ac:dyDescent="0.5">
      <c r="A11" t="s">
        <v>83</v>
      </c>
      <c r="B11">
        <v>0</v>
      </c>
      <c r="C11" s="1">
        <v>2</v>
      </c>
      <c r="D11" s="4">
        <v>3</v>
      </c>
      <c r="E11" s="4">
        <v>89.81</v>
      </c>
      <c r="F11" s="4"/>
      <c r="G11" s="4"/>
      <c r="H11" s="4">
        <v>43.63</v>
      </c>
      <c r="I11" s="4">
        <v>529.48</v>
      </c>
      <c r="J11" s="4"/>
      <c r="K11" s="4"/>
      <c r="L11" s="4">
        <v>21</v>
      </c>
      <c r="M11" s="1">
        <f t="shared" ref="M11:M41" si="11">L11/360</f>
        <v>5.8333333333333334E-2</v>
      </c>
      <c r="N11" s="4">
        <v>2335.8000000000002</v>
      </c>
      <c r="O11">
        <v>3.04</v>
      </c>
      <c r="P11" s="2">
        <v>115.44</v>
      </c>
      <c r="Q11">
        <v>218.9</v>
      </c>
      <c r="R11">
        <v>69.31</v>
      </c>
      <c r="S11">
        <v>1.1499999999999999</v>
      </c>
      <c r="T11">
        <v>58</v>
      </c>
      <c r="U11">
        <v>644.79</v>
      </c>
      <c r="V11">
        <v>4.49</v>
      </c>
      <c r="W11">
        <v>1.94</v>
      </c>
      <c r="X11">
        <v>0.04</v>
      </c>
      <c r="Y11" s="1">
        <v>0.87</v>
      </c>
      <c r="Z11" s="1">
        <f t="shared" si="7"/>
        <v>8.6999999999999993</v>
      </c>
      <c r="AA11" s="1">
        <v>0.23</v>
      </c>
      <c r="AB11" s="1">
        <f t="shared" si="6"/>
        <v>11.5</v>
      </c>
      <c r="AC11" t="s">
        <v>44</v>
      </c>
      <c r="AD11">
        <f t="shared" si="8"/>
        <v>1.1499999999999999</v>
      </c>
      <c r="AE11" s="6">
        <f t="shared" ref="AE10:AE41" si="12">SQRT(Y11)</f>
        <v>0.93273790530888145</v>
      </c>
      <c r="AF11">
        <f t="shared" si="9"/>
        <v>0.47958315233127197</v>
      </c>
      <c r="AG11">
        <f t="shared" si="10"/>
        <v>58</v>
      </c>
    </row>
    <row r="12" spans="1:33" x14ac:dyDescent="0.5">
      <c r="A12" t="s">
        <v>86</v>
      </c>
      <c r="B12">
        <v>0</v>
      </c>
      <c r="C12" s="1">
        <v>0.228325</v>
      </c>
      <c r="D12" s="4"/>
      <c r="E12" s="4"/>
      <c r="F12" s="4"/>
      <c r="G12" s="4">
        <v>75.540000000000006</v>
      </c>
      <c r="H12" s="4">
        <v>76.7</v>
      </c>
      <c r="I12" s="4">
        <v>352.2944</v>
      </c>
      <c r="J12" s="4"/>
      <c r="K12" s="4"/>
      <c r="L12" s="4">
        <v>26.077649999999998</v>
      </c>
      <c r="M12" s="1">
        <f t="shared" si="11"/>
        <v>7.2437916666666657E-2</v>
      </c>
      <c r="N12" s="4">
        <v>2349.6654699999999</v>
      </c>
      <c r="O12">
        <v>1.28</v>
      </c>
      <c r="P12" s="2">
        <v>139.02000000000001</v>
      </c>
      <c r="Q12">
        <v>234.06</v>
      </c>
      <c r="R12">
        <v>65.349999999999994</v>
      </c>
      <c r="S12">
        <v>1.67</v>
      </c>
      <c r="T12">
        <v>67.42</v>
      </c>
      <c r="U12">
        <v>796.22</v>
      </c>
      <c r="V12">
        <v>4.8499999999999996</v>
      </c>
      <c r="W12">
        <v>7.09</v>
      </c>
      <c r="X12">
        <v>0.95</v>
      </c>
      <c r="Y12" s="1">
        <v>0.17512</v>
      </c>
      <c r="Z12" s="1">
        <f t="shared" si="7"/>
        <v>1.7511999999999999</v>
      </c>
      <c r="AA12" s="1">
        <v>0.21</v>
      </c>
      <c r="AB12" s="1">
        <f t="shared" si="6"/>
        <v>91.974159640862808</v>
      </c>
      <c r="AC12" t="s">
        <v>45</v>
      </c>
      <c r="AD12">
        <f t="shared" si="8"/>
        <v>1.67</v>
      </c>
      <c r="AE12" s="6">
        <f t="shared" si="12"/>
        <v>0.41847341612102434</v>
      </c>
      <c r="AF12">
        <f t="shared" si="9"/>
        <v>0.45825756949558399</v>
      </c>
      <c r="AG12">
        <f t="shared" si="10"/>
        <v>67.42</v>
      </c>
    </row>
    <row r="13" spans="1:33" x14ac:dyDescent="0.5">
      <c r="A13" t="s">
        <v>87</v>
      </c>
      <c r="B13">
        <v>1</v>
      </c>
      <c r="C13" s="1">
        <v>1.141357</v>
      </c>
      <c r="D13" s="4"/>
      <c r="E13" s="4"/>
      <c r="F13" s="4"/>
      <c r="G13" s="4">
        <v>73.98</v>
      </c>
      <c r="H13" s="4">
        <v>78.11</v>
      </c>
      <c r="I13" s="4">
        <v>775.46</v>
      </c>
      <c r="J13" s="4"/>
      <c r="K13" s="4"/>
      <c r="L13" s="4">
        <v>26.65</v>
      </c>
      <c r="M13" s="1">
        <f t="shared" si="11"/>
        <v>7.4027777777777776E-2</v>
      </c>
      <c r="N13" s="4">
        <v>2526.6209359999998</v>
      </c>
      <c r="O13">
        <v>1.28</v>
      </c>
      <c r="P13" s="2">
        <v>139.02000000000001</v>
      </c>
      <c r="Q13">
        <v>234.06</v>
      </c>
      <c r="R13">
        <v>65.349999999999994</v>
      </c>
      <c r="S13" s="1">
        <v>2.3210130000000002</v>
      </c>
      <c r="T13">
        <v>67.42</v>
      </c>
      <c r="U13">
        <v>796.22</v>
      </c>
      <c r="V13">
        <v>4.8499999999999996</v>
      </c>
      <c r="W13">
        <v>7.09</v>
      </c>
      <c r="X13">
        <v>0.95</v>
      </c>
      <c r="Y13">
        <v>0.89</v>
      </c>
      <c r="Z13" s="1">
        <f t="shared" si="7"/>
        <v>8.9</v>
      </c>
      <c r="AA13" s="1">
        <v>1.1259520000000001</v>
      </c>
      <c r="AB13" s="1">
        <f t="shared" si="6"/>
        <v>98.650290838011259</v>
      </c>
      <c r="AC13" t="s">
        <v>45</v>
      </c>
      <c r="AD13" s="1">
        <f t="shared" si="8"/>
        <v>2.3210130000000002</v>
      </c>
      <c r="AE13" s="6">
        <f t="shared" si="12"/>
        <v>0.94339811320566036</v>
      </c>
      <c r="AF13">
        <f t="shared" si="9"/>
        <v>1.0611088539824745</v>
      </c>
      <c r="AG13">
        <f t="shared" si="10"/>
        <v>67.42</v>
      </c>
    </row>
    <row r="14" spans="1:33" x14ac:dyDescent="0.5">
      <c r="A14" t="s">
        <v>88</v>
      </c>
      <c r="B14">
        <v>0</v>
      </c>
      <c r="C14" s="1">
        <v>0.433226</v>
      </c>
      <c r="D14" s="4"/>
      <c r="E14" s="4"/>
      <c r="F14" s="4"/>
      <c r="G14" s="4">
        <v>86.27</v>
      </c>
      <c r="H14" s="4">
        <v>68.67</v>
      </c>
      <c r="I14" s="4">
        <v>416.75</v>
      </c>
      <c r="J14" s="4"/>
      <c r="K14" s="4"/>
      <c r="L14" s="4">
        <v>24.66</v>
      </c>
      <c r="M14" s="1">
        <f t="shared" si="11"/>
        <v>6.8500000000000005E-2</v>
      </c>
      <c r="N14" s="4">
        <v>2365.456576</v>
      </c>
      <c r="O14">
        <v>1.28</v>
      </c>
      <c r="P14" s="2">
        <v>139.02000000000001</v>
      </c>
      <c r="Q14">
        <v>234.06</v>
      </c>
      <c r="R14">
        <v>65.349999999999994</v>
      </c>
      <c r="S14">
        <v>1.67</v>
      </c>
      <c r="T14">
        <v>67.42</v>
      </c>
      <c r="U14">
        <v>796.22</v>
      </c>
      <c r="V14">
        <v>4.8499999999999996</v>
      </c>
      <c r="W14">
        <v>7.09</v>
      </c>
      <c r="X14">
        <v>0.95</v>
      </c>
      <c r="Y14" s="1">
        <v>0.29747499999999999</v>
      </c>
      <c r="Z14" s="1">
        <f t="shared" si="7"/>
        <v>2.9747499999999998</v>
      </c>
      <c r="AA14" s="1">
        <v>0.42589100000000002</v>
      </c>
      <c r="AB14" s="1">
        <f t="shared" si="6"/>
        <v>98.306888321568891</v>
      </c>
      <c r="AC14" t="s">
        <v>45</v>
      </c>
      <c r="AD14">
        <f t="shared" si="8"/>
        <v>1.67</v>
      </c>
      <c r="AE14" s="6">
        <f t="shared" si="12"/>
        <v>0.54541268778788043</v>
      </c>
      <c r="AF14">
        <f t="shared" si="9"/>
        <v>0.65260324853619911</v>
      </c>
      <c r="AG14">
        <f t="shared" si="10"/>
        <v>67.42</v>
      </c>
    </row>
    <row r="15" spans="1:33" x14ac:dyDescent="0.5">
      <c r="A15" t="s">
        <v>121</v>
      </c>
      <c r="B15">
        <v>1</v>
      </c>
      <c r="C15" s="1">
        <v>1.876428</v>
      </c>
      <c r="D15" s="4"/>
      <c r="E15" s="4"/>
      <c r="F15" s="4"/>
      <c r="G15" s="4">
        <v>78.53</v>
      </c>
      <c r="H15" s="4">
        <v>28.77</v>
      </c>
      <c r="I15" s="4">
        <v>830.24</v>
      </c>
      <c r="J15" s="4"/>
      <c r="K15" s="4"/>
      <c r="L15" s="4">
        <v>23.77</v>
      </c>
      <c r="M15" s="1">
        <f t="shared" si="11"/>
        <v>6.6027777777777782E-2</v>
      </c>
      <c r="N15" s="4">
        <v>2548.769049</v>
      </c>
      <c r="O15">
        <v>1.31</v>
      </c>
      <c r="P15" s="2">
        <v>135.47</v>
      </c>
      <c r="Q15">
        <v>259.27999999999997</v>
      </c>
      <c r="R15">
        <v>70.430000000000007</v>
      </c>
      <c r="S15">
        <v>0.45</v>
      </c>
      <c r="T15">
        <v>68</v>
      </c>
      <c r="U15">
        <v>649.52</v>
      </c>
      <c r="V15">
        <v>6.21</v>
      </c>
      <c r="W15">
        <v>3.07</v>
      </c>
      <c r="X15">
        <v>0.3</v>
      </c>
      <c r="Y15" s="1">
        <v>1.068181</v>
      </c>
      <c r="Z15" s="1">
        <f t="shared" si="7"/>
        <v>10.68181</v>
      </c>
      <c r="AA15" s="1">
        <v>1.413918</v>
      </c>
      <c r="AB15" s="1">
        <f t="shared" si="6"/>
        <v>75.351572242580062</v>
      </c>
      <c r="AC15" t="s">
        <v>44</v>
      </c>
      <c r="AD15">
        <f t="shared" si="8"/>
        <v>0.45</v>
      </c>
      <c r="AE15" s="6">
        <f t="shared" si="12"/>
        <v>1.0335284224442016</v>
      </c>
      <c r="AF15">
        <f t="shared" si="9"/>
        <v>1.1890828398391762</v>
      </c>
      <c r="AG15">
        <f t="shared" si="10"/>
        <v>68</v>
      </c>
    </row>
    <row r="16" spans="1:33" x14ac:dyDescent="0.5">
      <c r="A16" t="s">
        <v>122</v>
      </c>
      <c r="B16">
        <v>0</v>
      </c>
      <c r="C16" s="1">
        <v>2.5307620000000002</v>
      </c>
      <c r="D16" s="4"/>
      <c r="E16" s="4"/>
      <c r="F16" s="4"/>
      <c r="G16" s="4">
        <v>83.18</v>
      </c>
      <c r="H16" s="4">
        <f>(Y16/C16)*100</f>
        <v>28.773112604029933</v>
      </c>
      <c r="I16" s="4">
        <v>769.16</v>
      </c>
      <c r="J16" s="4"/>
      <c r="K16" s="4"/>
      <c r="L16" s="4">
        <v>16.510000000000002</v>
      </c>
      <c r="M16" s="1">
        <f t="shared" si="11"/>
        <v>4.5861111111111116E-2</v>
      </c>
      <c r="N16" s="4">
        <v>2472.8270809999999</v>
      </c>
      <c r="O16">
        <v>1.1200000000000001</v>
      </c>
      <c r="P16" s="2">
        <v>127.23</v>
      </c>
      <c r="Q16">
        <v>306.94</v>
      </c>
      <c r="R16">
        <v>28.14</v>
      </c>
      <c r="S16" s="1">
        <v>1.6155310000000001</v>
      </c>
      <c r="T16">
        <v>68</v>
      </c>
      <c r="U16">
        <v>611.97</v>
      </c>
      <c r="V16">
        <v>6.74</v>
      </c>
      <c r="W16">
        <v>4.1500000000000004</v>
      </c>
      <c r="X16">
        <v>3.66</v>
      </c>
      <c r="Y16" s="1">
        <v>0.72817900000000002</v>
      </c>
      <c r="Z16" s="1">
        <f t="shared" si="7"/>
        <v>7.28179</v>
      </c>
      <c r="AA16" s="1">
        <v>2.23</v>
      </c>
      <c r="AB16" s="1">
        <f t="shared" si="6"/>
        <v>88.115753279051916</v>
      </c>
      <c r="AC16" t="s">
        <v>44</v>
      </c>
      <c r="AD16" s="1">
        <f t="shared" si="8"/>
        <v>1.6155310000000001</v>
      </c>
      <c r="AE16" s="6">
        <f t="shared" si="12"/>
        <v>0.85333404947886615</v>
      </c>
      <c r="AF16">
        <f t="shared" si="9"/>
        <v>1.4933184523068079</v>
      </c>
      <c r="AG16">
        <f t="shared" si="10"/>
        <v>68</v>
      </c>
    </row>
    <row r="17" spans="1:33" x14ac:dyDescent="0.5">
      <c r="A17" t="s">
        <v>123</v>
      </c>
      <c r="B17">
        <v>0</v>
      </c>
      <c r="C17" s="1">
        <v>3.0646089999999999</v>
      </c>
      <c r="D17" s="4"/>
      <c r="E17" s="4"/>
      <c r="F17" s="4"/>
      <c r="G17" s="4">
        <v>49.84</v>
      </c>
      <c r="H17" s="4">
        <f>(Y17/C17)*100</f>
        <v>14.885778831616268</v>
      </c>
      <c r="I17" s="4">
        <v>473.12</v>
      </c>
      <c r="J17" s="4"/>
      <c r="K17" s="4"/>
      <c r="L17" s="4">
        <v>13.42</v>
      </c>
      <c r="M17" s="1">
        <f t="shared" si="11"/>
        <v>3.7277777777777778E-2</v>
      </c>
      <c r="N17" s="4">
        <v>2260.715678</v>
      </c>
      <c r="O17">
        <v>1.1200000000000001</v>
      </c>
      <c r="P17" s="2">
        <v>100.01</v>
      </c>
      <c r="Q17">
        <v>310.27999999999997</v>
      </c>
      <c r="R17">
        <v>99.45</v>
      </c>
      <c r="S17">
        <v>1.67</v>
      </c>
      <c r="T17">
        <v>68</v>
      </c>
      <c r="U17">
        <v>509.48</v>
      </c>
      <c r="V17">
        <v>7.32</v>
      </c>
      <c r="W17">
        <v>8.2799999999999994</v>
      </c>
      <c r="X17">
        <v>0.11</v>
      </c>
      <c r="Y17" s="1">
        <v>0.45619091779380699</v>
      </c>
      <c r="Z17" s="1">
        <f t="shared" si="7"/>
        <v>4.5619091779380696</v>
      </c>
      <c r="AA17" s="1">
        <v>2.253244</v>
      </c>
      <c r="AB17" s="1">
        <f t="shared" si="6"/>
        <v>73.524681288869147</v>
      </c>
      <c r="AC17" t="s">
        <v>44</v>
      </c>
      <c r="AD17">
        <f t="shared" si="8"/>
        <v>1.67</v>
      </c>
      <c r="AE17" s="6">
        <f t="shared" si="12"/>
        <v>0.6754190682782113</v>
      </c>
      <c r="AF17">
        <f t="shared" si="9"/>
        <v>1.5010809438534618</v>
      </c>
      <c r="AG17">
        <f t="shared" si="10"/>
        <v>68</v>
      </c>
    </row>
    <row r="18" spans="1:33" x14ac:dyDescent="0.5">
      <c r="A18" t="s">
        <v>116</v>
      </c>
      <c r="B18">
        <v>0</v>
      </c>
      <c r="C18" s="1">
        <v>2.5307620000000002</v>
      </c>
      <c r="D18" s="4"/>
      <c r="E18" s="4"/>
      <c r="F18" s="4"/>
      <c r="G18" s="4">
        <v>83.18</v>
      </c>
      <c r="H18" s="4">
        <v>28.773112604029933</v>
      </c>
      <c r="I18" s="4">
        <v>769.16</v>
      </c>
      <c r="J18" s="4"/>
      <c r="K18" s="4"/>
      <c r="L18" s="4">
        <v>16.510000000000002</v>
      </c>
      <c r="M18" s="1">
        <f t="shared" si="11"/>
        <v>4.5861111111111116E-2</v>
      </c>
      <c r="N18" s="4">
        <v>2472.8270809999999</v>
      </c>
      <c r="O18">
        <v>1.1200000000000001</v>
      </c>
      <c r="P18" s="2">
        <v>127.23</v>
      </c>
      <c r="Q18">
        <v>306.94</v>
      </c>
      <c r="R18">
        <v>28.14</v>
      </c>
      <c r="S18">
        <v>0.6</v>
      </c>
      <c r="T18">
        <v>68</v>
      </c>
      <c r="U18">
        <v>611.97</v>
      </c>
      <c r="V18">
        <v>6.74</v>
      </c>
      <c r="W18">
        <v>4.1500000000000004</v>
      </c>
      <c r="X18">
        <v>3.66</v>
      </c>
      <c r="Y18" s="1">
        <v>0.72817900000000002</v>
      </c>
      <c r="Z18" s="1">
        <f t="shared" si="7"/>
        <v>7.28179</v>
      </c>
      <c r="AA18" s="1">
        <v>2.23</v>
      </c>
      <c r="AB18" s="1">
        <f t="shared" si="6"/>
        <v>88.115753279051916</v>
      </c>
      <c r="AC18" t="s">
        <v>44</v>
      </c>
      <c r="AD18">
        <f t="shared" si="8"/>
        <v>0.6</v>
      </c>
      <c r="AE18" s="6">
        <f t="shared" si="12"/>
        <v>0.85333404947886615</v>
      </c>
      <c r="AF18">
        <f t="shared" si="9"/>
        <v>1.4933184523068079</v>
      </c>
      <c r="AG18">
        <f t="shared" si="10"/>
        <v>68</v>
      </c>
    </row>
    <row r="19" spans="1:33" x14ac:dyDescent="0.5">
      <c r="A19" t="s">
        <v>124</v>
      </c>
      <c r="B19">
        <v>1</v>
      </c>
      <c r="C19" s="1">
        <v>2.5307620000000002</v>
      </c>
      <c r="D19" s="4"/>
      <c r="E19" s="4"/>
      <c r="F19" s="4"/>
      <c r="G19" s="4">
        <v>83.18</v>
      </c>
      <c r="H19" s="4">
        <v>28.77</v>
      </c>
      <c r="I19" s="4">
        <v>769.16</v>
      </c>
      <c r="J19" s="4"/>
      <c r="K19" s="4"/>
      <c r="L19" s="4">
        <v>16.510000000000002</v>
      </c>
      <c r="M19" s="1">
        <f t="shared" si="11"/>
        <v>4.5861111111111116E-2</v>
      </c>
      <c r="N19" s="4">
        <v>2472.8270809999999</v>
      </c>
      <c r="O19">
        <v>1.1200000000000001</v>
      </c>
      <c r="P19" s="2">
        <v>127.23</v>
      </c>
      <c r="Q19">
        <v>306.94</v>
      </c>
      <c r="R19">
        <v>28.14</v>
      </c>
      <c r="S19">
        <v>0.6</v>
      </c>
      <c r="T19">
        <v>68</v>
      </c>
      <c r="U19">
        <v>611.97</v>
      </c>
      <c r="V19">
        <v>6.74</v>
      </c>
      <c r="W19">
        <v>4.1500000000000004</v>
      </c>
      <c r="X19">
        <v>3.66</v>
      </c>
      <c r="Y19" s="1">
        <v>0.72817900000000002</v>
      </c>
      <c r="Z19" s="1">
        <f t="shared" si="7"/>
        <v>7.28179</v>
      </c>
      <c r="AA19" s="1">
        <v>2.23</v>
      </c>
      <c r="AB19" s="1">
        <f t="shared" si="6"/>
        <v>88.115753279051916</v>
      </c>
      <c r="AC19" t="s">
        <v>44</v>
      </c>
      <c r="AD19">
        <f t="shared" si="8"/>
        <v>0.6</v>
      </c>
      <c r="AE19" s="6">
        <f t="shared" si="12"/>
        <v>0.85333404947886615</v>
      </c>
      <c r="AF19">
        <f t="shared" si="9"/>
        <v>1.4933184523068079</v>
      </c>
      <c r="AG19">
        <f t="shared" si="10"/>
        <v>68</v>
      </c>
    </row>
    <row r="20" spans="1:33" x14ac:dyDescent="0.5">
      <c r="A20" t="s">
        <v>119</v>
      </c>
      <c r="B20">
        <v>1</v>
      </c>
      <c r="C20" s="1">
        <v>1.876428</v>
      </c>
      <c r="D20" s="4"/>
      <c r="E20" s="4"/>
      <c r="F20" s="4"/>
      <c r="G20" s="4">
        <v>78.53</v>
      </c>
      <c r="H20" s="4">
        <v>56.926298264575038</v>
      </c>
      <c r="I20" s="4">
        <v>830.24</v>
      </c>
      <c r="J20" s="4"/>
      <c r="K20" s="4"/>
      <c r="L20" s="4">
        <v>23.77</v>
      </c>
      <c r="M20" s="1">
        <f t="shared" si="11"/>
        <v>6.6027777777777782E-2</v>
      </c>
      <c r="N20" s="4">
        <v>2548.769049</v>
      </c>
      <c r="O20">
        <v>1.31</v>
      </c>
      <c r="P20" s="2">
        <v>135.47</v>
      </c>
      <c r="Q20">
        <v>259.27999999999997</v>
      </c>
      <c r="R20">
        <v>70.430000000000007</v>
      </c>
      <c r="S20">
        <v>0.45</v>
      </c>
      <c r="T20">
        <v>68</v>
      </c>
      <c r="U20">
        <v>649.52</v>
      </c>
      <c r="V20">
        <v>6.21</v>
      </c>
      <c r="W20">
        <v>3.07</v>
      </c>
      <c r="X20">
        <v>0.3</v>
      </c>
      <c r="Y20" s="1">
        <v>1.068181</v>
      </c>
      <c r="Z20" s="1">
        <f t="shared" si="7"/>
        <v>10.68181</v>
      </c>
      <c r="AA20" s="1">
        <v>1.413918</v>
      </c>
      <c r="AB20" s="1">
        <f t="shared" si="6"/>
        <v>75.351572242580062</v>
      </c>
      <c r="AC20" t="s">
        <v>44</v>
      </c>
      <c r="AD20">
        <f t="shared" si="8"/>
        <v>0.45</v>
      </c>
      <c r="AE20" s="6">
        <f t="shared" si="12"/>
        <v>1.0335284224442016</v>
      </c>
      <c r="AF20">
        <f t="shared" si="9"/>
        <v>1.1890828398391762</v>
      </c>
      <c r="AG20">
        <f t="shared" si="10"/>
        <v>68</v>
      </c>
    </row>
    <row r="21" spans="1:33" x14ac:dyDescent="0.5">
      <c r="A21" t="s">
        <v>125</v>
      </c>
      <c r="B21">
        <v>0</v>
      </c>
      <c r="C21" s="1">
        <v>3.0646089999999999</v>
      </c>
      <c r="D21" s="4"/>
      <c r="E21" s="4"/>
      <c r="F21" s="4"/>
      <c r="G21" s="4">
        <v>49.5545108690864</v>
      </c>
      <c r="H21" s="4">
        <v>14.89</v>
      </c>
      <c r="I21" s="4">
        <v>473.12</v>
      </c>
      <c r="J21" s="4"/>
      <c r="K21" s="4"/>
      <c r="L21" s="4">
        <v>13.42</v>
      </c>
      <c r="M21" s="1">
        <f t="shared" si="11"/>
        <v>3.7277777777777778E-2</v>
      </c>
      <c r="N21" s="4">
        <v>2260.715678</v>
      </c>
      <c r="O21" s="2">
        <v>1.1200000000000001</v>
      </c>
      <c r="P21" s="2">
        <v>100.01</v>
      </c>
      <c r="Q21" s="2">
        <v>310.27999999999997</v>
      </c>
      <c r="R21" s="2">
        <v>99.45</v>
      </c>
      <c r="S21" s="2">
        <v>1.67</v>
      </c>
      <c r="T21" s="2">
        <v>68</v>
      </c>
      <c r="U21" s="2">
        <v>509.48</v>
      </c>
      <c r="V21" s="2">
        <v>7.32</v>
      </c>
      <c r="W21" s="2">
        <v>8.2799999999999994</v>
      </c>
      <c r="X21" s="2">
        <v>0.11</v>
      </c>
      <c r="Y21" s="2">
        <v>0.45619091779380699</v>
      </c>
      <c r="Z21" s="1">
        <f t="shared" si="7"/>
        <v>4.5619091779380696</v>
      </c>
      <c r="AA21" s="1">
        <v>2.253244</v>
      </c>
      <c r="AB21" s="1">
        <f t="shared" si="6"/>
        <v>73.524681288869147</v>
      </c>
      <c r="AC21" t="s">
        <v>44</v>
      </c>
      <c r="AD21">
        <f t="shared" si="8"/>
        <v>1.67</v>
      </c>
      <c r="AE21" s="6">
        <f t="shared" si="12"/>
        <v>0.6754190682782113</v>
      </c>
      <c r="AF21">
        <f t="shared" si="9"/>
        <v>1.5010809438534618</v>
      </c>
      <c r="AG21">
        <f t="shared" si="10"/>
        <v>68</v>
      </c>
    </row>
    <row r="22" spans="1:33" x14ac:dyDescent="0.5">
      <c r="A22" t="s">
        <v>118</v>
      </c>
      <c r="B22">
        <v>1</v>
      </c>
      <c r="C22" s="1">
        <v>3.717006</v>
      </c>
      <c r="D22" s="4"/>
      <c r="E22" s="4"/>
      <c r="F22" s="4"/>
      <c r="G22" s="4">
        <v>67.319999999999993</v>
      </c>
      <c r="H22" s="4">
        <v>18.149999999999999</v>
      </c>
      <c r="I22" s="4">
        <v>601.67999999999995</v>
      </c>
      <c r="J22" s="4"/>
      <c r="K22" s="4"/>
      <c r="L22" s="4">
        <v>16.079999999999998</v>
      </c>
      <c r="M22" s="1">
        <f t="shared" si="11"/>
        <v>4.466666666666666E-2</v>
      </c>
      <c r="N22" s="4">
        <v>2737.0620020000001</v>
      </c>
      <c r="O22">
        <v>1.32</v>
      </c>
      <c r="P22" s="2">
        <v>151.88</v>
      </c>
      <c r="Q22">
        <v>311.77999999999997</v>
      </c>
      <c r="R22">
        <v>73.849999999999994</v>
      </c>
      <c r="S22">
        <v>1.59</v>
      </c>
      <c r="T22">
        <v>65.2</v>
      </c>
      <c r="U22">
        <v>734.27</v>
      </c>
      <c r="V22">
        <v>5.23</v>
      </c>
      <c r="W22">
        <v>0.38</v>
      </c>
      <c r="X22">
        <v>0.04</v>
      </c>
      <c r="Y22" s="1">
        <v>0.67466099999999996</v>
      </c>
      <c r="Z22" s="1">
        <f t="shared" si="7"/>
        <v>6.7466099999999996</v>
      </c>
      <c r="AA22" s="1">
        <v>2.9156819999999999</v>
      </c>
      <c r="AB22" s="1">
        <f t="shared" si="6"/>
        <v>78.441681288650059</v>
      </c>
      <c r="AC22" t="s">
        <v>44</v>
      </c>
      <c r="AD22">
        <f t="shared" si="8"/>
        <v>1.59</v>
      </c>
      <c r="AE22" s="6">
        <f t="shared" si="12"/>
        <v>0.82137750151802913</v>
      </c>
      <c r="AF22">
        <f t="shared" si="9"/>
        <v>1.7075368224433698</v>
      </c>
      <c r="AG22">
        <f t="shared" si="10"/>
        <v>65.2</v>
      </c>
    </row>
    <row r="23" spans="1:33" x14ac:dyDescent="0.5">
      <c r="A23" t="s">
        <v>89</v>
      </c>
      <c r="B23">
        <v>0</v>
      </c>
      <c r="C23" s="1">
        <v>0.87793200000000005</v>
      </c>
      <c r="D23" s="4"/>
      <c r="E23" s="4"/>
      <c r="F23" s="4"/>
      <c r="G23" s="4">
        <v>91.43</v>
      </c>
      <c r="H23" s="4">
        <v>19.98</v>
      </c>
      <c r="I23" s="4">
        <v>394.29</v>
      </c>
      <c r="J23" s="4"/>
      <c r="K23" s="4"/>
      <c r="L23" s="4">
        <v>17.27</v>
      </c>
      <c r="M23" s="1">
        <f t="shared" si="11"/>
        <v>4.7972222222222222E-2</v>
      </c>
      <c r="N23" s="4">
        <v>2828.347608</v>
      </c>
      <c r="O23">
        <v>1.32</v>
      </c>
      <c r="P23" s="2">
        <v>151.44999999999999</v>
      </c>
      <c r="Q23">
        <v>289.39</v>
      </c>
      <c r="R23">
        <v>74.010000000000005</v>
      </c>
      <c r="S23">
        <v>1.59</v>
      </c>
      <c r="T23">
        <v>65.23</v>
      </c>
      <c r="U23">
        <v>796.38</v>
      </c>
      <c r="V23">
        <v>4.84</v>
      </c>
      <c r="W23">
        <v>0.67</v>
      </c>
      <c r="X23">
        <v>0.04</v>
      </c>
      <c r="Y23" s="1">
        <v>0.175431</v>
      </c>
      <c r="Z23" s="1">
        <f t="shared" si="7"/>
        <v>1.75431</v>
      </c>
      <c r="AA23" s="1">
        <v>0.805037</v>
      </c>
      <c r="AB23" s="1">
        <f t="shared" si="6"/>
        <v>91.69696514080816</v>
      </c>
      <c r="AC23" t="s">
        <v>45</v>
      </c>
      <c r="AD23">
        <f t="shared" si="8"/>
        <v>1.59</v>
      </c>
      <c r="AE23" s="6">
        <f t="shared" si="12"/>
        <v>0.41884484000641575</v>
      </c>
      <c r="AF23">
        <f t="shared" si="9"/>
        <v>0.89723854130325897</v>
      </c>
      <c r="AG23">
        <f t="shared" si="10"/>
        <v>65.23</v>
      </c>
    </row>
    <row r="24" spans="1:33" x14ac:dyDescent="0.5">
      <c r="A24" t="s">
        <v>120</v>
      </c>
      <c r="B24">
        <v>1</v>
      </c>
      <c r="C24" s="1">
        <v>3.717006</v>
      </c>
      <c r="D24" s="4"/>
      <c r="E24" s="4"/>
      <c r="F24" s="4"/>
      <c r="G24" s="4">
        <v>67.319999999999993</v>
      </c>
      <c r="H24" s="4">
        <v>18.149999999999999</v>
      </c>
      <c r="I24" s="4">
        <v>601.67999999999995</v>
      </c>
      <c r="J24" s="4"/>
      <c r="K24" s="4"/>
      <c r="L24" s="4">
        <v>16.079999999999998</v>
      </c>
      <c r="M24" s="1">
        <f t="shared" si="11"/>
        <v>4.466666666666666E-2</v>
      </c>
      <c r="N24" s="4">
        <v>2737.0620020000001</v>
      </c>
      <c r="O24">
        <v>1.32</v>
      </c>
      <c r="P24" s="2">
        <v>151.88</v>
      </c>
      <c r="Q24">
        <v>311.77999999999997</v>
      </c>
      <c r="R24">
        <v>73.849999999999994</v>
      </c>
      <c r="S24">
        <v>1.59</v>
      </c>
      <c r="T24">
        <v>65.2</v>
      </c>
      <c r="U24">
        <v>734.27</v>
      </c>
      <c r="V24">
        <v>5.23</v>
      </c>
      <c r="W24">
        <v>0.38</v>
      </c>
      <c r="X24">
        <v>0.04</v>
      </c>
      <c r="Y24" s="1">
        <v>0.67466099999999996</v>
      </c>
      <c r="Z24" s="1">
        <f t="shared" si="7"/>
        <v>6.7466099999999996</v>
      </c>
      <c r="AA24" s="1">
        <v>2.9156819999999999</v>
      </c>
      <c r="AB24" s="1">
        <f t="shared" si="6"/>
        <v>78.441681288650059</v>
      </c>
      <c r="AC24" t="s">
        <v>44</v>
      </c>
      <c r="AD24">
        <f t="shared" si="8"/>
        <v>1.59</v>
      </c>
      <c r="AE24" s="6">
        <f t="shared" si="12"/>
        <v>0.82137750151802913</v>
      </c>
      <c r="AF24">
        <f t="shared" si="9"/>
        <v>1.7075368224433698</v>
      </c>
      <c r="AG24">
        <f t="shared" si="10"/>
        <v>65.2</v>
      </c>
    </row>
    <row r="25" spans="1:33" x14ac:dyDescent="0.5">
      <c r="A25" t="s">
        <v>153</v>
      </c>
      <c r="B25">
        <v>0</v>
      </c>
      <c r="C25" s="1">
        <v>0.51</v>
      </c>
      <c r="D25" s="4"/>
      <c r="E25" s="4"/>
      <c r="F25" s="4"/>
      <c r="G25" s="4">
        <v>96.74</v>
      </c>
      <c r="H25" s="4">
        <v>81.45</v>
      </c>
      <c r="I25" s="4">
        <v>674.79</v>
      </c>
      <c r="J25" s="4"/>
      <c r="K25" s="4"/>
      <c r="L25" s="4">
        <v>29.88</v>
      </c>
      <c r="M25" s="1">
        <f t="shared" si="11"/>
        <v>8.299999999999999E-2</v>
      </c>
      <c r="N25" s="4">
        <v>2744.48</v>
      </c>
      <c r="O25" s="1">
        <v>1.33</v>
      </c>
      <c r="P25" s="2">
        <v>136.69999999999999</v>
      </c>
      <c r="Q25">
        <v>221.83</v>
      </c>
      <c r="R25">
        <v>76.19</v>
      </c>
      <c r="S25">
        <v>0.87</v>
      </c>
      <c r="T25">
        <v>30.37</v>
      </c>
      <c r="U25">
        <v>699.27</v>
      </c>
      <c r="V25">
        <v>4.88</v>
      </c>
      <c r="W25">
        <v>6.46</v>
      </c>
      <c r="X25">
        <v>0.06</v>
      </c>
      <c r="Y25" s="1">
        <v>0.41</v>
      </c>
      <c r="Z25" s="1">
        <f t="shared" si="7"/>
        <v>4.0999999999999996</v>
      </c>
      <c r="AA25" s="1">
        <v>0.48</v>
      </c>
      <c r="AB25" s="1">
        <f t="shared" si="6"/>
        <v>94.117647058823522</v>
      </c>
      <c r="AC25" t="s">
        <v>45</v>
      </c>
      <c r="AD25">
        <f t="shared" si="8"/>
        <v>0.87</v>
      </c>
      <c r="AE25" s="6">
        <f t="shared" si="12"/>
        <v>0.6403124237432849</v>
      </c>
      <c r="AF25">
        <f t="shared" si="9"/>
        <v>0.69282032302755092</v>
      </c>
      <c r="AG25">
        <f t="shared" si="10"/>
        <v>30.37</v>
      </c>
    </row>
    <row r="26" spans="1:33" x14ac:dyDescent="0.5">
      <c r="A26" t="s">
        <v>154</v>
      </c>
      <c r="B26">
        <v>0</v>
      </c>
      <c r="C26" s="1">
        <v>7.0000000000000007E-2</v>
      </c>
      <c r="D26" s="4"/>
      <c r="E26" s="4"/>
      <c r="F26" s="4"/>
      <c r="G26" s="4">
        <v>100</v>
      </c>
      <c r="H26" s="4">
        <v>86.98</v>
      </c>
      <c r="I26" s="4">
        <v>360.02</v>
      </c>
      <c r="J26" s="4"/>
      <c r="K26" s="4"/>
      <c r="L26" s="4">
        <v>32.380000000000003</v>
      </c>
      <c r="M26" s="1">
        <f t="shared" si="11"/>
        <v>8.9944444444444452E-2</v>
      </c>
      <c r="N26" s="4">
        <v>2560.06</v>
      </c>
      <c r="O26" s="1">
        <v>1.33</v>
      </c>
      <c r="P26" s="2">
        <v>136.69999999999999</v>
      </c>
      <c r="Q26">
        <v>221.83</v>
      </c>
      <c r="R26">
        <v>76.19</v>
      </c>
      <c r="S26">
        <v>0.87</v>
      </c>
      <c r="T26">
        <v>30.37</v>
      </c>
      <c r="U26">
        <v>699.27</v>
      </c>
      <c r="V26">
        <v>4.88</v>
      </c>
      <c r="W26">
        <v>6.46</v>
      </c>
      <c r="X26">
        <v>0.06</v>
      </c>
      <c r="Y26" s="1">
        <v>0.06</v>
      </c>
      <c r="Z26" s="1">
        <f t="shared" si="7"/>
        <v>0.6</v>
      </c>
      <c r="AA26" s="1">
        <v>0.06</v>
      </c>
      <c r="AB26" s="1">
        <f t="shared" si="6"/>
        <v>85.714285714285694</v>
      </c>
      <c r="AC26" t="s">
        <v>45</v>
      </c>
      <c r="AD26">
        <f t="shared" si="8"/>
        <v>0.87</v>
      </c>
      <c r="AE26" s="6">
        <f t="shared" si="12"/>
        <v>0.2449489742783178</v>
      </c>
      <c r="AF26">
        <f t="shared" si="9"/>
        <v>0.2449489742783178</v>
      </c>
      <c r="AG26">
        <f t="shared" si="10"/>
        <v>30.37</v>
      </c>
    </row>
    <row r="27" spans="1:33" x14ac:dyDescent="0.5">
      <c r="A27" t="s">
        <v>155</v>
      </c>
      <c r="B27">
        <v>0</v>
      </c>
      <c r="C27" s="1">
        <v>0.12</v>
      </c>
      <c r="D27" s="4"/>
      <c r="E27" s="4"/>
      <c r="F27" s="4"/>
      <c r="G27" s="4">
        <v>100</v>
      </c>
      <c r="H27" s="4">
        <v>82.04</v>
      </c>
      <c r="I27" s="4">
        <v>510.37</v>
      </c>
      <c r="J27" s="4"/>
      <c r="K27" s="4"/>
      <c r="L27" s="4">
        <v>28.93</v>
      </c>
      <c r="M27" s="1">
        <f t="shared" si="11"/>
        <v>8.0361111111111105E-2</v>
      </c>
      <c r="N27" s="4">
        <v>2641.1</v>
      </c>
      <c r="O27" s="1">
        <v>1.33</v>
      </c>
      <c r="P27" s="2">
        <v>136.69999999999999</v>
      </c>
      <c r="Q27">
        <v>221.83</v>
      </c>
      <c r="R27">
        <v>76.19</v>
      </c>
      <c r="S27">
        <v>0.87</v>
      </c>
      <c r="T27">
        <v>30.37</v>
      </c>
      <c r="U27">
        <v>699.27</v>
      </c>
      <c r="V27">
        <v>4.88</v>
      </c>
      <c r="W27">
        <v>6.46</v>
      </c>
      <c r="X27">
        <v>0.06</v>
      </c>
      <c r="Y27" s="1">
        <v>0.1</v>
      </c>
      <c r="Z27" s="1">
        <f t="shared" si="7"/>
        <v>1</v>
      </c>
      <c r="AA27" s="1">
        <v>0.12</v>
      </c>
      <c r="AB27" s="1">
        <f t="shared" si="6"/>
        <v>100</v>
      </c>
      <c r="AC27" t="s">
        <v>45</v>
      </c>
      <c r="AD27">
        <f t="shared" si="8"/>
        <v>0.87</v>
      </c>
      <c r="AE27" s="6">
        <f t="shared" si="12"/>
        <v>0.31622776601683794</v>
      </c>
      <c r="AF27">
        <f t="shared" si="9"/>
        <v>0.34641016151377546</v>
      </c>
      <c r="AG27">
        <f t="shared" si="10"/>
        <v>30.37</v>
      </c>
    </row>
    <row r="28" spans="1:33" x14ac:dyDescent="0.5">
      <c r="A28" t="s">
        <v>156</v>
      </c>
      <c r="B28">
        <v>0</v>
      </c>
      <c r="C28" s="1">
        <v>0.78</v>
      </c>
      <c r="D28" s="4"/>
      <c r="E28" s="4"/>
      <c r="F28" s="4"/>
      <c r="G28" s="4">
        <v>94.53</v>
      </c>
      <c r="H28" s="4">
        <v>78.72</v>
      </c>
      <c r="I28" s="4">
        <v>828.3</v>
      </c>
      <c r="J28" s="4"/>
      <c r="K28" s="4"/>
      <c r="L28" s="4">
        <v>28.74</v>
      </c>
      <c r="M28" s="1">
        <f t="shared" si="11"/>
        <v>7.9833333333333326E-2</v>
      </c>
      <c r="N28" s="4">
        <v>2855.7</v>
      </c>
      <c r="O28" s="1">
        <v>1.33</v>
      </c>
      <c r="P28" s="2">
        <v>136.69999999999999</v>
      </c>
      <c r="Q28">
        <v>221.83</v>
      </c>
      <c r="R28">
        <v>76.19</v>
      </c>
      <c r="S28">
        <v>0.87</v>
      </c>
      <c r="T28">
        <v>30.37</v>
      </c>
      <c r="U28">
        <v>699.27</v>
      </c>
      <c r="V28">
        <v>4.88</v>
      </c>
      <c r="W28">
        <v>6.46</v>
      </c>
      <c r="X28">
        <v>0.06</v>
      </c>
      <c r="Y28" s="1">
        <v>0.62</v>
      </c>
      <c r="Z28" s="1">
        <f t="shared" si="7"/>
        <v>6.2</v>
      </c>
      <c r="AA28" s="1">
        <v>0.75</v>
      </c>
      <c r="AB28" s="1">
        <f t="shared" si="6"/>
        <v>96.153846153846146</v>
      </c>
      <c r="AC28" t="s">
        <v>45</v>
      </c>
      <c r="AD28">
        <f t="shared" si="8"/>
        <v>0.87</v>
      </c>
      <c r="AE28" s="6">
        <f t="shared" si="12"/>
        <v>0.78740078740118113</v>
      </c>
      <c r="AF28">
        <f t="shared" si="9"/>
        <v>0.8660254037844386</v>
      </c>
      <c r="AG28">
        <f t="shared" si="10"/>
        <v>30.37</v>
      </c>
    </row>
    <row r="29" spans="1:33" x14ac:dyDescent="0.5">
      <c r="A29" t="s">
        <v>157</v>
      </c>
      <c r="B29">
        <v>0</v>
      </c>
      <c r="C29" s="1">
        <v>0.66</v>
      </c>
      <c r="D29" s="4"/>
      <c r="E29" s="4"/>
      <c r="F29" s="4"/>
      <c r="G29" s="4">
        <v>38.67</v>
      </c>
      <c r="H29" s="4">
        <v>49.17</v>
      </c>
      <c r="I29" s="4">
        <v>501.09</v>
      </c>
      <c r="J29" s="4"/>
      <c r="K29" s="4"/>
      <c r="L29" s="4">
        <v>23.44</v>
      </c>
      <c r="M29" s="1">
        <f t="shared" si="11"/>
        <v>6.511111111111112E-2</v>
      </c>
      <c r="N29" s="4">
        <v>2717.44</v>
      </c>
      <c r="O29" s="1">
        <v>1.33</v>
      </c>
      <c r="P29" s="2">
        <v>136.69999999999999</v>
      </c>
      <c r="Q29">
        <v>221.83</v>
      </c>
      <c r="R29">
        <v>76.19</v>
      </c>
      <c r="S29">
        <v>0.87</v>
      </c>
      <c r="T29">
        <v>30.37</v>
      </c>
      <c r="U29">
        <v>699.27</v>
      </c>
      <c r="V29">
        <v>4.88</v>
      </c>
      <c r="W29">
        <v>6.46</v>
      </c>
      <c r="X29">
        <v>0.06</v>
      </c>
      <c r="Y29" s="1">
        <v>0.32</v>
      </c>
      <c r="Z29" s="1">
        <f t="shared" si="7"/>
        <v>3.2</v>
      </c>
      <c r="AA29" s="1">
        <v>0.59</v>
      </c>
      <c r="AB29" s="1">
        <f t="shared" si="6"/>
        <v>89.393939393939377</v>
      </c>
      <c r="AC29" t="s">
        <v>45</v>
      </c>
      <c r="AD29">
        <f t="shared" si="8"/>
        <v>0.87</v>
      </c>
      <c r="AE29" s="6">
        <f t="shared" si="12"/>
        <v>0.56568542494923801</v>
      </c>
      <c r="AF29">
        <f t="shared" si="9"/>
        <v>0.76811457478686085</v>
      </c>
      <c r="AG29">
        <f t="shared" si="10"/>
        <v>30.37</v>
      </c>
    </row>
    <row r="30" spans="1:33" x14ac:dyDescent="0.5">
      <c r="A30" t="s">
        <v>158</v>
      </c>
      <c r="B30">
        <v>0</v>
      </c>
      <c r="C30" s="1">
        <v>0.05</v>
      </c>
      <c r="D30" s="4"/>
      <c r="E30" s="4"/>
      <c r="F30" s="4"/>
      <c r="G30" s="4">
        <v>53.5</v>
      </c>
      <c r="H30" s="4">
        <v>88.76</v>
      </c>
      <c r="I30" s="4">
        <v>384.33</v>
      </c>
      <c r="J30" s="4"/>
      <c r="K30" s="4"/>
      <c r="L30" s="4">
        <v>33.31</v>
      </c>
      <c r="M30" s="1">
        <f t="shared" si="11"/>
        <v>9.2527777777777778E-2</v>
      </c>
      <c r="N30" s="4">
        <v>2632.24</v>
      </c>
      <c r="O30" s="1">
        <v>1.33</v>
      </c>
      <c r="P30" s="2">
        <v>136.69999999999999</v>
      </c>
      <c r="Q30">
        <v>221.83</v>
      </c>
      <c r="R30">
        <v>76.19</v>
      </c>
      <c r="S30">
        <v>0.87</v>
      </c>
      <c r="T30">
        <v>30.37</v>
      </c>
      <c r="U30">
        <v>699.27</v>
      </c>
      <c r="V30">
        <v>4.88</v>
      </c>
      <c r="W30">
        <v>6.46</v>
      </c>
      <c r="X30">
        <v>0.06</v>
      </c>
      <c r="Y30" s="1">
        <v>0.05</v>
      </c>
      <c r="Z30" s="1">
        <f t="shared" si="7"/>
        <v>0.5</v>
      </c>
      <c r="AA30" s="1">
        <v>0.05</v>
      </c>
      <c r="AB30" s="1">
        <f t="shared" si="6"/>
        <v>100</v>
      </c>
      <c r="AC30" t="s">
        <v>45</v>
      </c>
      <c r="AD30">
        <f t="shared" si="8"/>
        <v>0.87</v>
      </c>
      <c r="AE30" s="6">
        <f t="shared" si="12"/>
        <v>0.22360679774997896</v>
      </c>
      <c r="AF30">
        <f t="shared" si="9"/>
        <v>0.22360679774997896</v>
      </c>
      <c r="AG30">
        <f t="shared" si="10"/>
        <v>30.37</v>
      </c>
    </row>
    <row r="31" spans="1:33" x14ac:dyDescent="0.5">
      <c r="A31" t="s">
        <v>159</v>
      </c>
      <c r="B31">
        <v>1</v>
      </c>
      <c r="C31" s="1">
        <v>0.15</v>
      </c>
      <c r="D31" s="4"/>
      <c r="E31" s="4"/>
      <c r="F31" s="4"/>
      <c r="G31" s="4">
        <v>72.930000000000007</v>
      </c>
      <c r="H31" s="4">
        <v>90.92</v>
      </c>
      <c r="I31" s="4">
        <v>516.14</v>
      </c>
      <c r="J31" s="4"/>
      <c r="K31" s="4"/>
      <c r="L31" s="4">
        <v>33.6</v>
      </c>
      <c r="M31" s="1">
        <f t="shared" si="11"/>
        <v>9.3333333333333338E-2</v>
      </c>
      <c r="N31" s="4">
        <v>2777.53</v>
      </c>
      <c r="O31" s="1">
        <v>1.33</v>
      </c>
      <c r="P31" s="2">
        <v>136.69999999999999</v>
      </c>
      <c r="Q31">
        <v>221.83</v>
      </c>
      <c r="R31">
        <v>76.19</v>
      </c>
      <c r="S31">
        <v>0.87</v>
      </c>
      <c r="T31">
        <v>30.37</v>
      </c>
      <c r="U31">
        <v>699.27</v>
      </c>
      <c r="V31">
        <v>4.88</v>
      </c>
      <c r="W31">
        <v>6.46</v>
      </c>
      <c r="X31">
        <v>0.06</v>
      </c>
      <c r="Y31" s="1">
        <v>0.14000000000000001</v>
      </c>
      <c r="Z31" s="1">
        <f t="shared" si="7"/>
        <v>1.4000000000000001</v>
      </c>
      <c r="AA31" s="1">
        <v>0.14000000000000001</v>
      </c>
      <c r="AB31" s="1">
        <f t="shared" si="6"/>
        <v>93.333333333333343</v>
      </c>
      <c r="AC31" t="s">
        <v>45</v>
      </c>
      <c r="AD31">
        <f t="shared" si="8"/>
        <v>0.87</v>
      </c>
      <c r="AE31" s="6">
        <f t="shared" si="12"/>
        <v>0.37416573867739417</v>
      </c>
      <c r="AF31">
        <f t="shared" si="9"/>
        <v>0.37416573867739417</v>
      </c>
      <c r="AG31">
        <f t="shared" si="10"/>
        <v>30.37</v>
      </c>
    </row>
    <row r="32" spans="1:33" x14ac:dyDescent="0.5">
      <c r="A32" t="s">
        <v>160</v>
      </c>
      <c r="B32">
        <v>0</v>
      </c>
      <c r="C32" s="1">
        <v>0.2</v>
      </c>
      <c r="D32" s="4"/>
      <c r="E32" s="4"/>
      <c r="F32" s="4"/>
      <c r="G32" s="4">
        <v>75.510000000000005</v>
      </c>
      <c r="H32" s="4">
        <v>87.52</v>
      </c>
      <c r="I32" s="4">
        <v>568.59</v>
      </c>
      <c r="J32" s="4"/>
      <c r="K32" s="4"/>
      <c r="L32" s="4">
        <v>31.4</v>
      </c>
      <c r="M32" s="1">
        <f t="shared" si="11"/>
        <v>8.7222222222222215E-2</v>
      </c>
      <c r="N32" s="4">
        <v>2808.88</v>
      </c>
      <c r="O32" s="1">
        <v>1.33</v>
      </c>
      <c r="P32" s="2">
        <v>136.69999999999999</v>
      </c>
      <c r="Q32">
        <v>221.83</v>
      </c>
      <c r="R32">
        <v>76.19</v>
      </c>
      <c r="S32">
        <v>0.87</v>
      </c>
      <c r="T32">
        <v>30.37</v>
      </c>
      <c r="U32">
        <v>699.27</v>
      </c>
      <c r="V32">
        <v>4.88</v>
      </c>
      <c r="W32">
        <v>6.46</v>
      </c>
      <c r="X32">
        <v>0.06</v>
      </c>
      <c r="Y32" s="1">
        <v>0.17</v>
      </c>
      <c r="Z32" s="1">
        <f t="shared" si="7"/>
        <v>1.7000000000000002</v>
      </c>
      <c r="AA32" s="1">
        <v>0.16</v>
      </c>
      <c r="AB32" s="1">
        <f t="shared" si="6"/>
        <v>80</v>
      </c>
      <c r="AC32" t="s">
        <v>45</v>
      </c>
      <c r="AD32">
        <f t="shared" si="8"/>
        <v>0.87</v>
      </c>
      <c r="AE32" s="6">
        <f t="shared" si="12"/>
        <v>0.41231056256176607</v>
      </c>
      <c r="AF32">
        <f t="shared" si="9"/>
        <v>0.4</v>
      </c>
      <c r="AG32">
        <f t="shared" si="10"/>
        <v>30.37</v>
      </c>
    </row>
    <row r="33" spans="1:33" x14ac:dyDescent="0.5">
      <c r="A33" t="s">
        <v>77</v>
      </c>
      <c r="B33">
        <v>1</v>
      </c>
      <c r="C33">
        <v>9.06</v>
      </c>
      <c r="D33">
        <v>5</v>
      </c>
      <c r="E33" s="4">
        <v>23.72</v>
      </c>
      <c r="F33" s="4"/>
      <c r="G33" s="4"/>
      <c r="H33" s="4">
        <v>42.55</v>
      </c>
      <c r="I33" s="4">
        <v>737.69</v>
      </c>
      <c r="J33" s="4"/>
      <c r="K33" s="4"/>
      <c r="L33" s="4">
        <v>21.62</v>
      </c>
      <c r="M33" s="1">
        <f t="shared" si="11"/>
        <v>6.0055555555555556E-2</v>
      </c>
      <c r="N33" s="4">
        <v>2046.54</v>
      </c>
      <c r="O33" s="1">
        <v>5.83</v>
      </c>
      <c r="P33" s="2">
        <v>145.16</v>
      </c>
      <c r="Q33" s="1">
        <v>244.16</v>
      </c>
      <c r="R33">
        <v>76.569999999999993</v>
      </c>
      <c r="S33">
        <v>1.07</v>
      </c>
      <c r="T33" s="1">
        <v>248</v>
      </c>
      <c r="U33" s="1">
        <v>575</v>
      </c>
      <c r="V33">
        <v>7.38</v>
      </c>
      <c r="W33">
        <v>1.76</v>
      </c>
      <c r="X33">
        <v>0.21</v>
      </c>
      <c r="Y33">
        <v>0.95</v>
      </c>
      <c r="Z33" s="1">
        <f t="shared" si="7"/>
        <v>9.5</v>
      </c>
      <c r="AA33">
        <v>6.8</v>
      </c>
      <c r="AB33" s="1">
        <f t="shared" si="6"/>
        <v>75.055187637969084</v>
      </c>
      <c r="AC33" t="s">
        <v>45</v>
      </c>
      <c r="AD33">
        <f t="shared" si="8"/>
        <v>1.07</v>
      </c>
      <c r="AE33" s="6">
        <f t="shared" si="12"/>
        <v>0.97467943448089633</v>
      </c>
      <c r="AF33">
        <f t="shared" si="9"/>
        <v>2.6076809620810595</v>
      </c>
      <c r="AG33">
        <f t="shared" si="10"/>
        <v>248</v>
      </c>
    </row>
    <row r="34" spans="1:33" x14ac:dyDescent="0.5">
      <c r="A34" t="s">
        <v>109</v>
      </c>
      <c r="B34">
        <v>0</v>
      </c>
      <c r="C34">
        <v>2.2999999999999998</v>
      </c>
      <c r="E34" s="4">
        <v>68.959999999999994</v>
      </c>
      <c r="F34" s="4"/>
      <c r="G34" s="4"/>
      <c r="H34" s="4">
        <v>57</v>
      </c>
      <c r="I34" s="4">
        <v>568.6</v>
      </c>
      <c r="J34" s="4"/>
      <c r="K34" s="4"/>
      <c r="L34" s="4">
        <v>23.2</v>
      </c>
      <c r="M34" s="1">
        <f t="shared" si="11"/>
        <v>6.4444444444444443E-2</v>
      </c>
      <c r="N34" s="4">
        <v>2154.7199999999998</v>
      </c>
      <c r="O34" s="1">
        <v>4.75</v>
      </c>
      <c r="P34" s="2">
        <v>140.47</v>
      </c>
      <c r="Q34" s="1">
        <v>252.4</v>
      </c>
      <c r="R34" s="1">
        <v>71.16</v>
      </c>
      <c r="S34" s="1">
        <v>1.6</v>
      </c>
      <c r="T34" s="1">
        <v>245.77</v>
      </c>
      <c r="U34" s="1">
        <v>631.79</v>
      </c>
      <c r="V34" s="1">
        <v>5.94</v>
      </c>
      <c r="W34">
        <v>2.5</v>
      </c>
      <c r="X34" s="1">
        <v>0.33</v>
      </c>
      <c r="Y34">
        <v>1.32</v>
      </c>
      <c r="Z34" s="1">
        <f t="shared" si="7"/>
        <v>13.200000000000001</v>
      </c>
      <c r="AA34">
        <v>0.9</v>
      </c>
      <c r="AB34" s="1">
        <f t="shared" si="6"/>
        <v>39.130434782608695</v>
      </c>
      <c r="AC34" t="s">
        <v>45</v>
      </c>
      <c r="AD34">
        <f t="shared" si="8"/>
        <v>1.6</v>
      </c>
      <c r="AE34" s="6">
        <f t="shared" si="12"/>
        <v>1.1489125293076057</v>
      </c>
      <c r="AF34">
        <f t="shared" si="9"/>
        <v>0.94868329805051377</v>
      </c>
      <c r="AG34">
        <f t="shared" si="10"/>
        <v>245.77</v>
      </c>
    </row>
    <row r="35" spans="1:33" x14ac:dyDescent="0.5">
      <c r="A35" t="s">
        <v>78</v>
      </c>
      <c r="B35">
        <v>0</v>
      </c>
      <c r="C35">
        <v>0.57999999999999996</v>
      </c>
      <c r="D35">
        <v>5</v>
      </c>
      <c r="E35" s="4">
        <v>35.74</v>
      </c>
      <c r="F35" s="4"/>
      <c r="G35" s="4"/>
      <c r="H35" s="4">
        <v>27.46</v>
      </c>
      <c r="I35" s="4">
        <v>325.83</v>
      </c>
      <c r="J35" s="4"/>
      <c r="K35" s="4"/>
      <c r="L35" s="4">
        <v>17.96</v>
      </c>
      <c r="M35" s="1">
        <f t="shared" si="11"/>
        <v>4.9888888888888892E-2</v>
      </c>
      <c r="N35" s="4">
        <v>1873.92</v>
      </c>
      <c r="O35" s="1">
        <v>5.58</v>
      </c>
      <c r="P35" s="2">
        <v>145.22</v>
      </c>
      <c r="Q35" s="1">
        <v>257.70999999999998</v>
      </c>
      <c r="R35">
        <v>79.489999999999995</v>
      </c>
      <c r="S35">
        <v>1.07</v>
      </c>
      <c r="T35" s="1">
        <v>248</v>
      </c>
      <c r="U35" s="1">
        <v>586.85</v>
      </c>
      <c r="V35">
        <v>6.97</v>
      </c>
      <c r="W35">
        <v>1.76</v>
      </c>
      <c r="X35">
        <v>0.18</v>
      </c>
      <c r="Y35">
        <v>0.16</v>
      </c>
      <c r="Z35" s="1">
        <f t="shared" si="7"/>
        <v>1.6</v>
      </c>
      <c r="AA35">
        <v>0.18</v>
      </c>
      <c r="AB35" s="1">
        <f t="shared" si="6"/>
        <v>31.03448275862069</v>
      </c>
      <c r="AC35" t="s">
        <v>45</v>
      </c>
      <c r="AD35">
        <f t="shared" si="8"/>
        <v>1.07</v>
      </c>
      <c r="AE35" s="6">
        <f t="shared" si="12"/>
        <v>0.4</v>
      </c>
      <c r="AF35">
        <f t="shared" si="9"/>
        <v>0.42426406871192851</v>
      </c>
      <c r="AG35">
        <f t="shared" si="10"/>
        <v>248</v>
      </c>
    </row>
    <row r="36" spans="1:33" x14ac:dyDescent="0.5">
      <c r="A36" t="s">
        <v>85</v>
      </c>
      <c r="B36">
        <v>1</v>
      </c>
      <c r="C36" s="1">
        <v>0.67723800000000001</v>
      </c>
      <c r="D36" s="4"/>
      <c r="E36" s="4"/>
      <c r="F36" s="4">
        <v>48.31</v>
      </c>
      <c r="G36" s="4"/>
      <c r="H36" s="4">
        <v>66.83</v>
      </c>
      <c r="I36" s="4">
        <v>522.07519500000001</v>
      </c>
      <c r="J36" s="4"/>
      <c r="K36" s="4"/>
      <c r="L36" s="4">
        <v>25.54</v>
      </c>
      <c r="M36" s="1">
        <f t="shared" si="11"/>
        <v>7.0944444444444449E-2</v>
      </c>
      <c r="N36" s="4">
        <v>2747.6296480000001</v>
      </c>
      <c r="O36">
        <v>6.09</v>
      </c>
      <c r="P36" s="2">
        <v>110.26</v>
      </c>
      <c r="Q36">
        <v>297.02999999999997</v>
      </c>
      <c r="R36">
        <v>58.61</v>
      </c>
      <c r="S36">
        <v>1.22</v>
      </c>
      <c r="T36">
        <v>24.68</v>
      </c>
      <c r="U36">
        <v>689.59</v>
      </c>
      <c r="V36">
        <v>3.01</v>
      </c>
      <c r="W36">
        <v>4.2</v>
      </c>
      <c r="X36">
        <v>0.12</v>
      </c>
      <c r="Y36" s="1">
        <v>0.45</v>
      </c>
      <c r="Z36" s="1">
        <f t="shared" si="7"/>
        <v>4.5</v>
      </c>
      <c r="AA36" s="1">
        <v>0.56999999999999995</v>
      </c>
      <c r="AB36" s="1">
        <f t="shared" si="6"/>
        <v>84.165389419967568</v>
      </c>
      <c r="AC36" t="s">
        <v>45</v>
      </c>
      <c r="AD36">
        <f t="shared" si="8"/>
        <v>1.22</v>
      </c>
      <c r="AE36" s="6">
        <f t="shared" si="12"/>
        <v>0.67082039324993692</v>
      </c>
      <c r="AF36">
        <f t="shared" si="9"/>
        <v>0.75498344352707492</v>
      </c>
      <c r="AG36">
        <f t="shared" si="10"/>
        <v>24.68</v>
      </c>
    </row>
    <row r="37" spans="1:33" x14ac:dyDescent="0.5">
      <c r="A37" t="s">
        <v>84</v>
      </c>
      <c r="B37">
        <v>0</v>
      </c>
      <c r="C37" s="1">
        <v>0.47866700000000001</v>
      </c>
      <c r="D37" s="4">
        <v>4</v>
      </c>
      <c r="E37" s="4"/>
      <c r="F37" s="4">
        <v>74.010000000000005</v>
      </c>
      <c r="G37" s="4"/>
      <c r="H37" s="4">
        <v>61.61</v>
      </c>
      <c r="I37" s="4">
        <v>538.17773399999999</v>
      </c>
      <c r="J37" s="4"/>
      <c r="K37" s="4"/>
      <c r="L37" s="4">
        <v>25</v>
      </c>
      <c r="M37" s="1">
        <f t="shared" si="11"/>
        <v>6.9444444444444448E-2</v>
      </c>
      <c r="N37" s="4">
        <v>2721.45</v>
      </c>
      <c r="O37">
        <v>6.09</v>
      </c>
      <c r="P37" s="2">
        <v>110.26</v>
      </c>
      <c r="Q37">
        <v>297.02999999999997</v>
      </c>
      <c r="R37">
        <v>58.61</v>
      </c>
      <c r="S37">
        <v>1.22</v>
      </c>
      <c r="T37">
        <v>24.68</v>
      </c>
      <c r="U37">
        <v>689.59</v>
      </c>
      <c r="V37">
        <v>3.01</v>
      </c>
      <c r="W37">
        <v>4.2</v>
      </c>
      <c r="X37">
        <v>0.12</v>
      </c>
      <c r="Y37" s="1">
        <v>0.28999999999999998</v>
      </c>
      <c r="Z37" s="1">
        <f t="shared" si="7"/>
        <v>2.9</v>
      </c>
      <c r="AA37" s="1">
        <f>0.432307+0.000201</f>
        <v>0.432508</v>
      </c>
      <c r="AB37" s="1">
        <f t="shared" si="6"/>
        <v>90.356761589998897</v>
      </c>
      <c r="AC37" t="s">
        <v>45</v>
      </c>
      <c r="AD37">
        <f t="shared" si="8"/>
        <v>1.22</v>
      </c>
      <c r="AE37" s="6">
        <f t="shared" si="12"/>
        <v>0.53851648071345037</v>
      </c>
      <c r="AF37">
        <f t="shared" si="9"/>
        <v>0.65765340415753948</v>
      </c>
      <c r="AG37">
        <f t="shared" si="10"/>
        <v>24.68</v>
      </c>
    </row>
    <row r="38" spans="1:33" x14ac:dyDescent="0.5">
      <c r="A38" t="s">
        <v>161</v>
      </c>
      <c r="B38">
        <v>0</v>
      </c>
      <c r="C38">
        <v>1.7</v>
      </c>
      <c r="F38" s="4">
        <v>65.89</v>
      </c>
      <c r="H38" s="4">
        <v>25.73</v>
      </c>
      <c r="I38" s="4">
        <v>442.53</v>
      </c>
      <c r="J38" s="4"/>
      <c r="K38" s="4"/>
      <c r="L38" s="4">
        <v>30.78</v>
      </c>
      <c r="M38" s="1">
        <f t="shared" si="11"/>
        <v>8.5500000000000007E-2</v>
      </c>
      <c r="N38" s="4">
        <v>2689.49</v>
      </c>
      <c r="O38" s="1">
        <v>6.15</v>
      </c>
      <c r="P38" s="2">
        <v>118.11</v>
      </c>
      <c r="Q38" s="1">
        <v>233.62</v>
      </c>
      <c r="R38">
        <v>57.95</v>
      </c>
      <c r="S38" s="1">
        <v>1.32</v>
      </c>
      <c r="T38" s="1">
        <v>24</v>
      </c>
      <c r="U38" s="1">
        <v>607.61</v>
      </c>
      <c r="V38" s="1">
        <v>3.04</v>
      </c>
      <c r="W38">
        <v>6.03</v>
      </c>
      <c r="X38">
        <v>0.12</v>
      </c>
      <c r="Y38">
        <v>0.44</v>
      </c>
      <c r="Z38" s="1">
        <f t="shared" si="7"/>
        <v>4.4000000000000004</v>
      </c>
      <c r="AA38">
        <v>1.18</v>
      </c>
      <c r="AB38" s="1">
        <f t="shared" si="6"/>
        <v>69.411764705882348</v>
      </c>
      <c r="AC38" t="s">
        <v>45</v>
      </c>
      <c r="AD38">
        <f t="shared" si="8"/>
        <v>1.32</v>
      </c>
      <c r="AE38" s="6">
        <f t="shared" si="12"/>
        <v>0.66332495807107994</v>
      </c>
      <c r="AF38">
        <f t="shared" si="9"/>
        <v>1.0862780491200215</v>
      </c>
      <c r="AG38">
        <f t="shared" si="10"/>
        <v>24</v>
      </c>
    </row>
    <row r="39" spans="1:33" x14ac:dyDescent="0.5">
      <c r="A39" t="s">
        <v>162</v>
      </c>
      <c r="B39">
        <v>0</v>
      </c>
      <c r="C39">
        <v>0.35</v>
      </c>
      <c r="F39" s="4">
        <v>53.24</v>
      </c>
      <c r="H39" s="4">
        <v>87.74</v>
      </c>
      <c r="I39" s="4">
        <v>521.97</v>
      </c>
      <c r="J39" s="4"/>
      <c r="K39" s="4"/>
      <c r="L39" s="4">
        <v>33.119999999999997</v>
      </c>
      <c r="M39" s="1">
        <f t="shared" si="11"/>
        <v>9.1999999999999998E-2</v>
      </c>
      <c r="N39" s="4">
        <v>2698.15</v>
      </c>
      <c r="O39" s="1">
        <v>6.15</v>
      </c>
      <c r="P39" s="2">
        <v>118.11</v>
      </c>
      <c r="Q39" s="1">
        <v>233.62</v>
      </c>
      <c r="R39">
        <v>57.95</v>
      </c>
      <c r="S39" s="1">
        <v>1.32</v>
      </c>
      <c r="T39" s="1">
        <v>24</v>
      </c>
      <c r="U39" s="1">
        <v>607.61</v>
      </c>
      <c r="V39" s="1">
        <v>3.04</v>
      </c>
      <c r="W39">
        <v>6.03</v>
      </c>
      <c r="X39">
        <v>0.12</v>
      </c>
      <c r="Y39">
        <v>0.31</v>
      </c>
      <c r="Z39" s="1">
        <f t="shared" si="7"/>
        <v>3.1</v>
      </c>
      <c r="AA39">
        <v>0.23</v>
      </c>
      <c r="AB39" s="1">
        <f t="shared" si="6"/>
        <v>65.714285714285722</v>
      </c>
      <c r="AC39" t="s">
        <v>45</v>
      </c>
      <c r="AD39">
        <f t="shared" si="8"/>
        <v>1.32</v>
      </c>
      <c r="AE39" s="6">
        <f t="shared" si="12"/>
        <v>0.55677643628300222</v>
      </c>
      <c r="AF39">
        <f t="shared" si="9"/>
        <v>0.47958315233127197</v>
      </c>
      <c r="AG39">
        <f t="shared" si="10"/>
        <v>24</v>
      </c>
    </row>
    <row r="40" spans="1:33" x14ac:dyDescent="0.5">
      <c r="A40" t="s">
        <v>163</v>
      </c>
      <c r="B40">
        <v>0</v>
      </c>
      <c r="C40">
        <v>7.0000000000000007E-2</v>
      </c>
      <c r="F40" s="4">
        <v>89.69</v>
      </c>
      <c r="H40" s="4">
        <v>78.02</v>
      </c>
      <c r="I40" s="4">
        <v>286.63</v>
      </c>
      <c r="J40" s="4"/>
      <c r="K40" s="4"/>
      <c r="L40" s="4">
        <v>27.06</v>
      </c>
      <c r="M40" s="1">
        <f t="shared" si="11"/>
        <v>7.5166666666666659E-2</v>
      </c>
      <c r="N40" s="4">
        <v>2673.85</v>
      </c>
      <c r="O40">
        <v>6.09</v>
      </c>
      <c r="P40" s="2">
        <v>110.26</v>
      </c>
      <c r="Q40">
        <v>297.02999999999997</v>
      </c>
      <c r="R40">
        <v>58.61</v>
      </c>
      <c r="S40">
        <v>1.22</v>
      </c>
      <c r="T40">
        <v>24.68</v>
      </c>
      <c r="U40">
        <v>689.59</v>
      </c>
      <c r="V40">
        <v>3.01</v>
      </c>
      <c r="W40">
        <v>4.2</v>
      </c>
      <c r="X40">
        <v>0.12</v>
      </c>
      <c r="Y40">
        <v>0.06</v>
      </c>
      <c r="Z40" s="1">
        <f t="shared" si="7"/>
        <v>0.6</v>
      </c>
      <c r="AA40">
        <v>7.0000000000000007E-2</v>
      </c>
      <c r="AB40" s="1">
        <f t="shared" si="6"/>
        <v>100</v>
      </c>
      <c r="AC40" t="s">
        <v>45</v>
      </c>
      <c r="AD40">
        <f t="shared" si="8"/>
        <v>1.22</v>
      </c>
      <c r="AE40" s="6">
        <f t="shared" si="12"/>
        <v>0.2449489742783178</v>
      </c>
      <c r="AF40">
        <f t="shared" si="9"/>
        <v>0.26457513110645908</v>
      </c>
      <c r="AG40">
        <f t="shared" si="10"/>
        <v>24.68</v>
      </c>
    </row>
    <row r="41" spans="1:33" x14ac:dyDescent="0.5">
      <c r="A41" t="s">
        <v>164</v>
      </c>
      <c r="B41">
        <v>0</v>
      </c>
      <c r="C41">
        <v>0.35</v>
      </c>
      <c r="F41" s="4">
        <v>76.27</v>
      </c>
      <c r="H41" s="4">
        <v>65.61</v>
      </c>
      <c r="I41" s="4">
        <v>415.21</v>
      </c>
      <c r="J41" s="4"/>
      <c r="K41" s="4"/>
      <c r="L41" s="4">
        <v>33.28</v>
      </c>
      <c r="M41" s="1">
        <f t="shared" si="11"/>
        <v>9.2444444444444454E-2</v>
      </c>
      <c r="N41" s="4">
        <v>2720.69</v>
      </c>
      <c r="O41" s="1">
        <v>6.15</v>
      </c>
      <c r="P41" s="2">
        <v>118.11</v>
      </c>
      <c r="Q41" s="1">
        <v>233.62</v>
      </c>
      <c r="R41">
        <v>57.95</v>
      </c>
      <c r="S41" s="1">
        <v>1.32</v>
      </c>
      <c r="T41" s="1">
        <v>24</v>
      </c>
      <c r="U41" s="1">
        <v>607.61</v>
      </c>
      <c r="V41" s="1">
        <v>3.04</v>
      </c>
      <c r="W41">
        <v>6.03</v>
      </c>
      <c r="X41">
        <v>0.12</v>
      </c>
      <c r="Y41">
        <v>0.23</v>
      </c>
      <c r="Z41" s="1">
        <f t="shared" si="7"/>
        <v>2.3000000000000003</v>
      </c>
      <c r="AA41">
        <v>0.2</v>
      </c>
      <c r="AB41" s="1">
        <f t="shared" si="6"/>
        <v>57.142857142857153</v>
      </c>
      <c r="AC41" t="s">
        <v>45</v>
      </c>
      <c r="AD41">
        <f t="shared" si="8"/>
        <v>1.32</v>
      </c>
      <c r="AE41" s="6">
        <f t="shared" si="12"/>
        <v>0.47958315233127197</v>
      </c>
      <c r="AF41">
        <f t="shared" si="9"/>
        <v>0.44721359549995793</v>
      </c>
      <c r="AG41">
        <f t="shared" si="10"/>
        <v>24</v>
      </c>
    </row>
    <row r="42" spans="1:33" x14ac:dyDescent="0.5">
      <c r="A42" t="s">
        <v>76</v>
      </c>
      <c r="B42">
        <v>1</v>
      </c>
      <c r="C42" s="1">
        <v>1.83</v>
      </c>
      <c r="D42" s="4"/>
      <c r="E42" s="4"/>
      <c r="F42" s="4">
        <v>97.3</v>
      </c>
      <c r="G42" s="4"/>
      <c r="H42" s="4">
        <v>28.22</v>
      </c>
      <c r="I42" s="4">
        <v>297.12</v>
      </c>
      <c r="J42" s="4"/>
      <c r="K42" s="4"/>
      <c r="L42" s="4">
        <v>18</v>
      </c>
      <c r="M42" s="1">
        <f t="shared" ref="M42:M53" si="13">L42/360</f>
        <v>0.05</v>
      </c>
      <c r="N42" s="4">
        <v>2357.2199999999998</v>
      </c>
      <c r="O42" s="2">
        <v>3.83</v>
      </c>
      <c r="P42" s="2">
        <v>83.39</v>
      </c>
      <c r="Q42" s="4">
        <v>263.54000000000002</v>
      </c>
      <c r="R42">
        <v>62.42</v>
      </c>
      <c r="S42">
        <v>0.99</v>
      </c>
      <c r="T42">
        <v>38.020000000000003</v>
      </c>
      <c r="U42">
        <v>468.39</v>
      </c>
      <c r="V42">
        <v>7.09</v>
      </c>
      <c r="W42">
        <v>3.58</v>
      </c>
      <c r="X42">
        <v>0.62</v>
      </c>
      <c r="Y42" s="1">
        <v>0.52</v>
      </c>
      <c r="Z42" s="1">
        <f t="shared" ref="Z42:Z53" si="14">Y42*10</f>
        <v>5.2</v>
      </c>
      <c r="AA42" s="1">
        <v>1.33</v>
      </c>
      <c r="AB42" s="1">
        <f t="shared" si="6"/>
        <v>72.677595628415304</v>
      </c>
      <c r="AC42" t="s">
        <v>44</v>
      </c>
      <c r="AD42">
        <f t="shared" ref="AD42:AD53" si="15">S42</f>
        <v>0.99</v>
      </c>
      <c r="AE42" s="6">
        <f t="shared" ref="AE42:AE53" si="16">SQRT(Y42)</f>
        <v>0.72111025509279791</v>
      </c>
      <c r="AF42">
        <f t="shared" ref="AF42:AF53" si="17">SQRT(AA42)</f>
        <v>1.1532562594670797</v>
      </c>
      <c r="AG42">
        <f t="shared" ref="AG42:AG53" si="18">T42</f>
        <v>38.020000000000003</v>
      </c>
    </row>
    <row r="43" spans="1:33" x14ac:dyDescent="0.5">
      <c r="A43" t="s">
        <v>75</v>
      </c>
      <c r="B43">
        <v>1</v>
      </c>
      <c r="C43">
        <v>1.84</v>
      </c>
      <c r="D43" s="4"/>
      <c r="E43" s="4"/>
      <c r="F43" s="4">
        <v>95.14</v>
      </c>
      <c r="G43" s="4"/>
      <c r="H43" s="4">
        <v>36.369999999999997</v>
      </c>
      <c r="I43" s="4">
        <v>390.7</v>
      </c>
      <c r="J43" s="4"/>
      <c r="K43" s="4"/>
      <c r="L43" s="4">
        <v>20</v>
      </c>
      <c r="M43" s="1">
        <f t="shared" si="13"/>
        <v>5.5555555555555552E-2</v>
      </c>
      <c r="N43" s="4">
        <v>2373.69</v>
      </c>
      <c r="O43" s="2">
        <v>3.9</v>
      </c>
      <c r="P43" s="2">
        <v>88.75</v>
      </c>
      <c r="Q43">
        <v>252.67</v>
      </c>
      <c r="R43">
        <v>70.790000000000006</v>
      </c>
      <c r="S43">
        <v>0.97</v>
      </c>
      <c r="T43">
        <v>38</v>
      </c>
      <c r="U43">
        <v>507.73</v>
      </c>
      <c r="V43">
        <v>6.25</v>
      </c>
      <c r="W43">
        <v>3.54</v>
      </c>
      <c r="X43">
        <v>0.16</v>
      </c>
      <c r="Y43">
        <v>0.67</v>
      </c>
      <c r="Z43" s="1">
        <f t="shared" si="14"/>
        <v>6.7</v>
      </c>
      <c r="AA43">
        <v>1.18</v>
      </c>
      <c r="AB43" s="1">
        <f t="shared" si="6"/>
        <v>64.130434782608688</v>
      </c>
      <c r="AC43" t="s">
        <v>45</v>
      </c>
      <c r="AD43">
        <f t="shared" si="15"/>
        <v>0.97</v>
      </c>
      <c r="AE43" s="6">
        <f t="shared" si="16"/>
        <v>0.81853527718724506</v>
      </c>
      <c r="AF43">
        <f t="shared" si="17"/>
        <v>1.0862780491200215</v>
      </c>
      <c r="AG43">
        <f t="shared" si="18"/>
        <v>38</v>
      </c>
    </row>
    <row r="44" spans="1:33" x14ac:dyDescent="0.5">
      <c r="A44" t="s">
        <v>91</v>
      </c>
      <c r="B44">
        <v>0</v>
      </c>
      <c r="C44" s="1">
        <v>1.3361080000000001</v>
      </c>
      <c r="D44" s="1" t="s">
        <v>110</v>
      </c>
      <c r="E44" s="4">
        <v>84.93</v>
      </c>
      <c r="F44" s="4"/>
      <c r="G44" s="4"/>
      <c r="H44" s="4">
        <v>58.63</v>
      </c>
      <c r="I44" s="4">
        <v>575.77</v>
      </c>
      <c r="J44" s="4"/>
      <c r="K44" s="4"/>
      <c r="L44" s="4">
        <v>24.77</v>
      </c>
      <c r="M44" s="1">
        <f t="shared" si="13"/>
        <v>6.880555555555555E-2</v>
      </c>
      <c r="N44" s="4">
        <v>2678.09</v>
      </c>
      <c r="O44">
        <v>5.81</v>
      </c>
      <c r="P44" s="2">
        <v>118.6</v>
      </c>
      <c r="Q44">
        <v>235.61</v>
      </c>
      <c r="R44">
        <v>61.28</v>
      </c>
      <c r="S44">
        <v>1.0900000000000001</v>
      </c>
      <c r="T44">
        <v>24</v>
      </c>
      <c r="U44">
        <v>684.75</v>
      </c>
      <c r="V44">
        <v>4.05</v>
      </c>
      <c r="W44">
        <v>7.81</v>
      </c>
      <c r="X44">
        <v>0.11</v>
      </c>
      <c r="Y44" s="1">
        <v>0.78</v>
      </c>
      <c r="Z44" s="1">
        <f t="shared" si="14"/>
        <v>7.8000000000000007</v>
      </c>
      <c r="AA44" s="1">
        <v>1.12557</v>
      </c>
      <c r="AB44" s="1">
        <f t="shared" si="6"/>
        <v>84.242441479281609</v>
      </c>
      <c r="AC44" t="s">
        <v>45</v>
      </c>
      <c r="AD44">
        <f t="shared" si="15"/>
        <v>1.0900000000000001</v>
      </c>
      <c r="AE44" s="6">
        <f t="shared" si="16"/>
        <v>0.88317608663278468</v>
      </c>
      <c r="AF44">
        <f t="shared" si="17"/>
        <v>1.0609288383298854</v>
      </c>
      <c r="AG44">
        <f t="shared" si="18"/>
        <v>24</v>
      </c>
    </row>
    <row r="45" spans="1:33" x14ac:dyDescent="0.5">
      <c r="A45" t="s">
        <v>92</v>
      </c>
      <c r="B45">
        <v>0</v>
      </c>
      <c r="C45">
        <v>0.16</v>
      </c>
      <c r="E45" s="4">
        <v>93.75</v>
      </c>
      <c r="F45" s="4"/>
      <c r="G45" s="4"/>
      <c r="H45" s="4">
        <v>80</v>
      </c>
      <c r="I45" s="4">
        <v>403.52</v>
      </c>
      <c r="J45" s="4"/>
      <c r="K45" s="4"/>
      <c r="L45" s="4">
        <v>29.99</v>
      </c>
      <c r="M45" s="1">
        <f t="shared" si="13"/>
        <v>8.3305555555555549E-2</v>
      </c>
      <c r="N45" s="4">
        <v>2642.37</v>
      </c>
      <c r="O45">
        <v>5.81</v>
      </c>
      <c r="P45" s="2">
        <v>118.6</v>
      </c>
      <c r="Q45">
        <v>235.61</v>
      </c>
      <c r="R45">
        <v>61.28</v>
      </c>
      <c r="S45">
        <v>1.0900000000000001</v>
      </c>
      <c r="T45">
        <v>24</v>
      </c>
      <c r="U45">
        <v>684.75</v>
      </c>
      <c r="V45">
        <v>4.05</v>
      </c>
      <c r="W45">
        <v>7.81</v>
      </c>
      <c r="X45">
        <v>0.11</v>
      </c>
      <c r="Y45">
        <v>0.13</v>
      </c>
      <c r="Z45" s="1">
        <f t="shared" si="14"/>
        <v>1.3</v>
      </c>
      <c r="AA45">
        <v>0.09</v>
      </c>
      <c r="AB45" s="1">
        <f t="shared" si="6"/>
        <v>56.25</v>
      </c>
      <c r="AC45" t="s">
        <v>45</v>
      </c>
      <c r="AD45">
        <f>S46</f>
        <v>1.0900000000000001</v>
      </c>
      <c r="AE45" s="6">
        <f t="shared" si="16"/>
        <v>0.36055512754639896</v>
      </c>
      <c r="AF45">
        <f t="shared" si="17"/>
        <v>0.3</v>
      </c>
      <c r="AG45">
        <f>T46</f>
        <v>24</v>
      </c>
    </row>
    <row r="46" spans="1:33" x14ac:dyDescent="0.5">
      <c r="A46" t="s">
        <v>149</v>
      </c>
      <c r="B46">
        <v>0</v>
      </c>
      <c r="C46">
        <v>0.46</v>
      </c>
      <c r="E46" s="4">
        <v>78.33</v>
      </c>
      <c r="F46" s="4"/>
      <c r="G46" s="4"/>
      <c r="H46" s="4">
        <v>73.5</v>
      </c>
      <c r="I46" s="4">
        <v>461.14</v>
      </c>
      <c r="J46" s="4"/>
      <c r="K46" s="4"/>
      <c r="L46" s="4">
        <v>28.41</v>
      </c>
      <c r="M46" s="1">
        <f t="shared" si="13"/>
        <v>7.8916666666666663E-2</v>
      </c>
      <c r="N46" s="4">
        <v>2778.99</v>
      </c>
      <c r="O46">
        <v>5.81</v>
      </c>
      <c r="P46" s="2">
        <v>118.6</v>
      </c>
      <c r="Q46">
        <v>235.61</v>
      </c>
      <c r="R46">
        <v>61.28</v>
      </c>
      <c r="S46">
        <v>1.0900000000000001</v>
      </c>
      <c r="T46">
        <v>24</v>
      </c>
      <c r="U46">
        <v>684.75</v>
      </c>
      <c r="V46">
        <v>4.05</v>
      </c>
      <c r="W46">
        <v>7.81</v>
      </c>
      <c r="X46">
        <v>0.11</v>
      </c>
      <c r="Y46">
        <v>0.34</v>
      </c>
      <c r="Z46" s="1">
        <f t="shared" si="14"/>
        <v>3.4000000000000004</v>
      </c>
      <c r="AA46">
        <v>0.26</v>
      </c>
      <c r="AB46" s="1">
        <f t="shared" si="6"/>
        <v>56.521739130434781</v>
      </c>
      <c r="AC46" t="s">
        <v>45</v>
      </c>
      <c r="AD46">
        <f>S47</f>
        <v>1.0900000000000001</v>
      </c>
      <c r="AE46" s="6">
        <f t="shared" si="16"/>
        <v>0.5830951894845301</v>
      </c>
      <c r="AF46">
        <f t="shared" si="17"/>
        <v>0.50990195135927852</v>
      </c>
      <c r="AG46">
        <f>T47</f>
        <v>24</v>
      </c>
    </row>
    <row r="47" spans="1:33" x14ac:dyDescent="0.5">
      <c r="A47" t="s">
        <v>150</v>
      </c>
      <c r="B47">
        <v>0</v>
      </c>
      <c r="C47">
        <v>1.02</v>
      </c>
      <c r="E47" s="4">
        <v>25.67</v>
      </c>
      <c r="F47" s="4"/>
      <c r="G47" s="4"/>
      <c r="H47" s="4">
        <v>35.479999999999997</v>
      </c>
      <c r="I47" s="4">
        <v>531.85</v>
      </c>
      <c r="J47" s="4"/>
      <c r="K47" s="4"/>
      <c r="L47" s="4">
        <v>25.93</v>
      </c>
      <c r="M47" s="1">
        <f t="shared" si="13"/>
        <v>7.2027777777777774E-2</v>
      </c>
      <c r="N47" s="4">
        <v>2821.52</v>
      </c>
      <c r="O47">
        <v>5.81</v>
      </c>
      <c r="P47" s="2">
        <v>118.6</v>
      </c>
      <c r="Q47">
        <v>235.61</v>
      </c>
      <c r="R47">
        <v>61.28</v>
      </c>
      <c r="S47">
        <v>1.0900000000000001</v>
      </c>
      <c r="T47">
        <v>24</v>
      </c>
      <c r="U47">
        <v>684.75</v>
      </c>
      <c r="V47">
        <v>4.05</v>
      </c>
      <c r="W47">
        <v>7.81</v>
      </c>
      <c r="X47">
        <v>0.11</v>
      </c>
      <c r="Y47">
        <v>0.59</v>
      </c>
      <c r="Z47" s="1">
        <f t="shared" si="14"/>
        <v>5.8999999999999995</v>
      </c>
      <c r="AA47">
        <v>0.55000000000000004</v>
      </c>
      <c r="AB47" s="1">
        <f t="shared" si="6"/>
        <v>53.921568627450988</v>
      </c>
      <c r="AC47" t="s">
        <v>45</v>
      </c>
      <c r="AD47">
        <f t="shared" si="15"/>
        <v>1.0900000000000001</v>
      </c>
      <c r="AE47" s="6">
        <f t="shared" si="16"/>
        <v>0.76811457478686085</v>
      </c>
      <c r="AF47">
        <f t="shared" si="17"/>
        <v>0.74161984870956632</v>
      </c>
      <c r="AG47">
        <f t="shared" si="18"/>
        <v>24</v>
      </c>
    </row>
    <row r="48" spans="1:33" x14ac:dyDescent="0.5">
      <c r="A48" t="s">
        <v>151</v>
      </c>
      <c r="B48">
        <v>0</v>
      </c>
      <c r="C48">
        <v>0.1</v>
      </c>
      <c r="E48" s="4">
        <v>23.64</v>
      </c>
      <c r="F48" s="4"/>
      <c r="G48" s="4"/>
      <c r="H48" s="4">
        <v>82.86</v>
      </c>
      <c r="I48" s="4">
        <v>341.89</v>
      </c>
      <c r="J48" s="4"/>
      <c r="K48" s="4"/>
      <c r="L48" s="4">
        <v>29.61</v>
      </c>
      <c r="M48" s="1">
        <f t="shared" si="13"/>
        <v>8.2250000000000004E-2</v>
      </c>
      <c r="N48" s="4">
        <v>2810.93</v>
      </c>
      <c r="O48">
        <v>5.81</v>
      </c>
      <c r="P48" s="2">
        <v>118.6</v>
      </c>
      <c r="Q48">
        <v>235.61</v>
      </c>
      <c r="R48">
        <v>61.28</v>
      </c>
      <c r="S48">
        <v>1.0900000000000001</v>
      </c>
      <c r="T48">
        <v>24</v>
      </c>
      <c r="U48">
        <v>684.75</v>
      </c>
      <c r="V48">
        <v>4.05</v>
      </c>
      <c r="W48">
        <v>7.81</v>
      </c>
      <c r="X48">
        <v>0.11</v>
      </c>
      <c r="Y48">
        <v>0.08</v>
      </c>
      <c r="Z48" s="1">
        <f t="shared" si="14"/>
        <v>0.8</v>
      </c>
      <c r="AA48">
        <v>0.08</v>
      </c>
      <c r="AB48" s="1">
        <f t="shared" si="6"/>
        <v>80</v>
      </c>
      <c r="AC48" t="s">
        <v>45</v>
      </c>
      <c r="AD48">
        <f t="shared" si="15"/>
        <v>1.0900000000000001</v>
      </c>
      <c r="AE48" s="6">
        <f t="shared" si="16"/>
        <v>0.28284271247461901</v>
      </c>
      <c r="AF48">
        <f t="shared" si="17"/>
        <v>0.28284271247461901</v>
      </c>
      <c r="AG48">
        <f t="shared" si="18"/>
        <v>24</v>
      </c>
    </row>
    <row r="49" spans="1:33" x14ac:dyDescent="0.5">
      <c r="A49" t="s">
        <v>135</v>
      </c>
      <c r="B49">
        <v>0</v>
      </c>
      <c r="C49">
        <v>1.1000000000000001</v>
      </c>
      <c r="F49" s="4">
        <v>4.6500000000000004</v>
      </c>
      <c r="H49" s="4">
        <v>64.53</v>
      </c>
      <c r="I49" s="4">
        <v>495.09</v>
      </c>
      <c r="J49" s="4"/>
      <c r="K49" s="4"/>
      <c r="L49" s="4">
        <v>25.06</v>
      </c>
      <c r="M49" s="1">
        <f t="shared" si="13"/>
        <v>6.961111111111111E-2</v>
      </c>
      <c r="N49" s="4">
        <v>2042.88</v>
      </c>
      <c r="O49" s="1">
        <v>5.88</v>
      </c>
      <c r="P49" s="2">
        <v>78.739999999999995</v>
      </c>
      <c r="Q49" s="1">
        <v>230.81</v>
      </c>
      <c r="R49">
        <v>97.3</v>
      </c>
      <c r="S49">
        <v>1.94</v>
      </c>
      <c r="T49" s="1">
        <v>29</v>
      </c>
      <c r="U49" s="1">
        <v>422.84</v>
      </c>
      <c r="V49">
        <v>8.6199999999999992</v>
      </c>
      <c r="W49">
        <v>19.47</v>
      </c>
      <c r="X49">
        <v>0.24</v>
      </c>
      <c r="Y49">
        <v>0.71</v>
      </c>
      <c r="Z49" s="1">
        <f t="shared" si="14"/>
        <v>7.1</v>
      </c>
      <c r="AA49">
        <v>0.16</v>
      </c>
      <c r="AB49" s="1">
        <f t="shared" si="6"/>
        <v>14.545454545454545</v>
      </c>
      <c r="AC49" t="s">
        <v>45</v>
      </c>
      <c r="AD49">
        <f t="shared" si="15"/>
        <v>1.94</v>
      </c>
      <c r="AE49" s="6">
        <f t="shared" si="16"/>
        <v>0.84261497731763579</v>
      </c>
      <c r="AF49">
        <f t="shared" si="17"/>
        <v>0.4</v>
      </c>
      <c r="AG49">
        <f t="shared" si="18"/>
        <v>29</v>
      </c>
    </row>
    <row r="50" spans="1:33" x14ac:dyDescent="0.5">
      <c r="A50" t="s">
        <v>136</v>
      </c>
      <c r="B50">
        <v>0</v>
      </c>
      <c r="C50">
        <v>0.85</v>
      </c>
      <c r="F50" s="4">
        <v>91.28</v>
      </c>
      <c r="H50" s="4">
        <v>49.91</v>
      </c>
      <c r="I50" s="4">
        <v>444.95</v>
      </c>
      <c r="J50" s="4"/>
      <c r="K50" s="4"/>
      <c r="L50" s="4">
        <v>22.35</v>
      </c>
      <c r="M50" s="1">
        <f t="shared" si="13"/>
        <v>6.2083333333333338E-2</v>
      </c>
      <c r="N50" s="4">
        <v>1902.97</v>
      </c>
      <c r="O50" s="1">
        <v>2.17</v>
      </c>
      <c r="P50" s="2">
        <v>77.06</v>
      </c>
      <c r="Q50" s="1">
        <v>241.12</v>
      </c>
      <c r="R50">
        <v>68.260000000000005</v>
      </c>
      <c r="S50">
        <v>1.82</v>
      </c>
      <c r="T50" s="1">
        <v>29</v>
      </c>
      <c r="U50" s="1">
        <v>418.16</v>
      </c>
      <c r="V50">
        <v>8.82</v>
      </c>
      <c r="W50">
        <v>17.899999999999999</v>
      </c>
      <c r="X50">
        <v>1.43</v>
      </c>
      <c r="Y50">
        <v>0.43</v>
      </c>
      <c r="Z50" s="1">
        <f t="shared" si="14"/>
        <v>4.3</v>
      </c>
      <c r="AA50">
        <v>0.43</v>
      </c>
      <c r="AB50" s="1">
        <f t="shared" si="6"/>
        <v>50.588235294117645</v>
      </c>
      <c r="AC50" t="s">
        <v>45</v>
      </c>
      <c r="AD50">
        <f t="shared" si="15"/>
        <v>1.82</v>
      </c>
      <c r="AE50" s="6">
        <f t="shared" si="16"/>
        <v>0.65574385243020006</v>
      </c>
      <c r="AF50">
        <f t="shared" si="17"/>
        <v>0.65574385243020006</v>
      </c>
      <c r="AG50">
        <f t="shared" si="18"/>
        <v>29</v>
      </c>
    </row>
    <row r="51" spans="1:33" x14ac:dyDescent="0.5">
      <c r="A51" t="s">
        <v>137</v>
      </c>
      <c r="B51">
        <v>0</v>
      </c>
      <c r="C51">
        <v>3.25</v>
      </c>
      <c r="F51" s="4">
        <v>70.11</v>
      </c>
      <c r="H51" s="4">
        <v>56.77</v>
      </c>
      <c r="I51" s="4">
        <v>869.13</v>
      </c>
      <c r="J51" s="4"/>
      <c r="K51" s="4"/>
      <c r="L51" s="4">
        <v>24.87</v>
      </c>
      <c r="M51" s="1">
        <f t="shared" si="13"/>
        <v>6.908333333333333E-2</v>
      </c>
      <c r="N51" s="4">
        <v>2326.52</v>
      </c>
      <c r="O51" s="1">
        <v>1.1499999999999999</v>
      </c>
      <c r="P51" s="2">
        <v>78.739999999999995</v>
      </c>
      <c r="Q51" s="1">
        <v>286.10000000000002</v>
      </c>
      <c r="R51">
        <v>83.39</v>
      </c>
      <c r="S51">
        <v>1.94</v>
      </c>
      <c r="T51" s="1">
        <v>29</v>
      </c>
      <c r="U51" s="1">
        <v>491.49</v>
      </c>
      <c r="V51">
        <v>7.33</v>
      </c>
      <c r="W51">
        <v>19.46</v>
      </c>
      <c r="X51">
        <v>1.1599999999999999</v>
      </c>
      <c r="Y51">
        <f>(H51/100)*C51</f>
        <v>1.8450249999999999</v>
      </c>
      <c r="Z51" s="1">
        <f t="shared" si="14"/>
        <v>18.45025</v>
      </c>
      <c r="AA51">
        <v>2.75</v>
      </c>
      <c r="AB51" s="1">
        <f t="shared" si="6"/>
        <v>84.615384615384613</v>
      </c>
      <c r="AC51" t="s">
        <v>45</v>
      </c>
      <c r="AD51">
        <f t="shared" si="15"/>
        <v>1.94</v>
      </c>
      <c r="AE51" s="6">
        <f t="shared" si="16"/>
        <v>1.3583169733166114</v>
      </c>
      <c r="AF51">
        <f t="shared" si="17"/>
        <v>1.6583123951776999</v>
      </c>
      <c r="AG51">
        <f t="shared" si="18"/>
        <v>29</v>
      </c>
    </row>
    <row r="52" spans="1:33" x14ac:dyDescent="0.5">
      <c r="A52" t="s">
        <v>165</v>
      </c>
      <c r="B52">
        <v>0</v>
      </c>
      <c r="C52">
        <v>4.01</v>
      </c>
      <c r="F52" s="4">
        <v>33.24</v>
      </c>
      <c r="H52" s="4">
        <v>65</v>
      </c>
      <c r="I52" s="4">
        <v>901</v>
      </c>
      <c r="J52" s="4"/>
      <c r="K52" s="4"/>
      <c r="L52" s="4">
        <v>26.462499619999999</v>
      </c>
      <c r="M52" s="1">
        <f t="shared" si="13"/>
        <v>7.3506943388888885E-2</v>
      </c>
      <c r="N52" s="4">
        <v>2269</v>
      </c>
      <c r="O52" s="1">
        <v>1.1499999999999999</v>
      </c>
      <c r="P52" s="2">
        <v>78.739999999999995</v>
      </c>
      <c r="Q52" s="1">
        <v>286.10000000000002</v>
      </c>
      <c r="R52">
        <v>83.39</v>
      </c>
      <c r="S52">
        <v>1.94</v>
      </c>
      <c r="T52" s="1">
        <v>29</v>
      </c>
      <c r="U52" s="1">
        <v>491.49</v>
      </c>
      <c r="V52">
        <v>7.33</v>
      </c>
      <c r="W52">
        <v>19.46</v>
      </c>
      <c r="X52">
        <v>1.1599999999999999</v>
      </c>
      <c r="Y52">
        <f t="shared" ref="Y52:Y53" si="19">(H52/100)*C52</f>
        <v>2.6065</v>
      </c>
      <c r="Z52" s="1">
        <f t="shared" si="14"/>
        <v>26.065000000000001</v>
      </c>
      <c r="AA52">
        <v>1.44</v>
      </c>
      <c r="AB52" s="1">
        <f t="shared" si="6"/>
        <v>35.910224438902745</v>
      </c>
      <c r="AC52" t="s">
        <v>45</v>
      </c>
      <c r="AD52">
        <f t="shared" si="15"/>
        <v>1.94</v>
      </c>
      <c r="AE52" s="6">
        <f t="shared" si="16"/>
        <v>1.6144658559412151</v>
      </c>
      <c r="AF52">
        <f t="shared" si="17"/>
        <v>1.2</v>
      </c>
      <c r="AG52">
        <f t="shared" si="18"/>
        <v>29</v>
      </c>
    </row>
    <row r="53" spans="1:33" x14ac:dyDescent="0.5">
      <c r="A53" t="s">
        <v>166</v>
      </c>
      <c r="B53">
        <v>0</v>
      </c>
      <c r="C53">
        <v>2.0699999999999998</v>
      </c>
      <c r="F53" s="4">
        <v>33.24</v>
      </c>
      <c r="H53" s="4">
        <v>56</v>
      </c>
      <c r="I53" s="4">
        <v>1029</v>
      </c>
      <c r="J53" s="4"/>
      <c r="K53" s="4"/>
      <c r="L53" s="4">
        <v>22.48500061</v>
      </c>
      <c r="M53" s="1">
        <f t="shared" si="13"/>
        <v>6.2458335027777777E-2</v>
      </c>
      <c r="N53" s="4">
        <v>2154</v>
      </c>
      <c r="O53" s="1">
        <v>1.1000000000000001</v>
      </c>
      <c r="P53" s="2">
        <v>78.739999999999995</v>
      </c>
      <c r="Q53" s="1">
        <v>232.5</v>
      </c>
      <c r="R53">
        <v>83.77</v>
      </c>
      <c r="S53">
        <v>1.94</v>
      </c>
      <c r="T53" s="1">
        <v>29</v>
      </c>
      <c r="U53" s="1">
        <v>508.01</v>
      </c>
      <c r="V53">
        <v>7.68</v>
      </c>
      <c r="W53">
        <v>19.47</v>
      </c>
      <c r="X53">
        <v>0.31</v>
      </c>
      <c r="Y53">
        <f t="shared" si="19"/>
        <v>1.1592</v>
      </c>
      <c r="Z53" s="1">
        <f t="shared" si="14"/>
        <v>11.592000000000001</v>
      </c>
      <c r="AA53">
        <v>0.14000000000000001</v>
      </c>
      <c r="AB53" s="1">
        <f t="shared" si="6"/>
        <v>6.7632850241545901</v>
      </c>
      <c r="AC53" t="s">
        <v>45</v>
      </c>
      <c r="AD53">
        <f t="shared" si="15"/>
        <v>1.94</v>
      </c>
      <c r="AE53" s="6">
        <f t="shared" si="16"/>
        <v>1.0766615066955816</v>
      </c>
      <c r="AF53">
        <f t="shared" si="17"/>
        <v>0.37416573867739417</v>
      </c>
      <c r="AG53">
        <f t="shared" si="18"/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C598-6C64-4D0D-A952-AED9F6384149}">
  <dimension ref="A1:AC53"/>
  <sheetViews>
    <sheetView zoomScale="80" zoomScaleNormal="80" workbookViewId="0">
      <pane xSplit="1" topLeftCell="B1" activePane="topRight" state="frozen"/>
      <selection activeCell="C27" sqref="C27"/>
      <selection pane="topRight" activeCell="B1" sqref="B1:G1048576"/>
    </sheetView>
  </sheetViews>
  <sheetFormatPr defaultRowHeight="14.35" x14ac:dyDescent="0.5"/>
  <cols>
    <col min="1" max="1" width="22.8203125" customWidth="1"/>
    <col min="2" max="3" width="15.87890625" customWidth="1"/>
    <col min="4" max="4" width="20" customWidth="1"/>
    <col min="5" max="5" width="12.3515625" customWidth="1"/>
    <col min="6" max="6" width="11.703125" customWidth="1"/>
    <col min="7" max="7" width="13" customWidth="1"/>
    <col min="8" max="8" width="20.1171875" customWidth="1"/>
    <col min="9" max="9" width="16.46875" customWidth="1"/>
    <col min="10" max="10" width="18.703125" customWidth="1"/>
    <col min="11" max="11" width="12.5859375" customWidth="1"/>
    <col min="12" max="13" width="12.8203125" customWidth="1"/>
    <col min="14" max="14" width="12.1171875" customWidth="1"/>
    <col min="15" max="15" width="11.9375" customWidth="1"/>
    <col min="16" max="17" width="12.76171875" customWidth="1"/>
    <col min="18" max="18" width="12.703125" customWidth="1"/>
    <col min="19" max="19" width="16.64453125" customWidth="1"/>
    <col min="20" max="20" width="11.87890625" customWidth="1"/>
    <col min="21" max="22" width="12.8203125" customWidth="1"/>
  </cols>
  <sheetData>
    <row r="1" spans="1:29" x14ac:dyDescent="0.5">
      <c r="A1" t="s">
        <v>0</v>
      </c>
      <c r="B1" t="s">
        <v>52</v>
      </c>
      <c r="C1" t="s">
        <v>53</v>
      </c>
      <c r="D1" t="s">
        <v>54</v>
      </c>
      <c r="E1" t="s">
        <v>21</v>
      </c>
      <c r="F1" t="s">
        <v>22</v>
      </c>
      <c r="G1" t="s">
        <v>32</v>
      </c>
      <c r="H1" t="s">
        <v>56</v>
      </c>
      <c r="I1" t="s">
        <v>57</v>
      </c>
      <c r="J1" t="s">
        <v>55</v>
      </c>
      <c r="K1" t="s">
        <v>24</v>
      </c>
      <c r="L1" t="s">
        <v>25</v>
      </c>
      <c r="M1" t="s">
        <v>47</v>
      </c>
      <c r="N1" t="s">
        <v>26</v>
      </c>
      <c r="O1" t="s">
        <v>27</v>
      </c>
      <c r="P1" t="s">
        <v>28</v>
      </c>
      <c r="Q1" t="s">
        <v>33</v>
      </c>
      <c r="R1" t="s">
        <v>29</v>
      </c>
      <c r="S1" t="s">
        <v>30</v>
      </c>
      <c r="T1" t="s">
        <v>31</v>
      </c>
      <c r="U1" t="s">
        <v>129</v>
      </c>
      <c r="V1" t="s">
        <v>19</v>
      </c>
      <c r="W1" t="s">
        <v>112</v>
      </c>
      <c r="X1" t="s">
        <v>117</v>
      </c>
      <c r="Y1" t="s">
        <v>145</v>
      </c>
      <c r="Z1" t="s">
        <v>144</v>
      </c>
      <c r="AA1" t="s">
        <v>147</v>
      </c>
      <c r="AB1" t="s">
        <v>146</v>
      </c>
      <c r="AC1" t="s">
        <v>148</v>
      </c>
    </row>
    <row r="2" spans="1:29" x14ac:dyDescent="0.5">
      <c r="A2" t="s">
        <v>90</v>
      </c>
      <c r="B2" s="2"/>
      <c r="C2" s="2"/>
      <c r="D2" s="2">
        <f>-((-7.21)+(2.83*LN(Catchment_Stats!V2)-(0.03*Catchment_Stats!E2)-(0.03*Catchment_Stats!H2)+(0.04*Catchment_Stats!P2)))</f>
        <v>0.60196848203809061</v>
      </c>
      <c r="E2" s="2">
        <f>-(5.52 - (0.036*Catchment_Stats!R2) + (1.17*LN(Catchment_Stats!V2)) -(0.35*Catchment_Stats!W2))</f>
        <v>-4.5117997441750646</v>
      </c>
      <c r="F2" s="2">
        <f>-(4.83+(0.66*LN(Catchment_Stats!V2)-(0.004*Catchment_Stats!T2)-(0.27*Catchment_Stats!W2)+(0.16*SQRT(Catchment_Stats!H2))))</f>
        <v>-6.5209446099985282</v>
      </c>
      <c r="G2" s="2">
        <f>-((3.75)-(0.002*Catchment_Stats!Q2)+(0.022*SQRT(Catchment_Stats!H2))+(0.093*Catchment_Stats!O2)+(0.75*LN(Catchment_Stats!N2)))</f>
        <v>-9.5332601029592929</v>
      </c>
      <c r="H2" s="2"/>
      <c r="I2" s="2"/>
      <c r="J2" s="2">
        <f t="shared" ref="J2:M20" si="0">10^(-D2/3.322)</f>
        <v>0.65886031989162841</v>
      </c>
      <c r="K2" s="2">
        <f t="shared" si="0"/>
        <v>22.811700410420805</v>
      </c>
      <c r="L2" s="2">
        <f t="shared" si="0"/>
        <v>91.82426024994551</v>
      </c>
      <c r="M2" s="2">
        <f t="shared" si="0"/>
        <v>740.85826518098895</v>
      </c>
      <c r="U2" s="2">
        <f>(2.7+((1.9*Catchment_Stats!AD2)+(1.75*Catchment_Stats!AE2)+(0.8*Catchment_Stats!AF2)+(0.003*Catchment_Stats!U2)))</f>
        <v>6.9811643887453823</v>
      </c>
      <c r="V2" s="2">
        <f t="shared" ref="V2:V53" si="1">EXP(U2)</f>
        <v>1076.1707188151934</v>
      </c>
      <c r="W2">
        <f>EXP((4.22+(0.39*(AA2^(1/2)))+(0.36*LN(Catchment_Stats!AA2))+(0.13*(Catchment_Stats!I2^(1/2)))))</f>
        <v>3253.1338520230838</v>
      </c>
      <c r="X2">
        <v>1537.7</v>
      </c>
      <c r="Y2">
        <f>LN(X2)</f>
        <v>7.3380430725216472</v>
      </c>
      <c r="Z2">
        <f>((Y2 - (0.13*(Catchment_Stats!I2^0.5)) - (0.36*LN(Catchment_Stats!AA2)) - 4.22)/(0.39))^2</f>
        <v>8.2625776884893671</v>
      </c>
      <c r="AA2">
        <v>23</v>
      </c>
      <c r="AB2">
        <v>30</v>
      </c>
      <c r="AC2">
        <v>42</v>
      </c>
    </row>
    <row r="3" spans="1:29" x14ac:dyDescent="0.5">
      <c r="A3" t="s">
        <v>152</v>
      </c>
      <c r="B3" s="2"/>
      <c r="C3" s="2"/>
      <c r="D3" s="2">
        <f>-((-7.21)+(2.83*LN(Catchment_Stats!V3)-(0.03*Catchment_Stats!E3)-(0.03*Catchment_Stats!H3)+(0.04*Catchment_Stats!P3)))</f>
        <v>-0.6506979160939057</v>
      </c>
      <c r="E3" s="2">
        <f>-(5.52 - (0.036*Catchment_Stats!R3) + (1.17*LN(Catchment_Stats!V3)) -(0.35*Catchment_Stats!W3))</f>
        <v>-4.120378714427515</v>
      </c>
      <c r="F3" s="2">
        <f>-(4.83+(0.66*LN(Catchment_Stats!V3)-(0.004*Catchment_Stats!T3)-(0.27*Catchment_Stats!W3)+(0.16*SQRT(Catchment_Stats!H3))))</f>
        <v>-5.8629135731322979</v>
      </c>
      <c r="G3" s="2">
        <f>-((3.75)-(0.002*Catchment_Stats!Q3)+(0.022*SQRT(Catchment_Stats!H3))+(0.093*Catchment_Stats!O3)+(0.75*LN(Catchment_Stats!N3)))</f>
        <v>-9.3326052982091774</v>
      </c>
      <c r="H3" s="2"/>
      <c r="I3" s="2"/>
      <c r="J3" s="2">
        <f t="shared" si="0"/>
        <v>1.5699121515177521</v>
      </c>
      <c r="K3" s="2">
        <f t="shared" si="0"/>
        <v>17.391247625434413</v>
      </c>
      <c r="L3" s="2">
        <f t="shared" si="0"/>
        <v>58.193522440669362</v>
      </c>
      <c r="M3" s="2">
        <f t="shared" si="0"/>
        <v>644.66385779165182</v>
      </c>
      <c r="N3">
        <v>0.33</v>
      </c>
      <c r="O3">
        <v>11.85</v>
      </c>
      <c r="P3">
        <v>55.86</v>
      </c>
      <c r="Q3">
        <v>537.5</v>
      </c>
      <c r="R3">
        <v>12.15</v>
      </c>
      <c r="S3">
        <v>40.99</v>
      </c>
      <c r="T3">
        <v>74.31</v>
      </c>
      <c r="U3" s="2">
        <f>(2.7+((1.9*Catchment_Stats!AD3)+(1.75*Catchment_Stats!AE3)+(0.8*Catchment_Stats!AF3)+(0.003*Catchment_Stats!U3)))</f>
        <v>8.5609938433418762</v>
      </c>
      <c r="V3" s="2">
        <f t="shared" si="1"/>
        <v>5223.8703021524734</v>
      </c>
      <c r="W3">
        <f>EXP((4.22+(0.39*(AA3^(1/2)))+(0.36*LN(Catchment_Stats!AA3))+(0.13*(Catchment_Stats!I3^(1/2)))))</f>
        <v>21612.316091012392</v>
      </c>
      <c r="X3">
        <v>3267.823069</v>
      </c>
      <c r="Y3">
        <f t="shared" ref="Y3:Y53" si="2">LN(X3)</f>
        <v>8.0918793140613694</v>
      </c>
      <c r="Z3">
        <f>((Y3 - (0.13*(Catchment_Stats!I3^0.5)) - (0.36*LN(Catchment_Stats!AA3)) - 4.22)/(0.39))^2</f>
        <v>2.3150933016226052E-3</v>
      </c>
      <c r="AA3">
        <v>23</v>
      </c>
      <c r="AB3">
        <v>30</v>
      </c>
      <c r="AC3">
        <v>42</v>
      </c>
    </row>
    <row r="4" spans="1:29" x14ac:dyDescent="0.5">
      <c r="A4" t="s">
        <v>80</v>
      </c>
      <c r="B4" s="2"/>
      <c r="C4" s="2"/>
      <c r="D4" s="2">
        <f>-((-7.21)+(2.83*LN(Catchment_Stats!V4)-(0.03*Catchment_Stats!E4)-(0.03*Catchment_Stats!H4)+(0.04*Catchment_Stats!P4)))</f>
        <v>1.4138581933214338</v>
      </c>
      <c r="E4" s="2">
        <f>-(5.52 - (0.036*Catchment_Stats!R4) + (1.17*LN(Catchment_Stats!V4)) -(0.35*Catchment_Stats!W4))</f>
        <v>-4.1544876610523698</v>
      </c>
      <c r="F4" s="2">
        <f>-(4.83+(0.66*LN(Catchment_Stats!V4)-(0.004*Catchment_Stats!T4)-(0.27*Catchment_Stats!W4)+(0.16*SQRT(Catchment_Stats!H4))))</f>
        <v>-5.6171338876836057</v>
      </c>
      <c r="G4" s="2">
        <f>-((3.75)-(0.002*Catchment_Stats!Q4)+(0.022*SQRT(Catchment_Stats!H4))+(0.093*Catchment_Stats!O4)+(0.75*LN(Catchment_Stats!N4)))</f>
        <v>-9.4968741800832994</v>
      </c>
      <c r="H4" s="2"/>
      <c r="I4" s="2"/>
      <c r="J4" s="2">
        <f t="shared" si="0"/>
        <v>0.37531462381539088</v>
      </c>
      <c r="K4" s="2">
        <f t="shared" si="0"/>
        <v>17.807310550668493</v>
      </c>
      <c r="L4" s="2">
        <f t="shared" si="0"/>
        <v>49.078263674492106</v>
      </c>
      <c r="M4" s="2">
        <f t="shared" si="0"/>
        <v>722.40727886131492</v>
      </c>
      <c r="U4" s="2">
        <f>(2.7+((1.9*Catchment_Stats!AD4)+(1.75*Catchment_Stats!AE4)+(0.8*Catchment_Stats!AF4)+(0.003*Catchment_Stats!U4)))</f>
        <v>7.9396853902104274</v>
      </c>
      <c r="V4" s="2">
        <f t="shared" si="1"/>
        <v>2806.4774241225709</v>
      </c>
      <c r="W4">
        <f>EXP((4.22+(0.39*(AA4^(1/2)))+(0.36*LN(Catchment_Stats!AA4))+(0.13*(Catchment_Stats!I4^(1/2)))))</f>
        <v>6010.7468040069416</v>
      </c>
      <c r="X4">
        <v>13846.1322</v>
      </c>
      <c r="Y4">
        <f t="shared" si="2"/>
        <v>9.5357612090762558</v>
      </c>
      <c r="Z4">
        <f>((Y4 - (0.13*(Catchment_Stats!I4^0.5)) - (0.36*LN(Catchment_Stats!AA4)) - 4.22)/(0.39))^2</f>
        <v>48.100670253710227</v>
      </c>
      <c r="AA4">
        <v>23</v>
      </c>
      <c r="AB4">
        <v>30</v>
      </c>
      <c r="AC4">
        <v>42</v>
      </c>
    </row>
    <row r="5" spans="1:29" x14ac:dyDescent="0.5">
      <c r="A5" t="s">
        <v>79</v>
      </c>
      <c r="B5" s="2"/>
      <c r="C5" s="2"/>
      <c r="D5" s="2">
        <f>-((-7.21)+(2.83*LN(Catchment_Stats!V5)-(0.03*Catchment_Stats!E5)-(0.03*Catchment_Stats!H5)+(0.04*Catchment_Stats!P5)))</f>
        <v>1.9673407877043259</v>
      </c>
      <c r="E5" s="2">
        <f>-(5.52 - (0.036*Catchment_Stats!R5) + (1.17*LN(Catchment_Stats!V5)) -(0.35*Catchment_Stats!W5))</f>
        <v>-4.2382051160374337</v>
      </c>
      <c r="F5" s="2">
        <f>-(4.83+(0.66*LN(Catchment_Stats!V5)-(0.004*Catchment_Stats!T5)-(0.27*Catchment_Stats!W5)+(0.16*SQRT(Catchment_Stats!H5))))</f>
        <v>-6.2657947706709818</v>
      </c>
      <c r="G5" s="2">
        <f>-((3.75)-(0.002*Catchment_Stats!Q5)+(0.022*SQRT(Catchment_Stats!H5))+(0.093*Catchment_Stats!O5)+(0.75*LN(Catchment_Stats!N5)))</f>
        <v>-9.5462479305310062</v>
      </c>
      <c r="H5" s="2"/>
      <c r="I5" s="2"/>
      <c r="J5" s="2">
        <f t="shared" si="0"/>
        <v>0.25573150239314629</v>
      </c>
      <c r="K5" s="2">
        <f t="shared" si="0"/>
        <v>18.871188480346365</v>
      </c>
      <c r="L5" s="2">
        <f t="shared" si="0"/>
        <v>76.939851859288197</v>
      </c>
      <c r="M5" s="2">
        <f t="shared" si="0"/>
        <v>747.55778987380552</v>
      </c>
      <c r="U5" s="2">
        <f>(2.7+((1.9*Catchment_Stats!AD5)+(1.75*Catchment_Stats!AE5)+(0.8*Catchment_Stats!AF5)+(0.003*Catchment_Stats!U5)))</f>
        <v>8.167281377952067</v>
      </c>
      <c r="V5" s="2">
        <f t="shared" si="1"/>
        <v>3523.7511823019936</v>
      </c>
      <c r="W5">
        <f>EXP((4.22+(0.39*(AA5^(1/2)))+(0.36*LN(Catchment_Stats!AA5))+(0.13*(Catchment_Stats!I5^(1/2)))))</f>
        <v>6557.2758723553643</v>
      </c>
      <c r="X5">
        <v>1128.265611</v>
      </c>
      <c r="Y5">
        <f t="shared" si="2"/>
        <v>7.0284368750838002</v>
      </c>
      <c r="Z5">
        <f>((Y5 - (0.13*(Catchment_Stats!I5^0.5)) - (0.36*LN(Catchment_Stats!AA5)) - 4.22)/(0.39))^2</f>
        <v>8.0249645742345777E-2</v>
      </c>
      <c r="AA5">
        <v>23</v>
      </c>
      <c r="AB5">
        <v>30</v>
      </c>
      <c r="AC5">
        <v>42</v>
      </c>
    </row>
    <row r="6" spans="1:29" x14ac:dyDescent="0.5">
      <c r="A6" t="s">
        <v>167</v>
      </c>
      <c r="B6" s="2"/>
      <c r="C6" s="2"/>
      <c r="D6" s="2">
        <f>-((-7.21)+(2.83*LN(Catchment_Stats!V6)-(0.03*Catchment_Stats!E6)-(0.03*Catchment_Stats!H6)+(0.04*Catchment_Stats!P6)))</f>
        <v>0.77539161290875125</v>
      </c>
      <c r="E6" s="2">
        <f>-(5.52 - (0.036*Catchment_Stats!R6) + (1.17*LN(Catchment_Stats!V6)) -(0.35*Catchment_Stats!W6))</f>
        <v>-2.9453960469599862</v>
      </c>
      <c r="F6" s="2">
        <f>-(4.83+(0.66*LN(Catchment_Stats!V6)-(0.004*Catchment_Stats!T6)-(0.27*Catchment_Stats!W6)+(0.16*SQRT(Catchment_Stats!H6))))</f>
        <v>-4.9161995777650978</v>
      </c>
      <c r="G6" s="2">
        <f>-((3.75)-(0.002*Catchment_Stats!Q6)+(0.022*SQRT(Catchment_Stats!H6))+(0.093*Catchment_Stats!O6)+(0.75*LN(Catchment_Stats!N6)))</f>
        <v>-9.415829240305932</v>
      </c>
      <c r="H6" s="2"/>
      <c r="I6" s="2"/>
      <c r="J6" s="2">
        <f t="shared" si="0"/>
        <v>0.5842368128356985</v>
      </c>
      <c r="K6" s="2">
        <f t="shared" si="0"/>
        <v>7.7025294509852831</v>
      </c>
      <c r="L6" s="2">
        <f t="shared" si="0"/>
        <v>30.191973695429759</v>
      </c>
      <c r="M6" s="2">
        <f t="shared" si="0"/>
        <v>682.94492705198229</v>
      </c>
      <c r="U6" s="2">
        <f>(2.7+((1.9*Catchment_Stats!AD6)+(1.75*Catchment_Stats!AE6)+(0.8*Catchment_Stats!AF6)+(0.003*Catchment_Stats!U6)))</f>
        <v>7.7462700853708801</v>
      </c>
      <c r="V6" s="2">
        <f t="shared" si="1"/>
        <v>2312.929276802779</v>
      </c>
      <c r="W6">
        <f>EXP((4.22+(0.39*(AA6^(1/2)))+(0.36*LN(Catchment_Stats!AA6))+(0.13*(Catchment_Stats!I6^(1/2)))))</f>
        <v>1527.6469341783368</v>
      </c>
      <c r="X6">
        <v>5982.9740000000002</v>
      </c>
      <c r="Y6">
        <f t="shared" si="2"/>
        <v>8.6966730477345919</v>
      </c>
      <c r="Z6">
        <f>((Y6 - (0.13*(Catchment_Stats!I6^0.5)) - (0.36*LN(Catchment_Stats!AA6)) - 4.22)/(0.39))^2</f>
        <v>68.828868651733387</v>
      </c>
      <c r="AA6">
        <v>23</v>
      </c>
      <c r="AB6">
        <v>30</v>
      </c>
      <c r="AC6">
        <v>42</v>
      </c>
    </row>
    <row r="7" spans="1:29" x14ac:dyDescent="0.5">
      <c r="A7" t="s">
        <v>169</v>
      </c>
      <c r="B7" s="2"/>
      <c r="C7" s="2"/>
      <c r="D7" s="2">
        <f>-((-7.21)+(2.83*LN(Catchment_Stats!V7)-(0.03*Catchment_Stats!E7)-(0.03*Catchment_Stats!H7)+(0.04*Catchment_Stats!P7)))</f>
        <v>0.98604672690370787</v>
      </c>
      <c r="E7" s="2">
        <f>-(5.52 - (0.036*Catchment_Stats!R7) + (1.17*LN(Catchment_Stats!V7)) -(0.35*Catchment_Stats!W7))</f>
        <v>-2.9125591977111873</v>
      </c>
      <c r="F7" s="2">
        <f>-(4.83+(0.66*LN(Catchment_Stats!V7)-(0.004*Catchment_Stats!T7)-(0.27*Catchment_Stats!W7)+(0.16*SQRT(Catchment_Stats!H7))))</f>
        <v>-4.8167095691554298</v>
      </c>
      <c r="G7" s="2">
        <f>-((3.75)-(0.002*Catchment_Stats!Q7)+(0.022*SQRT(Catchment_Stats!H7))+(0.093*Catchment_Stats!O7)+(0.75*LN(Catchment_Stats!N7)))</f>
        <v>-9.448779255474129</v>
      </c>
      <c r="H7" s="2"/>
      <c r="I7" s="2"/>
      <c r="J7" s="2">
        <f t="shared" si="0"/>
        <v>0.5048667657372663</v>
      </c>
      <c r="K7" s="2">
        <f t="shared" si="0"/>
        <v>7.5291977695488548</v>
      </c>
      <c r="L7" s="2">
        <f t="shared" si="0"/>
        <v>28.180109468942582</v>
      </c>
      <c r="M7" s="2">
        <f t="shared" si="0"/>
        <v>698.72199026930753</v>
      </c>
      <c r="U7" s="2">
        <f>(2.7+((1.9*Catchment_Stats!AD7)+(1.75*Catchment_Stats!AE7)+(0.8*Catchment_Stats!AF7)+(0.003*Catchment_Stats!U7)))</f>
        <v>8.4274875842498531</v>
      </c>
      <c r="V7" s="2">
        <f t="shared" si="1"/>
        <v>4571.0013983518893</v>
      </c>
      <c r="W7">
        <f>EXP((4.22+(0.39*(AA7^(1/2)))+(0.36*LN(Catchment_Stats!AA7))+(0.13*(Catchment_Stats!I7^(1/2)))))</f>
        <v>4605.5779174852587</v>
      </c>
      <c r="X7">
        <v>3861.25</v>
      </c>
      <c r="Y7">
        <f t="shared" si="2"/>
        <v>8.2587462442327908</v>
      </c>
      <c r="Z7">
        <f>((Y7 - (0.13*(Catchment_Stats!I7^0.5)) - (0.36*LN(Catchment_Stats!AA7)) - 4.22)/(0.39))^2</f>
        <v>18.868934800517618</v>
      </c>
      <c r="AA7">
        <v>23</v>
      </c>
      <c r="AB7">
        <v>30</v>
      </c>
      <c r="AC7">
        <v>42</v>
      </c>
    </row>
    <row r="8" spans="1:29" x14ac:dyDescent="0.5">
      <c r="A8" t="s">
        <v>168</v>
      </c>
      <c r="B8" s="2"/>
      <c r="C8" s="2"/>
      <c r="D8" s="2">
        <f>-((-7.21)+(2.83*LN(Catchment_Stats!V8)-(0.03*Catchment_Stats!E8)-(0.03*Catchment_Stats!H8)+(0.04*Catchment_Stats!P8)))</f>
        <v>2.6249413036795763</v>
      </c>
      <c r="E8" s="2">
        <f>-(5.52 - (0.036*Catchment_Stats!R8) + (1.17*LN(Catchment_Stats!V8)) -(0.35*Catchment_Stats!W8))</f>
        <v>-3.2222469521890091</v>
      </c>
      <c r="F8" s="2">
        <f>-(4.83+(0.66*LN(Catchment_Stats!V8)-(0.004*Catchment_Stats!T8)-(0.27*Catchment_Stats!W8)+(0.16*SQRT(Catchment_Stats!H8))))</f>
        <v>-5.5265742724442317</v>
      </c>
      <c r="G8" s="2">
        <f>-((3.75)-(0.002*Catchment_Stats!Q8)+(0.022*SQRT(Catchment_Stats!H8))+(0.093*Catchment_Stats!O8)+(0.75*LN(Catchment_Stats!N8)))</f>
        <v>-9.5706174794740697</v>
      </c>
      <c r="H8" s="2"/>
      <c r="I8" s="2"/>
      <c r="J8" s="2">
        <f t="shared" si="0"/>
        <v>0.16211792424748206</v>
      </c>
      <c r="K8" s="2">
        <f t="shared" si="0"/>
        <v>9.3319411303202173</v>
      </c>
      <c r="L8" s="2">
        <f t="shared" si="0"/>
        <v>46.09232537948256</v>
      </c>
      <c r="M8" s="2">
        <f t="shared" si="0"/>
        <v>760.29227495699024</v>
      </c>
      <c r="U8" s="2">
        <f>(2.7+((1.9*Catchment_Stats!AD8)+(1.75*Catchment_Stats!AE8)+(0.8*Catchment_Stats!AF8)+(0.003*Catchment_Stats!U8)))</f>
        <v>8.8679027942430153</v>
      </c>
      <c r="V8" s="2">
        <f t="shared" si="1"/>
        <v>7100.3744014878557</v>
      </c>
      <c r="W8">
        <f>EXP((4.22+(0.39*(AA8^(1/2)))+(0.36*LN(Catchment_Stats!AA8))+(0.13*(Catchment_Stats!I8^(1/2)))))</f>
        <v>11860.87696788522</v>
      </c>
      <c r="X8">
        <v>2987.212</v>
      </c>
      <c r="Y8">
        <f t="shared" si="2"/>
        <v>8.0020957899191867</v>
      </c>
      <c r="Z8">
        <f>((Y8 - (0.13*(Catchment_Stats!I8^0.5)) - (0.36*LN(Catchment_Stats!AA8)) - 4.22)/(0.39))^2</f>
        <v>1.5880489203890238</v>
      </c>
      <c r="AA8">
        <v>23</v>
      </c>
      <c r="AB8">
        <v>30</v>
      </c>
      <c r="AC8">
        <v>42</v>
      </c>
    </row>
    <row r="9" spans="1:29" x14ac:dyDescent="0.5">
      <c r="A9" t="s">
        <v>81</v>
      </c>
      <c r="B9" s="2"/>
      <c r="C9" s="2"/>
      <c r="D9" s="2">
        <f>-((-7.21)+(2.83*LN(Catchment_Stats!V9)-(0.03*Catchment_Stats!E9)-(0.03*Catchment_Stats!H9)+(0.04*Catchment_Stats!P9)))</f>
        <v>-0.23400554240771765</v>
      </c>
      <c r="E9" s="2">
        <f>-(5.52 - (0.036*Catchment_Stats!R9) + (1.17*LN(Catchment_Stats!V9)) -(0.35*Catchment_Stats!W9))</f>
        <v>-2.6151203125855225</v>
      </c>
      <c r="F9" s="2">
        <f>-(4.83+(0.66*LN(Catchment_Stats!V9)-(0.004*Catchment_Stats!T9)-(0.27*Catchment_Stats!W9)+(0.16*SQRT(Catchment_Stats!H9))))</f>
        <v>-4.6156172163617697</v>
      </c>
      <c r="G9" s="2">
        <f>-((3.75)-(0.002*Catchment_Stats!Q9)+(0.022*SQRT(Catchment_Stats!H9))+(0.093*Catchment_Stats!O9)+(0.75*LN(Catchment_Stats!N9)))</f>
        <v>-9.4191354379653269</v>
      </c>
      <c r="H9" s="2"/>
      <c r="I9" s="2"/>
      <c r="J9" s="2">
        <f t="shared" si="0"/>
        <v>1.1760916394108683</v>
      </c>
      <c r="K9" s="2">
        <f t="shared" si="0"/>
        <v>6.1265025226433085</v>
      </c>
      <c r="L9" s="2">
        <f t="shared" si="0"/>
        <v>24.513716321858553</v>
      </c>
      <c r="M9" s="2">
        <f t="shared" si="0"/>
        <v>684.51178012853256</v>
      </c>
      <c r="N9">
        <v>0.53</v>
      </c>
      <c r="O9">
        <v>6.88</v>
      </c>
      <c r="P9">
        <v>56.88</v>
      </c>
      <c r="Q9">
        <v>860</v>
      </c>
      <c r="R9">
        <v>19.21</v>
      </c>
      <c r="S9">
        <v>32.26</v>
      </c>
      <c r="T9">
        <v>55.9</v>
      </c>
      <c r="U9" s="2">
        <f>(2.7+((1.9*Catchment_Stats!AD9)+(1.75*Catchment_Stats!AE9)+(0.8*Catchment_Stats!AF9)+(0.003*Catchment_Stats!U9)))</f>
        <v>6.8378414380208019</v>
      </c>
      <c r="V9" s="2">
        <f t="shared" si="1"/>
        <v>932.47415752198458</v>
      </c>
      <c r="W9">
        <f>EXP((4.22+(0.39*(AA9^(1/2)))+(0.36*LN(Catchment_Stats!AA9))+(0.13*(Catchment_Stats!I9^(1/2)))))</f>
        <v>1451.28861240789</v>
      </c>
      <c r="X9">
        <v>2403.855</v>
      </c>
      <c r="Y9">
        <f t="shared" si="2"/>
        <v>7.7848289776962396</v>
      </c>
      <c r="Z9">
        <f>((Y9 - (0.13*(Catchment_Stats!I9^0.5)) - (0.36*LN(Catchment_Stats!AA9)) - 4.22)/(0.39))^2</f>
        <v>44.609935425686238</v>
      </c>
      <c r="AA9">
        <v>29</v>
      </c>
      <c r="AB9">
        <v>38</v>
      </c>
      <c r="AC9">
        <v>52</v>
      </c>
    </row>
    <row r="10" spans="1:29" x14ac:dyDescent="0.5">
      <c r="A10" t="s">
        <v>82</v>
      </c>
      <c r="B10" s="2"/>
      <c r="C10" s="2"/>
      <c r="D10" s="2">
        <f>-((-7.21)+(2.83*LN(Catchment_Stats!V10)-(0.03*Catchment_Stats!E10)-(0.03*Catchment_Stats!H10)+(0.04*Catchment_Stats!P10)))</f>
        <v>2.5699568540357181</v>
      </c>
      <c r="E10" s="2">
        <f>-(5.52 - (0.036*Catchment_Stats!R10) + (1.17*LN(Catchment_Stats!V10)) -(0.35*Catchment_Stats!W10))</f>
        <v>-4.2484476610523707</v>
      </c>
      <c r="F10" s="2">
        <f>-(4.83+(0.66*LN(Catchment_Stats!V10)-(0.004*Catchment_Stats!T10)-(0.27*Catchment_Stats!W10)+(0.16*SQRT(Catchment_Stats!H10))))</f>
        <v>-6.1681466833249656</v>
      </c>
      <c r="G10" s="2">
        <f>-((3.75)-(0.002*Catchment_Stats!Q10)+(0.022*SQRT(Catchment_Stats!H10))+(0.093*Catchment_Stats!O10)+(0.75*LN(Catchment_Stats!N10)))</f>
        <v>-9.1279463910489618</v>
      </c>
      <c r="H10" s="2"/>
      <c r="I10" s="2"/>
      <c r="J10" s="2">
        <f t="shared" si="0"/>
        <v>0.16841572716685121</v>
      </c>
      <c r="K10" s="2">
        <f t="shared" si="0"/>
        <v>19.005640004407908</v>
      </c>
      <c r="L10" s="2">
        <f t="shared" si="0"/>
        <v>71.904650340271488</v>
      </c>
      <c r="M10" s="2">
        <f t="shared" si="0"/>
        <v>559.40479718159031</v>
      </c>
      <c r="N10">
        <v>2.7</v>
      </c>
      <c r="O10">
        <v>7.5</v>
      </c>
      <c r="P10">
        <v>46.98</v>
      </c>
      <c r="Q10">
        <v>628</v>
      </c>
      <c r="R10">
        <v>10.33</v>
      </c>
      <c r="S10">
        <v>19.3</v>
      </c>
      <c r="T10">
        <v>36.28</v>
      </c>
      <c r="U10" s="2">
        <f>(2.7+((1.9*Catchment_Stats!AD10)+(1.75*Catchment_Stats!AE10)+(0.8*Catchment_Stats!AF10)+(0.003*Catchment_Stats!U10)))</f>
        <v>7.9740023857519988</v>
      </c>
      <c r="V10" s="2">
        <f t="shared" si="1"/>
        <v>2904.4588967345721</v>
      </c>
      <c r="W10">
        <f>EXP((4.22+(0.39*(AA10^(1/2)))+(0.36*LN(Catchment_Stats!AA10))+(0.13*(Catchment_Stats!I10^(1/2)))))</f>
        <v>5406.731427472705</v>
      </c>
      <c r="X10">
        <v>1779.422</v>
      </c>
      <c r="Y10">
        <f t="shared" si="2"/>
        <v>7.4840438714523438</v>
      </c>
      <c r="Z10">
        <f>((Y10 - (0.13*(Catchment_Stats!I10^0.5)) - (0.36*LN(Catchment_Stats!AA10)) - 4.22)/(0.39))^2</f>
        <v>7.8805015744981031</v>
      </c>
      <c r="AA10">
        <v>32</v>
      </c>
      <c r="AB10">
        <v>42</v>
      </c>
      <c r="AC10">
        <v>58</v>
      </c>
    </row>
    <row r="11" spans="1:29" x14ac:dyDescent="0.5">
      <c r="A11" t="s">
        <v>83</v>
      </c>
      <c r="B11" s="2"/>
      <c r="C11" s="2"/>
      <c r="D11" s="2">
        <f>-((-7.21)+(2.83*LN(Catchment_Stats!V11)-(0.03*Catchment_Stats!E11)-(0.03*Catchment_Stats!H11)+(0.04*Catchment_Stats!P11)))</f>
        <v>2.3453568540357184</v>
      </c>
      <c r="E11" s="2">
        <f>-(5.52 - (0.036*Catchment_Stats!R11) + (1.17*LN(Catchment_Stats!V11)) -(0.35*Catchment_Stats!W11))</f>
        <v>-4.10300766105237</v>
      </c>
      <c r="F11" s="2">
        <f>-(4.83+(0.66*LN(Catchment_Stats!V11)-(0.004*Catchment_Stats!T11)-(0.27*Catchment_Stats!W11)+(0.16*SQRT(Catchment_Stats!H11))))</f>
        <v>-6.1222709274055394</v>
      </c>
      <c r="G11" s="2">
        <f>-((3.75)-(0.002*Catchment_Stats!Q11)+(0.022*SQRT(Catchment_Stats!H11))+(0.093*Catchment_Stats!O11)+(0.75*LN(Catchment_Stats!N11)))</f>
        <v>-9.5573189127174203</v>
      </c>
      <c r="H11" s="2"/>
      <c r="I11" s="2"/>
      <c r="J11" s="2">
        <f t="shared" si="0"/>
        <v>0.19678523889621896</v>
      </c>
      <c r="K11" s="2">
        <f t="shared" si="0"/>
        <v>17.183104999163678</v>
      </c>
      <c r="L11" s="2">
        <f t="shared" si="0"/>
        <v>69.654198469289938</v>
      </c>
      <c r="M11" s="2">
        <f t="shared" si="0"/>
        <v>753.31635605357417</v>
      </c>
      <c r="N11">
        <v>3.43</v>
      </c>
      <c r="O11">
        <v>20.56</v>
      </c>
      <c r="P11">
        <v>60.11</v>
      </c>
      <c r="Q11">
        <v>720</v>
      </c>
      <c r="R11">
        <v>10.58</v>
      </c>
      <c r="S11">
        <v>29.09</v>
      </c>
      <c r="T11">
        <v>61.65</v>
      </c>
      <c r="U11" s="2">
        <f>(2.7+((1.9*Catchment_Stats!AD11)+(1.75*Catchment_Stats!AE11)+(0.8*Catchment_Stats!AF11)+(0.003*Catchment_Stats!U11)))</f>
        <v>8.8353278561555584</v>
      </c>
      <c r="V11" s="2">
        <f t="shared" si="1"/>
        <v>6872.8067685547203</v>
      </c>
      <c r="W11">
        <f>EXP((4.22+(0.39*(AA11^(1/2)))+(0.36*LN(Catchment_Stats!AA11))+(0.13*(Catchment_Stats!I11^(1/2)))))</f>
        <v>7247.7475893093006</v>
      </c>
      <c r="X11">
        <v>5010.2189189999999</v>
      </c>
      <c r="Y11">
        <f t="shared" si="2"/>
        <v>8.519234889531436</v>
      </c>
      <c r="Z11">
        <f>((Y11 - (0.13*(Catchment_Stats!I11^0.5)) - (0.36*LN(Catchment_Stats!AA11)) - 4.22)/(0.39))^2</f>
        <v>22.185598157735999</v>
      </c>
      <c r="AA11">
        <v>32</v>
      </c>
      <c r="AB11">
        <v>42</v>
      </c>
      <c r="AC11">
        <v>58</v>
      </c>
    </row>
    <row r="12" spans="1:29" x14ac:dyDescent="0.5">
      <c r="A12" t="s">
        <v>86</v>
      </c>
      <c r="B12" s="2">
        <f>-((-7.21)+(2.83*LN(Catchment_Stats!V12)-(0.03*Catchment_Stats!G12)-(0.03*Catchment_Stats!H12)+(0.04*Catchment_Stats!P12)))</f>
        <v>1.7478902649932211</v>
      </c>
      <c r="C12" s="2"/>
      <c r="D12" s="2"/>
      <c r="E12" s="2">
        <f>-(5.52 - (0.036*Catchment_Stats!R12) + (1.17*LN(Catchment_Stats!V12)) -(0.35*Catchment_Stats!W12))</f>
        <v>-2.5333050847907881</v>
      </c>
      <c r="F12" s="2">
        <f>-(4.83+(0.66*LN(Catchment_Stats!V12)-(0.004*Catchment_Stats!T12)-(0.27*Catchment_Stats!W12)+(0.16*SQRT(Catchment_Stats!H12))))</f>
        <v>-5.0894025241985226</v>
      </c>
      <c r="G12" s="2">
        <f>-((3.75)-(0.002*Catchment_Stats!Q12)+(0.022*SQRT(Catchment_Stats!H12))+(0.093*Catchment_Stats!O12)+(0.75*LN(Catchment_Stats!N12)))</f>
        <v>-9.4151139624632929</v>
      </c>
      <c r="H12" s="2">
        <f>10^(-B12/3.322)</f>
        <v>0.29774466606158428</v>
      </c>
      <c r="I12" s="2"/>
      <c r="J12" s="2"/>
      <c r="K12" s="2">
        <f t="shared" si="0"/>
        <v>5.7887435766676516</v>
      </c>
      <c r="L12" s="2">
        <f t="shared" si="0"/>
        <v>34.043143706953202</v>
      </c>
      <c r="M12" s="2">
        <f t="shared" si="0"/>
        <v>682.60641910977745</v>
      </c>
      <c r="O12">
        <v>11.29</v>
      </c>
      <c r="P12">
        <v>82.8</v>
      </c>
      <c r="U12" s="2">
        <f>(2.7+((1.9*Catchment_Stats!AD12)+(1.75*Catchment_Stats!AE12)+(0.8*Catchment_Stats!AF12)+(0.003*Catchment_Stats!U12)))</f>
        <v>9.3605945338082606</v>
      </c>
      <c r="V12" s="2">
        <f t="shared" si="1"/>
        <v>11621.295741773869</v>
      </c>
      <c r="W12">
        <f>EXP((4.22+(0.39*(AA12^(1/2)))+(0.36*LN(Catchment_Stats!AA12))+(0.13*(Catchment_Stats!I12^(1/2)))))</f>
        <v>4041.5190472887348</v>
      </c>
      <c r="X12">
        <v>2396.061639</v>
      </c>
      <c r="Y12">
        <f t="shared" si="2"/>
        <v>7.7815816846974259</v>
      </c>
      <c r="Z12">
        <f>((Y12 - (0.13*(Catchment_Stats!I12^0.5)) - (0.36*LN(Catchment_Stats!AA12)) - 4.22)/(0.39))^2</f>
        <v>18.630931330283698</v>
      </c>
      <c r="AA12">
        <v>32</v>
      </c>
      <c r="AB12">
        <v>42</v>
      </c>
      <c r="AC12">
        <v>58</v>
      </c>
    </row>
    <row r="13" spans="1:29" x14ac:dyDescent="0.5">
      <c r="A13" t="s">
        <v>87</v>
      </c>
      <c r="B13" s="2">
        <f>-((-7.21)+(2.83*LN(Catchment_Stats!V13)-(0.03*Catchment_Stats!G13)-(0.03*Catchment_Stats!H13)+(0.04*Catchment_Stats!P13)))</f>
        <v>1.74339026499322</v>
      </c>
      <c r="C13" s="2"/>
      <c r="D13" s="2"/>
      <c r="E13" s="2">
        <f>-(5.52 - (0.036*Catchment_Stats!R13) + (1.17*LN(Catchment_Stats!V13)) -(0.35*Catchment_Stats!W13))</f>
        <v>-2.5333050847907881</v>
      </c>
      <c r="F13" s="2">
        <f>-(4.83+(0.66*LN(Catchment_Stats!V13)-(0.004*Catchment_Stats!T13)-(0.27*Catchment_Stats!W13)+(0.16*SQRT(Catchment_Stats!H13))))</f>
        <v>-5.1022237366203838</v>
      </c>
      <c r="G13" s="2">
        <f>-((3.75)-(0.002*Catchment_Stats!Q13)+(0.022*SQRT(Catchment_Stats!H13))+(0.093*Catchment_Stats!O13)+(0.75*LN(Catchment_Stats!N13)))</f>
        <v>-9.4713342642581999</v>
      </c>
      <c r="H13" s="2">
        <f t="shared" ref="H13:H32" si="3">10^(-B13/3.322)</f>
        <v>0.29867480974966087</v>
      </c>
      <c r="I13" s="2"/>
      <c r="J13" s="2"/>
      <c r="K13" s="2">
        <f t="shared" si="0"/>
        <v>5.7887435766676516</v>
      </c>
      <c r="L13" s="2">
        <f t="shared" si="0"/>
        <v>34.347026413915714</v>
      </c>
      <c r="M13" s="2">
        <f t="shared" si="0"/>
        <v>709.73136588479201</v>
      </c>
      <c r="N13">
        <v>1.21</v>
      </c>
      <c r="O13">
        <v>4.0999999999999996</v>
      </c>
      <c r="P13">
        <v>12.87</v>
      </c>
      <c r="U13" s="2">
        <f>(2.7+((1.9*Catchment_Stats!AD13)+(1.75*Catchment_Stats!AE13)+(0.8*Catchment_Stats!AF13)+(0.003*Catchment_Stats!U13)))</f>
        <v>11.998418481295886</v>
      </c>
      <c r="V13" s="2">
        <f t="shared" si="1"/>
        <v>162497.59510618856</v>
      </c>
      <c r="W13">
        <f>EXP((4.22+(0.39*(AA13^(1/2)))+(0.36*LN(Catchment_Stats!AA13))+(0.13*(Catchment_Stats!I13^(1/2)))))</f>
        <v>24076.710369634577</v>
      </c>
      <c r="X13">
        <v>2160</v>
      </c>
      <c r="Y13">
        <f t="shared" si="2"/>
        <v>7.6778635006782103</v>
      </c>
      <c r="Z13">
        <f>((Y13 - (0.13*(Catchment_Stats!I13^0.5)) - (0.36*LN(Catchment_Stats!AA13)) - 4.22)/(0.39))^2</f>
        <v>0.27620042958882068</v>
      </c>
      <c r="AA13">
        <v>32</v>
      </c>
      <c r="AB13">
        <v>42</v>
      </c>
      <c r="AC13">
        <v>58</v>
      </c>
    </row>
    <row r="14" spans="1:29" x14ac:dyDescent="0.5">
      <c r="A14" t="s">
        <v>88</v>
      </c>
      <c r="B14" s="2">
        <f>-((-7.21)+(2.83*LN(Catchment_Stats!V14)-(0.03*Catchment_Stats!G14)-(0.03*Catchment_Stats!H14)+(0.04*Catchment_Stats!P14)))</f>
        <v>1.8288902649932206</v>
      </c>
      <c r="C14" s="2"/>
      <c r="D14" s="2"/>
      <c r="E14" s="2">
        <f>-(5.52 - (0.036*Catchment_Stats!R14) + (1.17*LN(Catchment_Stats!V14)) -(0.35*Catchment_Stats!W14))</f>
        <v>-2.5333050847907881</v>
      </c>
      <c r="F14" s="2">
        <f>-(4.83+(0.66*LN(Catchment_Stats!V14)-(0.004*Catchment_Stats!T14)-(0.27*Catchment_Stats!W14)+(0.16*SQRT(Catchment_Stats!H14))))</f>
        <v>-5.0140237676921791</v>
      </c>
      <c r="G14" s="2">
        <f>-((3.75)-(0.002*Catchment_Stats!Q14)+(0.022*SQRT(Catchment_Stats!H14))+(0.093*Catchment_Stats!O14)+(0.75*LN(Catchment_Stats!N14)))</f>
        <v>-9.4097729538467867</v>
      </c>
      <c r="H14" s="2">
        <f t="shared" si="3"/>
        <v>0.28148877962882957</v>
      </c>
      <c r="I14" s="2"/>
      <c r="J14" s="2"/>
      <c r="K14" s="2">
        <f t="shared" si="0"/>
        <v>5.7887435766676516</v>
      </c>
      <c r="L14" s="2">
        <f t="shared" si="0"/>
        <v>32.310143175724377</v>
      </c>
      <c r="M14" s="2">
        <f t="shared" si="0"/>
        <v>680.08406491772632</v>
      </c>
      <c r="N14">
        <v>0.76</v>
      </c>
      <c r="O14">
        <v>5.76</v>
      </c>
      <c r="P14">
        <v>21.8</v>
      </c>
      <c r="U14" s="2">
        <f>(2.7+((1.9*Catchment_Stats!AD14)+(1.75*Catchment_Stats!AE14)+(0.8*Catchment_Stats!AF14)+(0.003*Catchment_Stats!U14)))</f>
        <v>9.7382148024577511</v>
      </c>
      <c r="V14" s="2">
        <f t="shared" si="1"/>
        <v>16953.249450986281</v>
      </c>
      <c r="W14">
        <f>EXP((4.22+(0.39*(AA14^(1/2)))+(0.36*LN(Catchment_Stats!AA14))+(0.13*(Catchment_Stats!I14^(1/2)))))</f>
        <v>6456.0085429101118</v>
      </c>
      <c r="X14">
        <v>770.93239740000001</v>
      </c>
      <c r="Y14">
        <f t="shared" si="2"/>
        <v>6.6476006880070013</v>
      </c>
      <c r="Z14">
        <f>((Y14 - (0.13*(Catchment_Stats!I14^0.5)) - (0.36*LN(Catchment_Stats!AA14)) - 4.22)/(0.39))^2</f>
        <v>4.3143883071025624E-2</v>
      </c>
      <c r="AA14">
        <v>32</v>
      </c>
      <c r="AB14">
        <v>42</v>
      </c>
      <c r="AC14">
        <v>58</v>
      </c>
    </row>
    <row r="15" spans="1:29" x14ac:dyDescent="0.5">
      <c r="A15" t="s">
        <v>121</v>
      </c>
      <c r="B15" s="2">
        <f>-((-7.21)+(2.83*LN(Catchment_Stats!V15)-(0.03*Catchment_Stats!G15)-(0.03*Catchment_Stats!H15)+(0.04*Catchment_Stats!P15)))</f>
        <v>-0.15783533552544604</v>
      </c>
      <c r="C15" s="2"/>
      <c r="D15" s="2"/>
      <c r="E15" s="2">
        <f>-(5.52 - (0.036*Catchment_Stats!R15) + (1.17*LN(Catchment_Stats!V15)) -(0.35*Catchment_Stats!W15))</f>
        <v>-4.0466282482561029</v>
      </c>
      <c r="F15" s="2">
        <f>-(4.83+(0.66*LN(Catchment_Stats!V15)-(0.004*Catchment_Stats!T15)-(0.27*Catchment_Stats!W15)+(0.16*SQRT(Catchment_Stats!H15))))</f>
        <v>-5.7925689645658043</v>
      </c>
      <c r="G15" s="2">
        <f>-((3.75)-(0.002*Catchment_Stats!Q15)+(0.022*SQRT(Catchment_Stats!H15))+(0.093*Catchment_Stats!O15)+(0.75*LN(Catchment_Stats!N15)))</f>
        <v>-9.353797228111107</v>
      </c>
      <c r="H15" s="2">
        <f t="shared" si="3"/>
        <v>1.1156093409541077</v>
      </c>
      <c r="I15" s="2"/>
      <c r="J15" s="2"/>
      <c r="K15" s="2">
        <f t="shared" si="0"/>
        <v>16.524568086826246</v>
      </c>
      <c r="L15" s="2">
        <f t="shared" si="0"/>
        <v>55.424178777934742</v>
      </c>
      <c r="M15" s="2">
        <f t="shared" si="0"/>
        <v>654.20309021832759</v>
      </c>
      <c r="U15" s="2">
        <f>(2.7+((1.9*Catchment_Stats!AD15)+(1.75*Catchment_Stats!AE15)+(0.8*Catchment_Stats!AF15)+(0.003*Catchment_Stats!U15)))</f>
        <v>8.2635010111486942</v>
      </c>
      <c r="V15" s="2">
        <f t="shared" si="1"/>
        <v>3879.6530602138992</v>
      </c>
      <c r="W15">
        <f>EXP((4.22+(0.39*(AA15^(1/2)))+(0.36*LN(Catchment_Stats!AA15))+(0.13*(Catchment_Stats!I15^(1/2)))))</f>
        <v>29633.759807681599</v>
      </c>
      <c r="X15">
        <v>1048.5999999999999</v>
      </c>
      <c r="Y15">
        <f t="shared" si="2"/>
        <v>6.9552112201384322</v>
      </c>
      <c r="Z15">
        <f>((Y15 - (0.13*(Catchment_Stats!I15^0.5)) - (0.36*LN(Catchment_Stats!AA15)) - 4.22)/(0.39))^2</f>
        <v>8.4738485535777119</v>
      </c>
      <c r="AA15">
        <v>32</v>
      </c>
      <c r="AB15">
        <v>42</v>
      </c>
      <c r="AC15">
        <v>58</v>
      </c>
    </row>
    <row r="16" spans="1:29" x14ac:dyDescent="0.5">
      <c r="A16" t="s">
        <v>122</v>
      </c>
      <c r="B16" s="2">
        <f>-((-7.21)+(2.83*LN(Catchment_Stats!V16)-(0.03*Catchment_Stats!G16)-(0.03*Catchment_Stats!H16)+(0.04*Catchment_Stats!P16)))</f>
        <v>7.9583790585367353E-2</v>
      </c>
      <c r="C16" s="2"/>
      <c r="D16" s="2"/>
      <c r="E16" s="2">
        <f>-(5.52 - (0.036*Catchment_Stats!R16) + (1.17*LN(Catchment_Stats!V16)) -(0.35*Catchment_Stats!W16))</f>
        <v>-5.2868901121613305</v>
      </c>
      <c r="F16" s="2">
        <f>-(4.83+(0.66*LN(Catchment_Stats!V16)-(0.004*Catchment_Stats!T16)-(0.27*Catchment_Stats!W16)+(0.16*SQRT(Catchment_Stats!H16))))</f>
        <v>-5.5550687465831139</v>
      </c>
      <c r="G16" s="2">
        <f>-((3.75)-(0.002*Catchment_Stats!Q16)+(0.022*SQRT(Catchment_Stats!H16))+(0.093*Catchment_Stats!O16)+(0.75*LN(Catchment_Stats!N16)))</f>
        <v>-9.2181272712014319</v>
      </c>
      <c r="H16" s="2">
        <f t="shared" si="3"/>
        <v>0.94633174835026868</v>
      </c>
      <c r="I16" s="2"/>
      <c r="J16" s="2"/>
      <c r="K16" s="2">
        <f t="shared" si="0"/>
        <v>39.037146008950366</v>
      </c>
      <c r="L16" s="2">
        <f t="shared" si="0"/>
        <v>47.011718262887527</v>
      </c>
      <c r="M16" s="2">
        <f t="shared" si="0"/>
        <v>595.48763595870571</v>
      </c>
      <c r="U16" s="2">
        <f>(2.7+((1.9*Catchment_Stats!AD16)+(1.75*Catchment_Stats!AE16)+(0.8*Catchment_Stats!AF16)+(0.003*Catchment_Stats!U16)))</f>
        <v>10.293408248433462</v>
      </c>
      <c r="V16" s="2">
        <f t="shared" si="1"/>
        <v>29537.27335780951</v>
      </c>
      <c r="W16">
        <f>EXP((4.22+(0.39*(AA16^(1/2)))+(0.36*LN(Catchment_Stats!AA16))+(0.13*(Catchment_Stats!I16^(1/2)))))</f>
        <v>30341.726135994217</v>
      </c>
      <c r="X16">
        <v>3380.1211170000001</v>
      </c>
      <c r="Y16">
        <f t="shared" si="2"/>
        <v>8.1256668212670142</v>
      </c>
      <c r="Z16">
        <f>((Y16 - (0.13*(Catchment_Stats!I16^0.5)) - (0.36*LN(Catchment_Stats!AA16)) - 4.22)/(0.39))^2</f>
        <v>8.7871720942053321E-4</v>
      </c>
      <c r="AA16">
        <v>32</v>
      </c>
      <c r="AB16">
        <v>42</v>
      </c>
      <c r="AC16">
        <v>58</v>
      </c>
    </row>
    <row r="17" spans="1:29" x14ac:dyDescent="0.5">
      <c r="A17" t="s">
        <v>123</v>
      </c>
      <c r="B17" s="2">
        <f>-((-7.21)+(2.83*LN(Catchment_Stats!V17)-(0.03*Catchment_Stats!G17)-(0.03*Catchment_Stats!H17)+(0.04*Catchment_Stats!P17)))</f>
        <v>-0.48205386321572519</v>
      </c>
      <c r="C17" s="2"/>
      <c r="D17" s="2"/>
      <c r="E17" s="2">
        <f>-(5.52 - (0.036*Catchment_Stats!R17) + (1.17*LN(Catchment_Stats!V17)) -(0.35*Catchment_Stats!W17))</f>
        <v>-1.3708140837286678</v>
      </c>
      <c r="F17" s="2">
        <f>-(4.83+(0.66*LN(Catchment_Stats!V17)-(0.004*Catchment_Stats!T17)-(0.27*Catchment_Stats!W17)+(0.16*SQRT(Catchment_Stats!H17))))</f>
        <v>-4.253516300916842</v>
      </c>
      <c r="G17" s="2">
        <f>-((3.75)-(0.002*Catchment_Stats!Q17)+(0.022*SQRT(Catchment_Stats!H17))+(0.093*Catchment_Stats!O17)+(0.75*LN(Catchment_Stats!N17)))</f>
        <v>-9.1110581394758849</v>
      </c>
      <c r="H17" s="2">
        <f t="shared" si="3"/>
        <v>1.3967205769749693</v>
      </c>
      <c r="I17" s="2"/>
      <c r="J17" s="2"/>
      <c r="K17" s="2">
        <f t="shared" si="0"/>
        <v>2.5861113818843715</v>
      </c>
      <c r="L17" s="2">
        <f t="shared" si="0"/>
        <v>19.07252875863762</v>
      </c>
      <c r="M17" s="2">
        <f t="shared" si="0"/>
        <v>552.89469903438908</v>
      </c>
      <c r="U17" s="2">
        <f>(2.7+((1.9*Catchment_Stats!AD17)+(1.75*Catchment_Stats!AE17)+(0.8*Catchment_Stats!AF17)+(0.003*Catchment_Stats!U17)))</f>
        <v>9.7842881245696383</v>
      </c>
      <c r="V17" s="2">
        <f t="shared" si="1"/>
        <v>17752.615294223338</v>
      </c>
      <c r="W17">
        <f>EXP((4.22+(0.39*(AA17^(1/2)))+(0.36*LN(Catchment_Stats!AA17))+(0.13*(Catchment_Stats!I17^(1/2)))))</f>
        <v>13992.804821852927</v>
      </c>
      <c r="X17">
        <v>2133</v>
      </c>
      <c r="Y17">
        <f t="shared" si="2"/>
        <v>7.6652847184713506</v>
      </c>
      <c r="Z17">
        <f>((Y17 - (0.13*(Catchment_Stats!I17^0.5)) - (0.36*LN(Catchment_Stats!AA17)) - 4.22)/(0.39))^2</f>
        <v>0.69512555404251386</v>
      </c>
      <c r="AA17">
        <v>32</v>
      </c>
      <c r="AB17">
        <v>42</v>
      </c>
      <c r="AC17">
        <v>58</v>
      </c>
    </row>
    <row r="18" spans="1:29" x14ac:dyDescent="0.5">
      <c r="A18" t="s">
        <v>116</v>
      </c>
      <c r="B18" s="2">
        <f>-((-7.21)+(2.83*LN(Catchment_Stats!V18)-(0.03*Catchment_Stats!G18)-(0.03*Catchment_Stats!H18)+(0.04*Catchment_Stats!P18)))</f>
        <v>7.9583790585367353E-2</v>
      </c>
      <c r="C18" s="2"/>
      <c r="D18" s="2"/>
      <c r="E18" s="2">
        <f>-(5.52 - (0.036*Catchment_Stats!R18) + (1.17*LN(Catchment_Stats!V18)) -(0.35*Catchment_Stats!W18))</f>
        <v>-5.2868901121613305</v>
      </c>
      <c r="F18" s="2">
        <f>-(4.83+(0.66*LN(Catchment_Stats!V18)-(0.004*Catchment_Stats!T18)-(0.27*Catchment_Stats!W18)+(0.16*SQRT(Catchment_Stats!H18))))</f>
        <v>-5.5550687465831139</v>
      </c>
      <c r="G18" s="2">
        <f>-((3.75)-(0.002*Catchment_Stats!Q18)+(0.022*SQRT(Catchment_Stats!H18))+(0.093*Catchment_Stats!O18)+(0.75*LN(Catchment_Stats!N18)))</f>
        <v>-9.2181272712014319</v>
      </c>
      <c r="H18" s="2">
        <f t="shared" si="3"/>
        <v>0.94633174835026868</v>
      </c>
      <c r="I18" s="2"/>
      <c r="J18" s="2"/>
      <c r="K18" s="2">
        <f t="shared" si="0"/>
        <v>39.037146008950366</v>
      </c>
      <c r="L18" s="2">
        <f t="shared" si="0"/>
        <v>47.011718262887527</v>
      </c>
      <c r="M18" s="2">
        <f t="shared" si="0"/>
        <v>595.48763595870571</v>
      </c>
      <c r="U18" s="2">
        <f>(2.7+((1.9*Catchment_Stats!AD18)+(1.75*Catchment_Stats!AE18)+(0.8*Catchment_Stats!AF18)+(0.003*Catchment_Stats!U18)))</f>
        <v>8.3638993484334634</v>
      </c>
      <c r="V18" s="2">
        <f t="shared" si="1"/>
        <v>4289.3880172887411</v>
      </c>
      <c r="W18">
        <f>EXP((4.22+(0.39*(AA18^(1/2)))+(0.36*LN(Catchment_Stats!AA18))+(0.13*(Catchment_Stats!I18^(1/2)))))</f>
        <v>30341.726135994217</v>
      </c>
      <c r="X18">
        <v>2684.8419950000002</v>
      </c>
      <c r="Y18">
        <f t="shared" si="2"/>
        <v>7.8953771579115815</v>
      </c>
      <c r="Z18">
        <f>((Y18 - (0.13*(Catchment_Stats!I18^0.5)) - (0.36*LN(Catchment_Stats!AA18)) - 4.22)/(0.39))^2</f>
        <v>0.31454504076799905</v>
      </c>
      <c r="AA18">
        <v>32</v>
      </c>
      <c r="AB18">
        <v>42</v>
      </c>
      <c r="AC18">
        <v>58</v>
      </c>
    </row>
    <row r="19" spans="1:29" x14ac:dyDescent="0.5">
      <c r="A19" t="s">
        <v>124</v>
      </c>
      <c r="B19" s="2">
        <f>-((-7.21)+(2.83*LN(Catchment_Stats!V19)-(0.03*Catchment_Stats!G19)-(0.03*Catchment_Stats!H19)+(0.04*Catchment_Stats!P19)))</f>
        <v>7.9490412464469529E-2</v>
      </c>
      <c r="C19" s="2"/>
      <c r="D19" s="2"/>
      <c r="E19" s="2">
        <f>-(5.52 - (0.036*Catchment_Stats!R19) + (1.17*LN(Catchment_Stats!V19)) -(0.35*Catchment_Stats!W19))</f>
        <v>-5.2868901121613305</v>
      </c>
      <c r="F19" s="2">
        <f>-(4.83+(0.66*LN(Catchment_Stats!V19)-(0.004*Catchment_Stats!T19)-(0.27*Catchment_Stats!W19)+(0.16*SQRT(Catchment_Stats!H19))))</f>
        <v>-5.5550223236918308</v>
      </c>
      <c r="G19" s="2">
        <f>-((3.75)-(0.002*Catchment_Stats!Q19)+(0.022*SQRT(Catchment_Stats!H19))+(0.093*Catchment_Stats!O19)+(0.75*LN(Catchment_Stats!N19)))</f>
        <v>-9.2181208880538801</v>
      </c>
      <c r="H19" s="2">
        <f t="shared" si="3"/>
        <v>0.94639300012204952</v>
      </c>
      <c r="I19" s="2"/>
      <c r="J19" s="2"/>
      <c r="K19" s="2">
        <f t="shared" si="0"/>
        <v>39.037146008950366</v>
      </c>
      <c r="L19" s="2">
        <f t="shared" si="0"/>
        <v>47.010205581777214</v>
      </c>
      <c r="M19" s="2">
        <f t="shared" si="0"/>
        <v>595.48500130990351</v>
      </c>
      <c r="N19">
        <v>2.81</v>
      </c>
      <c r="O19">
        <v>13</v>
      </c>
      <c r="P19">
        <v>49.32</v>
      </c>
      <c r="U19" s="2">
        <f>(2.7+((1.9*Catchment_Stats!AD19)+(1.75*Catchment_Stats!AE19)+(0.8*Catchment_Stats!AF19)+(0.003*Catchment_Stats!U19)))</f>
        <v>8.3638993484334634</v>
      </c>
      <c r="V19" s="2">
        <f t="shared" si="1"/>
        <v>4289.3880172887411</v>
      </c>
      <c r="W19">
        <f>EXP((4.22+(0.39*(AA19^(1/2)))+(0.36*LN(Catchment_Stats!AA19))+(0.13*(Catchment_Stats!I19^(1/2)))))</f>
        <v>30341.726135994217</v>
      </c>
      <c r="X19">
        <v>3233.9</v>
      </c>
      <c r="Y19">
        <f t="shared" si="2"/>
        <v>8.0814441181994816</v>
      </c>
      <c r="Z19">
        <f>((Y19 - (0.13*(Catchment_Stats!I19^0.5)) - (0.36*LN(Catchment_Stats!AA19)) - 4.22)/(0.39))^2</f>
        <v>7.0137914364741174E-3</v>
      </c>
      <c r="AA19">
        <v>32</v>
      </c>
      <c r="AB19">
        <v>42</v>
      </c>
      <c r="AC19">
        <v>58</v>
      </c>
    </row>
    <row r="20" spans="1:29" x14ac:dyDescent="0.5">
      <c r="A20" t="s">
        <v>119</v>
      </c>
      <c r="B20" s="2">
        <f>-((-7.21)+(2.83*LN(Catchment_Stats!V20)-(0.03*Catchment_Stats!G20)-(0.03*Catchment_Stats!H20)+(0.04*Catchment_Stats!P20)))</f>
        <v>0.68685361241180498</v>
      </c>
      <c r="C20" s="2"/>
      <c r="D20" s="2"/>
      <c r="E20" s="2">
        <f>-(5.52 - (0.036*Catchment_Stats!R20) + (1.17*LN(Catchment_Stats!V20)) -(0.35*Catchment_Stats!W20))</f>
        <v>-4.0466282482561029</v>
      </c>
      <c r="F20" s="2">
        <f>-(4.83+(0.66*LN(Catchment_Stats!V20)-(0.004*Catchment_Stats!T20)-(0.27*Catchment_Stats!W20)+(0.16*SQRT(Catchment_Stats!H20))))</f>
        <v>-6.1415584856884955</v>
      </c>
      <c r="G20" s="2">
        <f>-((3.75)-(0.002*Catchment_Stats!Q20)+(0.022*SQRT(Catchment_Stats!H20))+(0.093*Catchment_Stats!O20)+(0.75*LN(Catchment_Stats!N20)))</f>
        <v>-9.4017832872654772</v>
      </c>
      <c r="H20" s="2">
        <f t="shared" si="3"/>
        <v>0.62121357203238603</v>
      </c>
      <c r="I20" s="2"/>
      <c r="J20" s="2"/>
      <c r="K20" s="2">
        <f t="shared" si="0"/>
        <v>16.524568086826246</v>
      </c>
      <c r="L20" s="2">
        <f t="shared" si="0"/>
        <v>70.591645740294211</v>
      </c>
      <c r="M20" s="2">
        <f t="shared" si="0"/>
        <v>676.32824006007615</v>
      </c>
      <c r="N20">
        <v>1.96</v>
      </c>
      <c r="O20">
        <v>3.98</v>
      </c>
      <c r="P20">
        <v>36.1</v>
      </c>
      <c r="U20" s="2">
        <f>(2.7+((1.9*Catchment_Stats!AD20)+(1.75*Catchment_Stats!AE20)+(0.8*Catchment_Stats!AF20)+(0.003*Catchment_Stats!U20)))</f>
        <v>8.2635010111486942</v>
      </c>
      <c r="V20" s="2">
        <f t="shared" si="1"/>
        <v>3879.6530602138992</v>
      </c>
      <c r="W20">
        <f>EXP((4.22+(0.39*(AA20^(1/2)))+(0.36*LN(Catchment_Stats!AA20))+(0.13*(Catchment_Stats!I20^(1/2)))))</f>
        <v>29633.759807681599</v>
      </c>
      <c r="X20">
        <v>2154.41</v>
      </c>
      <c r="Y20">
        <f t="shared" si="2"/>
        <v>7.6752721831501889</v>
      </c>
      <c r="Z20">
        <f>((Y20 - (0.13*(Catchment_Stats!I20^0.5)) - (0.36*LN(Catchment_Stats!AA20)) - 4.22)/(0.39))^2</f>
        <v>1.1335379550876641</v>
      </c>
      <c r="AA20">
        <v>32</v>
      </c>
      <c r="AB20">
        <v>42</v>
      </c>
      <c r="AC20">
        <v>58</v>
      </c>
    </row>
    <row r="21" spans="1:29" x14ac:dyDescent="0.5">
      <c r="A21" t="s">
        <v>125</v>
      </c>
      <c r="B21" s="2">
        <f>-((-7.21)+(2.83*LN(Catchment_Stats!V21)-(0.03*Catchment_Stats!G21)-(0.03*Catchment_Stats!H21)+(0.04*Catchment_Stats!P21)))</f>
        <v>-0.49049190209162141</v>
      </c>
      <c r="C21" s="2"/>
      <c r="D21" s="2"/>
      <c r="E21" s="2">
        <f>-(5.52 - (0.036*Catchment_Stats!R21) + (1.17*LN(Catchment_Stats!V21)) -(0.35*Catchment_Stats!W21))</f>
        <v>-1.3708140837286678</v>
      </c>
      <c r="F21" s="2">
        <f>-(4.83+(0.66*LN(Catchment_Stats!V21)-(0.004*Catchment_Stats!T21)-(0.27*Catchment_Stats!W21)+(0.16*SQRT(Catchment_Stats!H21))))</f>
        <v>-4.2536038206727174</v>
      </c>
      <c r="G21" s="2">
        <f>-((3.75)-(0.002*Catchment_Stats!Q21)+(0.022*SQRT(Catchment_Stats!H21))+(0.093*Catchment_Stats!O21)+(0.75*LN(Catchment_Stats!N21)))</f>
        <v>-9.1110701734423181</v>
      </c>
      <c r="H21" s="2">
        <f t="shared" si="3"/>
        <v>1.4049134789138451</v>
      </c>
      <c r="I21" s="2"/>
      <c r="J21" s="2"/>
      <c r="K21" s="2">
        <f t="shared" ref="K21:M43" si="4">10^(-E21/3.322)</f>
        <v>2.5861113818843715</v>
      </c>
      <c r="L21" s="2">
        <f t="shared" si="4"/>
        <v>19.073685785946083</v>
      </c>
      <c r="M21" s="2">
        <f t="shared" si="4"/>
        <v>552.89931081982775</v>
      </c>
      <c r="U21" s="2">
        <f>(2.7+((1.9*Catchment_Stats!AD21)+(1.75*Catchment_Stats!AE21)+(0.8*Catchment_Stats!AF21)+(0.003*Catchment_Stats!U21)))</f>
        <v>9.7842881245696383</v>
      </c>
      <c r="V21" s="2">
        <f t="shared" si="1"/>
        <v>17752.615294223338</v>
      </c>
      <c r="W21">
        <f>EXP((4.22+(0.39*(AA21^(1/2)))+(0.36*LN(Catchment_Stats!AA21))+(0.13*(Catchment_Stats!I21^(1/2)))))</f>
        <v>13992.804821852927</v>
      </c>
      <c r="X21">
        <v>779.74749999999995</v>
      </c>
      <c r="Y21">
        <f t="shared" si="2"/>
        <v>6.6589701493269535</v>
      </c>
      <c r="Z21">
        <f>((Y21 - (0.13*(Catchment_Stats!I21^0.5)) - (0.36*LN(Catchment_Stats!AA21)) - 4.22)/(0.39))^2</f>
        <v>3.0504434279644874</v>
      </c>
      <c r="AA21">
        <v>32</v>
      </c>
      <c r="AB21">
        <v>42</v>
      </c>
      <c r="AC21">
        <v>58</v>
      </c>
    </row>
    <row r="22" spans="1:29" x14ac:dyDescent="0.5">
      <c r="A22" t="s">
        <v>118</v>
      </c>
      <c r="B22" s="2">
        <f>-((-7.21)+(2.83*LN(Catchment_Stats!V22)-(0.03*Catchment_Stats!G22)-(0.03*Catchment_Stats!H22)+(0.04*Catchment_Stats!P22)))</f>
        <v>-0.98308391695743413</v>
      </c>
      <c r="C22" s="2"/>
      <c r="D22" s="2"/>
      <c r="E22" s="2">
        <f>-(5.52 - (0.036*Catchment_Stats!R22) + (1.17*LN(Catchment_Stats!V22)) -(0.35*Catchment_Stats!W22))</f>
        <v>-4.6640611953498929</v>
      </c>
      <c r="F22" s="2">
        <f>-(4.83+(0.66*LN(Catchment_Stats!V22)-(0.004*Catchment_Stats!T22)-(0.27*Catchment_Stats!W22)+(0.16*SQRT(Catchment_Stats!H22))))</f>
        <v>-6.2401565124632139</v>
      </c>
      <c r="G22" s="2">
        <f>-((3.75)-(0.002*Catchment_Stats!Q22)+(0.022*SQRT(Catchment_Stats!H22))+(0.093*Catchment_Stats!O22)+(0.75*LN(Catchment_Stats!N22)))</f>
        <v>-9.2789064685187963</v>
      </c>
      <c r="H22" s="2">
        <f t="shared" si="3"/>
        <v>1.9766571223325982</v>
      </c>
      <c r="I22" s="2"/>
      <c r="J22" s="2"/>
      <c r="K22" s="2">
        <f t="shared" si="4"/>
        <v>25.35081530361084</v>
      </c>
      <c r="L22" s="2">
        <f t="shared" si="4"/>
        <v>75.584653774796863</v>
      </c>
      <c r="M22" s="2">
        <f t="shared" si="4"/>
        <v>621.11027552107373</v>
      </c>
      <c r="N22">
        <v>5.8</v>
      </c>
      <c r="O22">
        <v>11.37</v>
      </c>
      <c r="P22">
        <v>32.1</v>
      </c>
      <c r="R22">
        <v>4.9000000000000004</v>
      </c>
      <c r="S22">
        <v>45</v>
      </c>
      <c r="T22">
        <v>140.26</v>
      </c>
      <c r="U22" s="2">
        <f>(2.7+((1.9*Catchment_Stats!AD22)+(1.75*Catchment_Stats!AE22)+(0.8*Catchment_Stats!AF22)+(0.003*Catchment_Stats!U22)))</f>
        <v>10.727250085611246</v>
      </c>
      <c r="V22" s="2">
        <f t="shared" si="1"/>
        <v>45581.175195701246</v>
      </c>
      <c r="W22">
        <f>EXP((4.22+(0.39*(AA22^(1/2)))+(0.36*LN(Catchment_Stats!AA22))+(0.13*(Catchment_Stats!I22^(1/2)))))</f>
        <v>22030.918446751737</v>
      </c>
      <c r="X22">
        <v>364.23</v>
      </c>
      <c r="Y22">
        <f t="shared" si="2"/>
        <v>5.8977855362239939</v>
      </c>
      <c r="Z22">
        <f>((Y22 - (0.13*(Catchment_Stats!I22^0.5)) - (0.36*LN(Catchment_Stats!AA22)) - 4.22)/(0.39))^2</f>
        <v>23.640625700630967</v>
      </c>
      <c r="AA22">
        <v>32</v>
      </c>
      <c r="AB22">
        <v>42</v>
      </c>
      <c r="AC22">
        <v>58</v>
      </c>
    </row>
    <row r="23" spans="1:29" x14ac:dyDescent="0.5">
      <c r="A23" t="s">
        <v>89</v>
      </c>
      <c r="B23" s="2">
        <f>-((-7.21)+(2.83*LN(Catchment_Stats!V23)-(0.03*Catchment_Stats!G23)-(0.03*Catchment_Stats!H23)+(0.04*Catchment_Stats!P23)))</f>
        <v>3.1631340338230451E-2</v>
      </c>
      <c r="C23" s="2"/>
      <c r="D23" s="2"/>
      <c r="E23" s="2">
        <f>-(5.52 - (0.036*Catchment_Stats!R23) + (1.17*LN(Catchment_Stats!V23)) -(0.35*Catchment_Stats!W23))</f>
        <v>-4.4661302232523923</v>
      </c>
      <c r="F23" s="2">
        <f>-(4.83+(0.66*LN(Catchment_Stats!V23)-(0.004*Catchment_Stats!T23)-(0.27*Catchment_Stats!W23)+(0.16*SQRT(Catchment_Stats!H23))))</f>
        <v>-6.144127608116901</v>
      </c>
      <c r="G23" s="2">
        <f>-((3.75)-(0.002*Catchment_Stats!Q23)+(0.022*SQRT(Catchment_Stats!H23))+(0.093*Catchment_Stats!O23)+(0.75*LN(Catchment_Stats!N23)))</f>
        <v>-9.3529037372186892</v>
      </c>
      <c r="H23" s="2">
        <f t="shared" si="3"/>
        <v>0.97831389951040004</v>
      </c>
      <c r="I23" s="2"/>
      <c r="J23" s="2"/>
      <c r="K23" s="2">
        <f t="shared" si="4"/>
        <v>22.100905173301694</v>
      </c>
      <c r="L23" s="2">
        <f t="shared" si="4"/>
        <v>70.717463198882612</v>
      </c>
      <c r="M23" s="2">
        <f t="shared" si="4"/>
        <v>653.79806290807323</v>
      </c>
      <c r="N23">
        <v>1.18</v>
      </c>
      <c r="O23">
        <v>3.97</v>
      </c>
      <c r="P23">
        <v>13</v>
      </c>
      <c r="U23" s="2">
        <f>(2.7+((1.9*Catchment_Stats!AD23)+(1.75*Catchment_Stats!AE23)+(0.8*Catchment_Stats!AF23)+(0.003*Catchment_Stats!U23)))</f>
        <v>9.5609093030538332</v>
      </c>
      <c r="V23" s="2">
        <f t="shared" si="1"/>
        <v>14198.751299302141</v>
      </c>
      <c r="W23">
        <f>EXP((4.22+(0.39*(AA23^(1/2)))+(0.36*LN(Catchment_Stats!AA23))+(0.13*(Catchment_Stats!I23^(1/2)))))</f>
        <v>7551.3136380950018</v>
      </c>
      <c r="X23">
        <v>4431.6101269999999</v>
      </c>
      <c r="Y23">
        <f t="shared" si="2"/>
        <v>8.3965182568230752</v>
      </c>
      <c r="Z23">
        <f>((Y23 - (0.13*(Catchment_Stats!I23^0.5)) - (0.36*LN(Catchment_Stats!AA23)) - 4.22)/(0.39))^2</f>
        <v>18.406621181094486</v>
      </c>
      <c r="AA23">
        <v>32</v>
      </c>
      <c r="AB23">
        <v>42</v>
      </c>
      <c r="AC23">
        <v>58</v>
      </c>
    </row>
    <row r="24" spans="1:29" x14ac:dyDescent="0.5">
      <c r="A24" t="s">
        <v>120</v>
      </c>
      <c r="B24" s="2">
        <f>-((-7.21)+(2.83*LN(Catchment_Stats!V24)-(0.03*Catchment_Stats!G24)-(0.03*Catchment_Stats!H24)+(0.04*Catchment_Stats!P24)))</f>
        <v>-0.98308391695743413</v>
      </c>
      <c r="C24" s="2"/>
      <c r="D24" s="2"/>
      <c r="E24" s="2">
        <f>-(5.52 - (0.036*Catchment_Stats!R24) + (1.17*LN(Catchment_Stats!V24)) -(0.35*Catchment_Stats!W24))</f>
        <v>-4.6640611953498929</v>
      </c>
      <c r="F24" s="2">
        <f>-(4.83+(0.66*LN(Catchment_Stats!V24)-(0.004*Catchment_Stats!T24)-(0.27*Catchment_Stats!W24)+(0.16*SQRT(Catchment_Stats!H24))))</f>
        <v>-6.2401565124632139</v>
      </c>
      <c r="G24" s="2">
        <f>-((3.75)-(0.002*Catchment_Stats!Q24)+(0.022*SQRT(Catchment_Stats!H24))+(0.093*Catchment_Stats!O24)+(0.75*LN(Catchment_Stats!N24)))</f>
        <v>-9.2789064685187963</v>
      </c>
      <c r="H24" s="2">
        <f t="shared" si="3"/>
        <v>1.9766571223325982</v>
      </c>
      <c r="I24" s="2"/>
      <c r="J24" s="2"/>
      <c r="K24" s="2">
        <f t="shared" si="4"/>
        <v>25.35081530361084</v>
      </c>
      <c r="L24" s="2">
        <f t="shared" si="4"/>
        <v>75.584653774796863</v>
      </c>
      <c r="M24" s="2">
        <f t="shared" si="4"/>
        <v>621.11027552107373</v>
      </c>
      <c r="U24" s="2">
        <f>(2.7+((1.9*Catchment_Stats!AD24)+(1.75*Catchment_Stats!AE24)+(0.8*Catchment_Stats!AF24)+(0.003*Catchment_Stats!U24)))</f>
        <v>10.727250085611246</v>
      </c>
      <c r="V24" s="2">
        <f t="shared" si="1"/>
        <v>45581.175195701246</v>
      </c>
      <c r="W24">
        <f>EXP((4.22+(0.39*(AA24^(1/2)))+(0.36*LN(Catchment_Stats!AA24))+(0.13*(Catchment_Stats!I24^(1/2)))))</f>
        <v>22030.918446751737</v>
      </c>
      <c r="X24">
        <v>222.67</v>
      </c>
      <c r="Y24">
        <f t="shared" si="2"/>
        <v>5.405690854816366</v>
      </c>
      <c r="Z24">
        <f>((Y24 - (0.13*(Catchment_Stats!I24^0.5)) - (0.36*LN(Catchment_Stats!AA24)) - 4.22)/(0.39))^2</f>
        <v>37.502688781610807</v>
      </c>
      <c r="AA24">
        <v>32</v>
      </c>
      <c r="AB24">
        <v>42</v>
      </c>
      <c r="AC24">
        <v>58</v>
      </c>
    </row>
    <row r="25" spans="1:29" x14ac:dyDescent="0.5">
      <c r="A25" t="s">
        <v>153</v>
      </c>
      <c r="B25" s="2">
        <f>-((-7.21)+(2.83*LN(Catchment_Stats!V25)-(0.03*Catchment_Stats!G25)-(0.03*Catchment_Stats!H25)+(0.04*Catchment_Stats!P25)))</f>
        <v>2.6017390277818917</v>
      </c>
      <c r="C25" s="2"/>
      <c r="D25" s="2"/>
      <c r="E25" s="2">
        <f>-(5.52 - (0.036*Catchment_Stats!R25) + (1.17*LN(Catchment_Stats!V25)) -(0.35*Catchment_Stats!W25))</f>
        <v>-2.3707799072421154</v>
      </c>
      <c r="F25" s="2">
        <f>-(4.83+(0.66*LN(Catchment_Stats!V25)-(0.004*Catchment_Stats!T25)-(0.27*Catchment_Stats!W25)+(0.16*SQRT(Catchment_Stats!H25))))</f>
        <v>-5.4545103049341037</v>
      </c>
      <c r="G25" s="2">
        <f>-((3.75)-(0.002*Catchment_Stats!Q25)+(0.022*SQRT(Catchment_Stats!H25))+(0.093*Catchment_Stats!O25)+(0.75*LN(Catchment_Stats!N25)))</f>
        <v>-9.5665894137218217</v>
      </c>
      <c r="H25" s="2">
        <f t="shared" si="3"/>
        <v>0.16474622207934655</v>
      </c>
      <c r="I25" s="2"/>
      <c r="J25" s="2"/>
      <c r="K25" s="2">
        <f t="shared" si="4"/>
        <v>5.1720226435758763</v>
      </c>
      <c r="L25" s="2">
        <f t="shared" si="4"/>
        <v>43.846574788915284</v>
      </c>
      <c r="M25" s="2">
        <f t="shared" si="4"/>
        <v>758.17251316720342</v>
      </c>
      <c r="U25" s="2">
        <f>(2.7+((1.9*Catchment_Stats!AD25)+(1.75*Catchment_Stats!AE25)+(0.8*Catchment_Stats!AF25)+(0.003*Catchment_Stats!U25)))</f>
        <v>8.1256129999727893</v>
      </c>
      <c r="V25" s="2">
        <f t="shared" si="1"/>
        <v>3379.9391994024077</v>
      </c>
      <c r="W25">
        <f>EXP((4.22+(0.39*(AA25^(1/2)))+(0.36*LN(Catchment_Stats!AA25))+(0.13*(Catchment_Stats!I25^(1/2)))))</f>
        <v>13889.909210661723</v>
      </c>
      <c r="X25">
        <v>6079.6419999999998</v>
      </c>
      <c r="Y25">
        <f t="shared" si="2"/>
        <v>8.712701091647677</v>
      </c>
      <c r="Z25">
        <f>((Y25 - (0.13*(Catchment_Stats!I25^0.5)) - (0.36*LN(Catchment_Stats!AA25)) - 4.22)/(0.39))^2</f>
        <v>12.519917992202748</v>
      </c>
      <c r="AA25">
        <v>32</v>
      </c>
      <c r="AB25">
        <v>42</v>
      </c>
      <c r="AC25">
        <v>58</v>
      </c>
    </row>
    <row r="26" spans="1:29" x14ac:dyDescent="0.5">
      <c r="A26" t="s">
        <v>154</v>
      </c>
      <c r="B26" s="2">
        <f>-((-7.21)+(2.83*LN(Catchment_Stats!V26)-(0.03*Catchment_Stats!G26)-(0.03*Catchment_Stats!H26)+(0.04*Catchment_Stats!P26)))</f>
        <v>2.8654390277818917</v>
      </c>
      <c r="C26" s="2"/>
      <c r="D26" s="2"/>
      <c r="E26" s="2">
        <f>-(5.52 - (0.036*Catchment_Stats!R26) + (1.17*LN(Catchment_Stats!V26)) -(0.35*Catchment_Stats!W26))</f>
        <v>-2.3707799072421154</v>
      </c>
      <c r="F26" s="2">
        <f>-(4.83+(0.66*LN(Catchment_Stats!V26)-(0.004*Catchment_Stats!T26)-(0.27*Catchment_Stats!W26)+(0.16*SQRT(Catchment_Stats!H26))))</f>
        <v>-5.5027249457399332</v>
      </c>
      <c r="G26" s="2">
        <f>-((3.75)-(0.002*Catchment_Stats!Q26)+(0.022*SQRT(Catchment_Stats!H26))+(0.093*Catchment_Stats!O26)+(0.75*LN(Catchment_Stats!N26)))</f>
        <v>-9.5210482323607017</v>
      </c>
      <c r="H26" s="2">
        <f t="shared" si="3"/>
        <v>0.13722573721534742</v>
      </c>
      <c r="I26" s="2"/>
      <c r="J26" s="2"/>
      <c r="K26" s="2">
        <f t="shared" si="4"/>
        <v>5.1720226435758763</v>
      </c>
      <c r="L26" s="2">
        <f t="shared" si="4"/>
        <v>45.336648484531629</v>
      </c>
      <c r="M26" s="2">
        <f t="shared" si="4"/>
        <v>734.61377982861893</v>
      </c>
      <c r="U26" s="2">
        <f>(2.7+((1.9*Catchment_Stats!AD26)+(1.75*Catchment_Stats!AE26)+(0.8*Catchment_Stats!AF26)+(0.003*Catchment_Stats!U26)))</f>
        <v>7.0754298844097105</v>
      </c>
      <c r="V26" s="2">
        <f t="shared" si="1"/>
        <v>1182.5517521140162</v>
      </c>
      <c r="W26">
        <f>EXP((4.22+(0.39*(AA26^(1/2)))+(0.36*LN(Catchment_Stats!AA26))+(0.13*(Catchment_Stats!I26^(1/2)))))</f>
        <v>2643.8471502638231</v>
      </c>
      <c r="X26">
        <v>628.25789999999995</v>
      </c>
      <c r="Y26">
        <f t="shared" si="2"/>
        <v>6.4429507509566593</v>
      </c>
      <c r="Z26">
        <f>((Y26 - (0.13*(Catchment_Stats!I26^0.5)) - (0.36*LN(Catchment_Stats!AA26)) - 4.22)/(0.39))^2</f>
        <v>3.889325246817501</v>
      </c>
      <c r="AA26">
        <v>32</v>
      </c>
      <c r="AB26">
        <v>42</v>
      </c>
      <c r="AC26">
        <v>58</v>
      </c>
    </row>
    <row r="27" spans="1:29" x14ac:dyDescent="0.5">
      <c r="A27" t="s">
        <v>155</v>
      </c>
      <c r="B27" s="2">
        <f>-((-7.21)+(2.83*LN(Catchment_Stats!V27)-(0.03*Catchment_Stats!G27)-(0.03*Catchment_Stats!H27)+(0.04*Catchment_Stats!P27)))</f>
        <v>2.7172390277818925</v>
      </c>
      <c r="C27" s="2"/>
      <c r="D27" s="2"/>
      <c r="E27" s="2">
        <f>-(5.52 - (0.036*Catchment_Stats!R27) + (1.17*LN(Catchment_Stats!V27)) -(0.35*Catchment_Stats!W27))</f>
        <v>-2.3707799072421154</v>
      </c>
      <c r="F27" s="2">
        <f>-(4.83+(0.66*LN(Catchment_Stats!V27)-(0.004*Catchment_Stats!T27)-(0.27*Catchment_Stats!W27)+(0.16*SQRT(Catchment_Stats!H27))))</f>
        <v>-5.4597308050116409</v>
      </c>
      <c r="G27" s="2">
        <f>-((3.75)-(0.002*Catchment_Stats!Q27)+(0.022*SQRT(Catchment_Stats!H27))+(0.093*Catchment_Stats!O27)+(0.75*LN(Catchment_Stats!N27)))</f>
        <v>-9.5385101390055311</v>
      </c>
      <c r="H27" s="2">
        <f t="shared" si="3"/>
        <v>0.15207129780984061</v>
      </c>
      <c r="I27" s="2"/>
      <c r="K27" s="2">
        <f t="shared" si="4"/>
        <v>5.1720226435758763</v>
      </c>
      <c r="L27" s="2">
        <f t="shared" si="4"/>
        <v>44.005520869562801</v>
      </c>
      <c r="M27" s="2">
        <f t="shared" si="4"/>
        <v>743.55913659199871</v>
      </c>
      <c r="U27" s="2">
        <f>(2.7+((1.9*Catchment_Stats!AD27)+(1.75*Catchment_Stats!AE27)+(0.8*Catchment_Stats!AF27)+(0.003*Catchment_Stats!U27)))</f>
        <v>7.2813367197404864</v>
      </c>
      <c r="V27" s="2">
        <f t="shared" si="1"/>
        <v>1452.9288863556069</v>
      </c>
      <c r="W27">
        <f>EXP((4.22+(0.39*(AA27^(1/2)))+(0.36*LN(Catchment_Stats!AA27))+(0.13*(Catchment_Stats!I27^(1/2)))))</f>
        <v>5430.3365386113765</v>
      </c>
      <c r="X27">
        <v>831.92759999999998</v>
      </c>
      <c r="Y27">
        <f t="shared" si="2"/>
        <v>6.7237454178040466</v>
      </c>
      <c r="Z27">
        <f>((Y27 - (0.13*(Catchment_Stats!I27^0.5)) - (0.36*LN(Catchment_Stats!AA27)) - 4.22)/(0.39))^2</f>
        <v>0.71668027195239559</v>
      </c>
      <c r="AA27">
        <v>32</v>
      </c>
      <c r="AB27">
        <v>42</v>
      </c>
      <c r="AC27">
        <v>58</v>
      </c>
    </row>
    <row r="28" spans="1:29" x14ac:dyDescent="0.5">
      <c r="A28" t="s">
        <v>156</v>
      </c>
      <c r="B28" s="2">
        <f>-((-7.21)+(2.83*LN(Catchment_Stats!V28)-(0.03*Catchment_Stats!G28)-(0.03*Catchment_Stats!H28)+(0.04*Catchment_Stats!P28)))</f>
        <v>2.4535390277818916</v>
      </c>
      <c r="C28" s="2"/>
      <c r="D28" s="2"/>
      <c r="E28" s="2">
        <f>-(5.52 - (0.036*Catchment_Stats!R28) + (1.17*LN(Catchment_Stats!V28)) -(0.35*Catchment_Stats!W28))</f>
        <v>-2.3707799072421154</v>
      </c>
      <c r="F28" s="2">
        <f>-(4.83+(0.66*LN(Catchment_Stats!V28)-(0.004*Catchment_Stats!T28)-(0.27*Catchment_Stats!W28)+(0.16*SQRT(Catchment_Stats!H28))))</f>
        <v>-5.4301045179313423</v>
      </c>
      <c r="G28" s="2">
        <f>-((3.75)-(0.002*Catchment_Stats!Q28)+(0.022*SQRT(Catchment_Stats!H28))+(0.093*Catchment_Stats!O28)+(0.75*LN(Catchment_Stats!N28)))</f>
        <v>-9.5930276494568325</v>
      </c>
      <c r="H28" s="2">
        <f t="shared" si="3"/>
        <v>0.18256904505864435</v>
      </c>
      <c r="I28" s="2"/>
      <c r="K28" s="2">
        <f t="shared" si="4"/>
        <v>5.1720226435758763</v>
      </c>
      <c r="L28" s="2">
        <f t="shared" si="4"/>
        <v>43.111085468582296</v>
      </c>
      <c r="M28" s="2">
        <f t="shared" si="4"/>
        <v>772.19425311356474</v>
      </c>
      <c r="U28" s="2">
        <f>(2.7+((1.9*Catchment_Stats!AD28)+(1.75*Catchment_Stats!AE28)+(0.8*Catchment_Stats!AF28)+(0.003*Catchment_Stats!U28)))</f>
        <v>8.5215817009796169</v>
      </c>
      <c r="V28" s="2">
        <f t="shared" si="1"/>
        <v>5021.990765866688</v>
      </c>
      <c r="W28">
        <f>EXP((4.22+(0.39*(AA28^(1/2)))+(0.36*LN(Catchment_Stats!AA28))+(0.13*(Catchment_Stats!I28^(1/2)))))</f>
        <v>23483.041700748661</v>
      </c>
      <c r="X28">
        <v>2608.1460000000002</v>
      </c>
      <c r="Y28">
        <f t="shared" si="2"/>
        <v>7.8663949030747249</v>
      </c>
      <c r="Z28">
        <f>((Y28 - (0.13*(Catchment_Stats!I28^0.5)) - (0.36*LN(Catchment_Stats!AA28)) - 4.22)/(0.39))^2</f>
        <v>4.7885227873825778E-4</v>
      </c>
      <c r="AA28">
        <v>32</v>
      </c>
      <c r="AB28">
        <v>42</v>
      </c>
      <c r="AC28">
        <v>58</v>
      </c>
    </row>
    <row r="29" spans="1:29" x14ac:dyDescent="0.5">
      <c r="A29" t="s">
        <v>157</v>
      </c>
      <c r="B29" s="2">
        <f>-((-7.21)+(2.83*LN(Catchment_Stats!V29)-(0.03*Catchment_Stats!G29)-(0.03*Catchment_Stats!H29)+(0.04*Catchment_Stats!P29)))</f>
        <v>-0.10876097221810799</v>
      </c>
      <c r="C29" s="2"/>
      <c r="D29" s="2"/>
      <c r="E29" s="2">
        <f>-(5.52 - (0.036*Catchment_Stats!R29) + (1.17*LN(Catchment_Stats!V29)) -(0.35*Catchment_Stats!W29))</f>
        <v>-2.3707799072421154</v>
      </c>
      <c r="F29" s="2">
        <f>-(4.83+(0.66*LN(Catchment_Stats!V29)-(0.004*Catchment_Stats!T29)-(0.27*Catchment_Stats!W29)+(0.16*SQRT(Catchment_Stats!H29))))</f>
        <v>-5.1324570200394621</v>
      </c>
      <c r="G29" s="2">
        <f>-((3.75)-(0.002*Catchment_Stats!Q29)+(0.022*SQRT(Catchment_Stats!H29))+(0.093*Catchment_Stats!O29)+(0.75*LN(Catchment_Stats!N29)))</f>
        <v>-9.5148810662787593</v>
      </c>
      <c r="H29" s="2">
        <f t="shared" si="3"/>
        <v>1.0783000027744931</v>
      </c>
      <c r="I29" s="2"/>
      <c r="K29" s="2">
        <f t="shared" si="4"/>
        <v>5.1720226435758763</v>
      </c>
      <c r="L29" s="2">
        <f t="shared" si="4"/>
        <v>35.074385604162025</v>
      </c>
      <c r="M29" s="2">
        <f t="shared" si="4"/>
        <v>731.48025691321527</v>
      </c>
      <c r="U29" s="2">
        <f>(2.7+((1.9*Catchment_Stats!AD29)+(1.75*Catchment_Stats!AE29)+(0.8*Catchment_Stats!AF29)+(0.003*Catchment_Stats!U29)))</f>
        <v>8.055251153490655</v>
      </c>
      <c r="V29" s="2">
        <f t="shared" si="1"/>
        <v>3150.2942920099867</v>
      </c>
      <c r="W29">
        <f>EXP((4.22+(0.39*(AA29^(1/2)))+(0.36*LN(Catchment_Stats!AA29))+(0.13*(Catchment_Stats!I29^(1/2)))))</f>
        <v>9379.4886376187751</v>
      </c>
      <c r="X29">
        <v>1197.97</v>
      </c>
      <c r="Y29">
        <f t="shared" si="2"/>
        <v>7.0883837366256177</v>
      </c>
      <c r="Z29">
        <f>((Y29 - (0.13*(Catchment_Stats!I29^0.5)) - (0.36*LN(Catchment_Stats!AA29)) - 4.22)/(0.39))^2</f>
        <v>0.14454886127011898</v>
      </c>
      <c r="AA29">
        <v>32</v>
      </c>
      <c r="AB29">
        <v>42</v>
      </c>
      <c r="AC29">
        <v>58</v>
      </c>
    </row>
    <row r="30" spans="1:29" x14ac:dyDescent="0.5">
      <c r="A30" t="s">
        <v>158</v>
      </c>
      <c r="B30" s="2">
        <f>-((-7.21)+(2.83*LN(Catchment_Stats!V30)-(0.03*Catchment_Stats!G30)-(0.03*Catchment_Stats!H30)+(0.04*Catchment_Stats!P30)))</f>
        <v>1.5238390277818921</v>
      </c>
      <c r="C30" s="2"/>
      <c r="D30" s="2"/>
      <c r="E30" s="2">
        <f>-(5.52 - (0.036*Catchment_Stats!R30) + (1.17*LN(Catchment_Stats!V30)) -(0.35*Catchment_Stats!W30))</f>
        <v>-2.3707799072421154</v>
      </c>
      <c r="F30" s="2">
        <f>-(4.83+(0.66*LN(Catchment_Stats!V30)-(0.004*Catchment_Stats!T30)-(0.27*Catchment_Stats!W30)+(0.16*SQRT(Catchment_Stats!H30))))</f>
        <v>-5.5179162564151127</v>
      </c>
      <c r="G30" s="2">
        <f>-((3.75)-(0.002*Catchment_Stats!Q30)+(0.022*SQRT(Catchment_Stats!H30))+(0.093*Catchment_Stats!O30)+(0.75*LN(Catchment_Stats!N30)))</f>
        <v>-9.543990411828128</v>
      </c>
      <c r="H30" s="2">
        <f t="shared" si="3"/>
        <v>0.34776724360980715</v>
      </c>
      <c r="I30" s="2"/>
      <c r="K30" s="2">
        <f t="shared" si="4"/>
        <v>5.1720226435758763</v>
      </c>
      <c r="L30" s="2">
        <f t="shared" si="4"/>
        <v>45.8165467660112</v>
      </c>
      <c r="M30" s="2">
        <f t="shared" si="4"/>
        <v>746.38895691270579</v>
      </c>
      <c r="U30" s="2">
        <f>(2.7+((1.9*Catchment_Stats!AD30)+(1.75*Catchment_Stats!AE30)+(0.8*Catchment_Stats!AF30)+(0.003*Catchment_Stats!U30)))</f>
        <v>7.0210073342624471</v>
      </c>
      <c r="V30" s="2">
        <f t="shared" si="1"/>
        <v>1119.9141776584297</v>
      </c>
      <c r="W30">
        <f>EXP((4.22+(0.39*(AA30^(1/2)))+(0.36*LN(Catchment_Stats!AA30))+(0.13*(Catchment_Stats!I30^(1/2)))))</f>
        <v>2687.2489442398169</v>
      </c>
      <c r="X30">
        <v>783.05219999999997</v>
      </c>
      <c r="Y30">
        <f t="shared" si="2"/>
        <v>6.6631993604353461</v>
      </c>
      <c r="Z30">
        <f>((Y30 - (0.13*(Catchment_Stats!I30^0.5)) - (0.36*LN(Catchment_Stats!AA30)) - 4.22)/(0.39))^2</f>
        <v>6.2256553650637736</v>
      </c>
      <c r="AA30">
        <v>32</v>
      </c>
      <c r="AB30">
        <v>42</v>
      </c>
      <c r="AC30">
        <v>58</v>
      </c>
    </row>
    <row r="31" spans="1:29" x14ac:dyDescent="0.5">
      <c r="A31" t="s">
        <v>159</v>
      </c>
      <c r="B31" s="2">
        <f>-((-7.21)+(2.83*LN(Catchment_Stats!V31)-(0.03*Catchment_Stats!G31)-(0.03*Catchment_Stats!H31)+(0.04*Catchment_Stats!P31)))</f>
        <v>2.1715390277818916</v>
      </c>
      <c r="C31" s="2"/>
      <c r="D31" s="2"/>
      <c r="E31" s="2">
        <f>-(5.52 - (0.036*Catchment_Stats!R31) + (1.17*LN(Catchment_Stats!V31)) -(0.35*Catchment_Stats!W31))</f>
        <v>-2.3707799072421154</v>
      </c>
      <c r="F31" s="2">
        <f>-(4.83+(0.66*LN(Catchment_Stats!V31)-(0.004*Catchment_Stats!T31)-(0.27*Catchment_Stats!W31)+(0.16*SQRT(Catchment_Stats!H31))))</f>
        <v>-5.5361475175666444</v>
      </c>
      <c r="G31" s="2">
        <f>-((3.75)-(0.002*Catchment_Stats!Q31)+(0.022*SQRT(Catchment_Stats!H31))+(0.093*Catchment_Stats!O31)+(0.75*LN(Catchment_Stats!N31)))</f>
        <v>-9.5867923468643319</v>
      </c>
      <c r="H31" s="2">
        <f t="shared" si="3"/>
        <v>0.22198098045178974</v>
      </c>
      <c r="I31" s="2"/>
      <c r="J31" s="2"/>
      <c r="K31" s="2">
        <f t="shared" si="4"/>
        <v>5.1720226435758763</v>
      </c>
      <c r="L31" s="2">
        <f t="shared" si="4"/>
        <v>46.399189096487895</v>
      </c>
      <c r="M31" s="2">
        <f t="shared" si="4"/>
        <v>768.86411679476703</v>
      </c>
      <c r="U31" s="2">
        <f>(2.7+((1.9*Catchment_Stats!AD31)+(1.75*Catchment_Stats!AE31)+(0.8*Catchment_Stats!AF31)+(0.003*Catchment_Stats!U31)))</f>
        <v>7.4049326336273555</v>
      </c>
      <c r="V31" s="2">
        <f t="shared" si="1"/>
        <v>1644.0740770393322</v>
      </c>
      <c r="W31">
        <f>EXP((4.22+(0.39*(AA31^(1/2)))+(0.36*LN(Catchment_Stats!AA31))+(0.13*(Catchment_Stats!I31^(1/2)))))</f>
        <v>5441.1747530322009</v>
      </c>
      <c r="X31">
        <v>500.7989</v>
      </c>
      <c r="Y31">
        <f t="shared" si="2"/>
        <v>6.2162046232978536</v>
      </c>
      <c r="Z31">
        <f>((Y31 - (0.13*(Catchment_Stats!I31^0.5)) - (0.36*LN(Catchment_Stats!AA31)) - 4.22)/(0.39))^2</f>
        <v>0.40903458694680872</v>
      </c>
      <c r="AA31">
        <v>30</v>
      </c>
      <c r="AB31">
        <v>38</v>
      </c>
      <c r="AC31">
        <v>53</v>
      </c>
    </row>
    <row r="32" spans="1:29" x14ac:dyDescent="0.5">
      <c r="A32" t="s">
        <v>160</v>
      </c>
      <c r="B32" s="2">
        <f>-((-7.21)+(2.83*LN(Catchment_Stats!V32)-(0.03*Catchment_Stats!G32)-(0.03*Catchment_Stats!H32)+(0.04*Catchment_Stats!P32)))</f>
        <v>2.1469390277818912</v>
      </c>
      <c r="C32" s="2"/>
      <c r="D32" s="2"/>
      <c r="E32" s="2">
        <f>-(5.52 - (0.036*Catchment_Stats!R32) + (1.17*LN(Catchment_Stats!V32)) -(0.35*Catchment_Stats!W32))</f>
        <v>-2.3707799072421154</v>
      </c>
      <c r="F32" s="2">
        <f>-(4.83+(0.66*LN(Catchment_Stats!V32)-(0.004*Catchment_Stats!T32)-(0.27*Catchment_Stats!W32)+(0.16*SQRT(Catchment_Stats!H32))))</f>
        <v>-5.5073498372423284</v>
      </c>
      <c r="G32" s="2">
        <f>-((3.75)-(0.002*Catchment_Stats!Q32)+(0.022*SQRT(Catchment_Stats!H32))+(0.093*Catchment_Stats!O32)+(0.75*LN(Catchment_Stats!N32)))</f>
        <v>-9.59125050369002</v>
      </c>
      <c r="H32" s="2">
        <f t="shared" si="3"/>
        <v>0.22579844298059107</v>
      </c>
      <c r="I32" s="2"/>
      <c r="J32" s="2"/>
      <c r="K32" s="2">
        <f t="shared" si="4"/>
        <v>5.1720226435758763</v>
      </c>
      <c r="L32" s="2">
        <f t="shared" si="4"/>
        <v>45.482215610526858</v>
      </c>
      <c r="M32" s="2">
        <f t="shared" si="4"/>
        <v>771.24365220883317</v>
      </c>
      <c r="U32" s="2">
        <f>(2.7+((1.9*Catchment_Stats!AD32)+(1.75*Catchment_Stats!AE32)+(0.8*Catchment_Stats!AF32)+(0.003*Catchment_Stats!U32)))</f>
        <v>7.4923534844830906</v>
      </c>
      <c r="V32" s="2">
        <f t="shared" si="1"/>
        <v>1794.2699130072413</v>
      </c>
      <c r="W32">
        <f>EXP((4.22+(0.39*(AA32^(1/2)))+(0.36*LN(Catchment_Stats!AA32))+(0.13*(Catchment_Stats!I32^(1/2)))))</f>
        <v>6609.4447959691652</v>
      </c>
      <c r="X32">
        <v>1942.49</v>
      </c>
      <c r="Y32">
        <f t="shared" si="2"/>
        <v>7.5717259342234033</v>
      </c>
      <c r="Z32">
        <f>((Y32 - (0.13*(Catchment_Stats!I32^0.5)) - (0.36*LN(Catchment_Stats!AA32)) - 4.22)/(0.39))^2</f>
        <v>5.4634744052155346</v>
      </c>
      <c r="AA32">
        <v>30</v>
      </c>
      <c r="AB32">
        <v>38</v>
      </c>
      <c r="AC32">
        <v>53</v>
      </c>
    </row>
    <row r="33" spans="1:29" x14ac:dyDescent="0.5">
      <c r="A33" t="s">
        <v>77</v>
      </c>
      <c r="B33" s="2">
        <f>-((-7.21)+(2.83*LN(Catchment_Stats!V33)-(0.03*Catchment_Stats!G33)-(0.03*Catchment_Stats!H33)+(0.04*Catchment_Stats!P33)))</f>
        <v>-2.976429397273038</v>
      </c>
      <c r="C33" s="2">
        <f>-((-7.21)+(2.83*LN(Catchment_Stats!V33)-(0.03*Catchment_Stats!F33)-(0.03*Catchment_Stats!H33)+(0.04*Catchment_Stats!P33)))</f>
        <v>-2.976429397273038</v>
      </c>
      <c r="D33" s="2">
        <f>-((-7.21)+(2.83*LN(Catchment_Stats!V33)-(0.03*Catchment_Stats!E33)-(0.03*Catchment_Stats!H33)+(0.04*Catchment_Stats!P33)))</f>
        <v>-2.2648293972730391</v>
      </c>
      <c r="E33" s="2">
        <f>-(5.52 - (0.036*Catchment_Stats!R33) + (1.17*LN(Catchment_Stats!V33)) -(0.35*Catchment_Stats!W33))</f>
        <v>-4.4860451571764859</v>
      </c>
      <c r="F33" s="2">
        <f>-(4.83+(0.66*LN(Catchment_Stats!V33)-(0.004*Catchment_Stats!T33)-(0.27*Catchment_Stats!W33)+(0.16*SQRT(Catchment_Stats!H33))))</f>
        <v>-5.7256763779513999</v>
      </c>
      <c r="G33" s="2">
        <f>-((3.75)-(0.002*Catchment_Stats!Q33)+(0.022*SQRT(Catchment_Stats!H33))+(0.093*Catchment_Stats!O33)+(0.75*LN(Catchment_Stats!N33)))</f>
        <v>-9.6653061752445275</v>
      </c>
      <c r="J33" s="2">
        <f t="shared" ref="J33:J34" si="5">10^(-D33/3.322)</f>
        <v>4.8058125409785379</v>
      </c>
      <c r="K33" s="2">
        <f t="shared" si="4"/>
        <v>22.40809432234315</v>
      </c>
      <c r="L33" s="2">
        <f t="shared" si="4"/>
        <v>52.91307825866096</v>
      </c>
      <c r="M33" s="2">
        <f t="shared" si="4"/>
        <v>811.86552231062944</v>
      </c>
      <c r="N33">
        <v>6.3</v>
      </c>
      <c r="O33">
        <v>23.09</v>
      </c>
      <c r="P33">
        <v>58.11</v>
      </c>
      <c r="Q33">
        <v>1310</v>
      </c>
      <c r="R33">
        <v>2</v>
      </c>
      <c r="S33">
        <v>21.34</v>
      </c>
      <c r="T33">
        <v>52.27</v>
      </c>
      <c r="U33" s="2">
        <f>(2.7+((1.9*Catchment_Stats!AD33)+(1.75*Catchment_Stats!AE33)+(0.8*Catchment_Stats!AF33)+(0.003*Catchment_Stats!U33)))</f>
        <v>10.249833780006416</v>
      </c>
      <c r="V33" s="2">
        <f t="shared" si="1"/>
        <v>28277.841187087179</v>
      </c>
      <c r="W33">
        <f>EXP((4.22+(0.39*(AA33^(1/2)))+(0.36*LN(Catchment_Stats!AA33))+(0.13*(Catchment_Stats!I33^(1/2)))))</f>
        <v>59775.524034898146</v>
      </c>
      <c r="X33">
        <v>12165.661469999999</v>
      </c>
      <c r="Y33">
        <f t="shared" si="2"/>
        <v>9.4063726285852347</v>
      </c>
      <c r="Z33">
        <f>((Y33 - (0.13*(Catchment_Stats!I33^0.5)) - (0.36*LN(Catchment_Stats!AA33)) - 4.22)/(0.39))^2</f>
        <v>6.1278094645193084</v>
      </c>
      <c r="AA33">
        <v>43</v>
      </c>
      <c r="AB33">
        <v>56</v>
      </c>
      <c r="AC33">
        <v>76</v>
      </c>
    </row>
    <row r="34" spans="1:29" x14ac:dyDescent="0.5">
      <c r="A34" t="s">
        <v>109</v>
      </c>
      <c r="B34" s="2">
        <f>-((-7.21)+(2.83*LN(Catchment_Stats!V34)-(0.03*Catchment_Stats!G34)-(0.03*Catchment_Stats!H34)+(0.04*Catchment_Stats!P34)))</f>
        <v>-1.7410368474499878</v>
      </c>
      <c r="C34" s="2">
        <f>-((-7.21)+(2.83*LN(Catchment_Stats!V34)-(0.03*Catchment_Stats!F34)-(0.03*Catchment_Stats!H34)+(0.04*Catchment_Stats!P34)))</f>
        <v>-1.7410368474499878</v>
      </c>
      <c r="D34" s="2">
        <f>-((-7.21)+(2.83*LN(Catchment_Stats!V34)-(0.03*Catchment_Stats!E34)-(0.03*Catchment_Stats!H34)+(0.04*Catchment_Stats!P34)))</f>
        <v>0.32776315255001265</v>
      </c>
      <c r="E34" s="2">
        <f>-(5.52 - (0.036*Catchment_Stats!R34) + (1.17*LN(Catchment_Stats!V34)) -(0.35*Catchment_Stats!W34))</f>
        <v>-4.167839686048227</v>
      </c>
      <c r="F34" s="2">
        <f>-(4.83+(0.66*LN(Catchment_Stats!V34)-(0.004*Catchment_Stats!T34)-(0.27*Catchment_Stats!W34)+(0.16*SQRT(Catchment_Stats!H34))))</f>
        <v>-5.5558215376705258</v>
      </c>
      <c r="G34" s="2">
        <f>-((3.75)-(0.002*Catchment_Stats!Q34)+(0.022*SQRT(Catchment_Stats!H34))+(0.093*Catchment_Stats!O34)+(0.75*LN(Catchment_Stats!N34)))</f>
        <v>-9.6096084053522546</v>
      </c>
      <c r="J34" s="2">
        <f t="shared" si="5"/>
        <v>0.79677480968229486</v>
      </c>
      <c r="K34" s="2">
        <f t="shared" si="4"/>
        <v>17.97287714530227</v>
      </c>
      <c r="L34" s="2">
        <f t="shared" si="4"/>
        <v>47.036254613160935</v>
      </c>
      <c r="M34" s="2">
        <f t="shared" si="4"/>
        <v>781.12000766088295</v>
      </c>
      <c r="U34" s="2">
        <f>(2.7+((1.9*Catchment_Stats!AD34)+(1.75*Catchment_Stats!AE34)+(0.8*Catchment_Stats!AF34)+(0.003*Catchment_Stats!U34)))</f>
        <v>10.404913564728723</v>
      </c>
      <c r="V34" s="2">
        <f t="shared" si="1"/>
        <v>33021.480889553692</v>
      </c>
      <c r="W34">
        <f>EXP((4.22+(0.39*(AA34^(1/2)))+(0.36*LN(Catchment_Stats!AA34))+(0.13*(Catchment_Stats!I34^(1/2)))))</f>
        <v>18757.79700823838</v>
      </c>
      <c r="X34">
        <v>6708.3469999999998</v>
      </c>
      <c r="Y34">
        <f t="shared" si="2"/>
        <v>8.8111078508836602</v>
      </c>
      <c r="Z34">
        <f>((Y34 - (0.13*(Catchment_Stats!I34^0.5)) - (0.36*LN(Catchment_Stats!AA34)) - 4.22)/(0.39))^2</f>
        <v>15.373317868923046</v>
      </c>
      <c r="AA34">
        <v>43</v>
      </c>
      <c r="AB34">
        <v>56</v>
      </c>
      <c r="AC34">
        <v>76</v>
      </c>
    </row>
    <row r="35" spans="1:29" x14ac:dyDescent="0.5">
      <c r="A35" t="s">
        <v>78</v>
      </c>
      <c r="B35" s="2">
        <f>-((-7.21)+(2.83*LN(Catchment_Stats!V35)-(0.03*Catchment_Stats!G35)-(0.03*Catchment_Stats!H35)+(0.04*Catchment_Stats!P35)))</f>
        <v>-3.2697710861059841</v>
      </c>
      <c r="C35" s="2">
        <f>-((-7.21)+(2.83*LN(Catchment_Stats!V35)-(0.03*Catchment_Stats!F35)-(0.03*Catchment_Stats!H35)+(0.04*Catchment_Stats!P35)))</f>
        <v>-3.2697710861059841</v>
      </c>
      <c r="D35" s="2">
        <f>-((-7.21)+(2.83*LN(Catchment_Stats!V35)-(0.03*Catchment_Stats!E35)-(0.03*Catchment_Stats!H35)+(0.04*Catchment_Stats!P35)))</f>
        <v>-2.1975710861059836</v>
      </c>
      <c r="E35" s="2">
        <f>-(5.52 - (0.036*Catchment_Stats!R35) + (1.17*LN(Catchment_Stats!V35)) -(0.35*Catchment_Stats!W35))</f>
        <v>-4.3140498129837468</v>
      </c>
      <c r="F35" s="2">
        <f>-(4.83+(0.66*LN(Catchment_Stats!V35)-(0.004*Catchment_Stats!T35)-(0.27*Catchment_Stats!W35)+(0.16*SQRT(Catchment_Stats!H35))))</f>
        <v>-5.4827026887705355</v>
      </c>
      <c r="G35" s="2">
        <f>-((3.75)-(0.002*Catchment_Stats!Q35)+(0.022*SQRT(Catchment_Stats!H35))+(0.093*Catchment_Stats!O35)+(0.75*LN(Catchment_Stats!N35)))</f>
        <v>-9.5206458673974375</v>
      </c>
      <c r="J35" s="2">
        <f t="shared" ref="J35" si="6">10^(-D35/3.322)</f>
        <v>4.5869129215461095</v>
      </c>
      <c r="K35" s="2">
        <f t="shared" si="4"/>
        <v>19.889794079750281</v>
      </c>
      <c r="L35" s="2">
        <f t="shared" si="4"/>
        <v>44.71180908885848</v>
      </c>
      <c r="M35" s="2">
        <f t="shared" si="4"/>
        <v>734.4089304133978</v>
      </c>
      <c r="N35">
        <v>1.44</v>
      </c>
      <c r="O35">
        <v>13.05</v>
      </c>
      <c r="P35">
        <v>33.049999999999997</v>
      </c>
      <c r="Q35">
        <v>724</v>
      </c>
      <c r="R35">
        <v>9.74</v>
      </c>
      <c r="S35">
        <v>18.2</v>
      </c>
      <c r="T35">
        <v>30.31</v>
      </c>
      <c r="U35" s="2">
        <f>(2.7+((1.9*Catchment_Stats!AD35)+(1.75*Catchment_Stats!AE35)+(0.8*Catchment_Stats!AF35)+(0.003*Catchment_Stats!U35)))</f>
        <v>7.5329612549695435</v>
      </c>
      <c r="V35" s="2">
        <f t="shared" si="1"/>
        <v>1868.6308108719456</v>
      </c>
      <c r="W35">
        <f>EXP((4.22+(0.39*(AA35^(1/2)))+(0.36*LN(Catchment_Stats!AA35))+(0.13*(Catchment_Stats!I35^(1/2)))))</f>
        <v>3019.8354342034936</v>
      </c>
      <c r="X35">
        <v>788.02526190000003</v>
      </c>
      <c r="Y35">
        <f t="shared" si="2"/>
        <v>6.6695301475927558</v>
      </c>
      <c r="Z35">
        <f>((Y35 - (0.13*(Catchment_Stats!I35^0.5)) - (0.36*LN(Catchment_Stats!AA35)) - 4.22)/(0.39))^2</f>
        <v>3.4107323053069791</v>
      </c>
      <c r="AA35">
        <v>28</v>
      </c>
      <c r="AB35">
        <v>36</v>
      </c>
      <c r="AC35">
        <v>49</v>
      </c>
    </row>
    <row r="36" spans="1:29" x14ac:dyDescent="0.5">
      <c r="A36" t="s">
        <v>85</v>
      </c>
      <c r="B36" s="2"/>
      <c r="C36" s="2">
        <f>-((-7.21)+(2.83*LN(Catchment_Stats!V36)-(0.03*Catchment_Stats!F36)-(0.03*Catchment_Stats!H36)+(0.04*Catchment_Stats!P36)))</f>
        <v>3.1353095771069794</v>
      </c>
      <c r="D36" s="2"/>
      <c r="E36" s="2">
        <f>-(5.52 - (0.036*Catchment_Stats!R36) + (1.17*LN(Catchment_Stats!V36)) -(0.35*Catchment_Stats!W36))</f>
        <v>-3.229309892150118</v>
      </c>
      <c r="F36" s="2">
        <f>-(4.83+(0.66*LN(Catchment_Stats!V36)-(0.004*Catchment_Stats!T36)-(0.27*Catchment_Stats!W36)+(0.16*SQRT(Catchment_Stats!H36))))</f>
        <v>-5.6325543357598669</v>
      </c>
      <c r="G36" s="2">
        <f>-((3.75)-(0.002*Catchment_Stats!Q36)+(0.022*SQRT(Catchment_Stats!H36))+(0.093*Catchment_Stats!O36)+(0.75*LN(Catchment_Stats!N36)))</f>
        <v>-9.8410295636116327</v>
      </c>
      <c r="I36" s="2">
        <f>10^(-C36/3.322)</f>
        <v>0.11381465879336546</v>
      </c>
      <c r="J36" s="2"/>
      <c r="K36" s="2">
        <f t="shared" si="4"/>
        <v>9.3777381329318246</v>
      </c>
      <c r="L36" s="2">
        <f t="shared" si="4"/>
        <v>49.605645633603139</v>
      </c>
      <c r="M36" s="2">
        <f t="shared" si="4"/>
        <v>917.02455396982668</v>
      </c>
      <c r="U36" s="2">
        <f>(2.7+((1.9*Catchment_Stats!AD36)+(1.75*Catchment_Stats!AE36)+(0.8*Catchment_Stats!AF36)+(0.003*Catchment_Stats!U36)))</f>
        <v>8.8646924430090515</v>
      </c>
      <c r="V36" s="2">
        <f t="shared" si="1"/>
        <v>7077.61625613257</v>
      </c>
      <c r="W36">
        <f>EXP((4.22+(0.39*(AA36^(1/2)))+(0.36*LN(Catchment_Stats!AA36))+(0.13*(Catchment_Stats!I36^(1/2)))))</f>
        <v>8532.9348496410039</v>
      </c>
      <c r="X36">
        <v>835.13890000000004</v>
      </c>
      <c r="Y36">
        <f t="shared" si="2"/>
        <v>6.7275980583220658</v>
      </c>
      <c r="Z36">
        <f>((Y36 - (0.13*(Catchment_Stats!I36^0.5)) - (0.36*LN(Catchment_Stats!AA36)) - 4.22)/(0.39))^2</f>
        <v>0.44582864000184819</v>
      </c>
      <c r="AA36">
        <v>28</v>
      </c>
      <c r="AB36">
        <v>36</v>
      </c>
      <c r="AC36">
        <v>49</v>
      </c>
    </row>
    <row r="37" spans="1:29" x14ac:dyDescent="0.5">
      <c r="A37" t="s">
        <v>84</v>
      </c>
      <c r="B37" s="2"/>
      <c r="C37" s="2">
        <f>-((-7.21)+(2.83*LN(Catchment_Stats!V37)-(0.03*Catchment_Stats!F37)-(0.03*Catchment_Stats!H37)+(0.04*Catchment_Stats!P37)))</f>
        <v>3.7497095771069802</v>
      </c>
      <c r="D37" s="2"/>
      <c r="E37" s="2">
        <f>-(5.52 - (0.036*Catchment_Stats!R37) + (1.17*LN(Catchment_Stats!V37)) -(0.35*Catchment_Stats!W37))</f>
        <v>-3.229309892150118</v>
      </c>
      <c r="F37" s="2">
        <f>-(4.83+(0.66*LN(Catchment_Stats!V37)-(0.004*Catchment_Stats!T37)-(0.27*Catchment_Stats!W37)+(0.16*SQRT(Catchment_Stats!H37))))</f>
        <v>-5.5804330569863039</v>
      </c>
      <c r="G37" s="2">
        <f>-((3.75)-(0.002*Catchment_Stats!Q37)+(0.022*SQRT(Catchment_Stats!H37))+(0.093*Catchment_Stats!O37)+(0.75*LN(Catchment_Stats!N37)))</f>
        <v>-9.8266825623012863</v>
      </c>
      <c r="I37" s="2">
        <f t="shared" ref="I37:I42" si="7">10^(-C37/3.322)</f>
        <v>7.4344590687758491E-2</v>
      </c>
      <c r="J37" s="2"/>
      <c r="K37" s="2">
        <f t="shared" si="4"/>
        <v>9.3777381329318246</v>
      </c>
      <c r="L37" s="2">
        <f t="shared" si="4"/>
        <v>47.845530883427998</v>
      </c>
      <c r="M37" s="2">
        <f t="shared" si="4"/>
        <v>907.95051666747906</v>
      </c>
      <c r="N37">
        <v>0.05</v>
      </c>
      <c r="O37">
        <v>32</v>
      </c>
      <c r="P37">
        <v>93</v>
      </c>
      <c r="Q37">
        <v>855</v>
      </c>
      <c r="R37">
        <v>26.36</v>
      </c>
      <c r="S37">
        <v>62</v>
      </c>
      <c r="T37">
        <v>119.43</v>
      </c>
      <c r="U37" s="2">
        <f>(2.7+((1.9*Catchment_Stats!AD37)+(1.75*Catchment_Stats!AE37)+(0.8*Catchment_Stats!AF37)+(0.003*Catchment_Stats!U37)))</f>
        <v>8.5552965645745687</v>
      </c>
      <c r="V37" s="2">
        <f t="shared" si="1"/>
        <v>5194.193076784175</v>
      </c>
      <c r="W37">
        <f>EXP((4.22+(0.39*(AA37^(1/2)))+(0.36*LN(Catchment_Stats!AA37))+(0.13*(Catchment_Stats!I37^(1/2)))))</f>
        <v>7500.3693806026986</v>
      </c>
      <c r="X37">
        <v>1832.172693</v>
      </c>
      <c r="Y37">
        <f t="shared" si="2"/>
        <v>7.5132578055294257</v>
      </c>
      <c r="Z37">
        <f>((Y37 - (0.13*(Catchment_Stats!I37^0.5)) - (0.36*LN(Catchment_Stats!AA37)) - 4.22)/(0.39))^2</f>
        <v>2.2053610644390846</v>
      </c>
      <c r="AA37">
        <v>26</v>
      </c>
      <c r="AB37">
        <v>33</v>
      </c>
      <c r="AC37">
        <v>46</v>
      </c>
    </row>
    <row r="38" spans="1:29" x14ac:dyDescent="0.5">
      <c r="A38" t="s">
        <v>161</v>
      </c>
      <c r="B38" s="2"/>
      <c r="C38" s="2">
        <f>-((-7.21)+(2.83*LN(Catchment_Stats!V38)-(0.03*Catchment_Stats!F38)-(0.03*Catchment_Stats!H38)+(0.04*Catchment_Stats!P38)))</f>
        <v>2.0876432313666911</v>
      </c>
      <c r="D38" s="2"/>
      <c r="E38" s="2">
        <f>-(5.52 - (0.036*Catchment_Stats!R38) + (1.17*LN(Catchment_Stats!V38)) -(0.35*Catchment_Stats!W38))</f>
        <v>-2.6241732930392123</v>
      </c>
      <c r="F38" s="2">
        <f>-(4.83+(0.66*LN(Catchment_Stats!V38)-(0.004*Catchment_Stats!T38)-(0.27*Catchment_Stats!W38)+(0.16*SQRT(Catchment_Stats!H38))))</f>
        <v>-4.6513219187661994</v>
      </c>
      <c r="G38" s="2">
        <f>-((3.75)-(0.002*Catchment_Stats!Q38)+(0.022*SQRT(Catchment_Stats!H38))+(0.093*Catchment_Stats!O38)+(0.75*LN(Catchment_Stats!N38)))</f>
        <v>-9.8891345919635256</v>
      </c>
      <c r="I38" s="2">
        <f t="shared" si="7"/>
        <v>0.23527206798647374</v>
      </c>
      <c r="J38" s="2"/>
      <c r="K38" s="2">
        <f t="shared" si="4"/>
        <v>6.1650666538940113</v>
      </c>
      <c r="L38" s="2">
        <f t="shared" si="4"/>
        <v>25.12795292640752</v>
      </c>
      <c r="M38" s="2">
        <f t="shared" si="4"/>
        <v>948.11650602120051</v>
      </c>
      <c r="U38" s="2">
        <f>(2.7+((1.9*Catchment_Stats!AD38)+(1.75*Catchment_Stats!AE38)+(0.8*Catchment_Stats!AF38)+(0.003*Catchment_Stats!U38)))</f>
        <v>9.0606711159204067</v>
      </c>
      <c r="V38" s="2">
        <f t="shared" si="1"/>
        <v>8609.9269745828897</v>
      </c>
      <c r="W38">
        <f>EXP((4.22+(0.39*(AA38^(1/2)))+(0.36*LN(Catchment_Stats!AA38))+(0.13*(Catchment_Stats!I38^(1/2)))))</f>
        <v>8126.8967169553944</v>
      </c>
      <c r="X38">
        <v>2055.2339999999999</v>
      </c>
      <c r="Y38">
        <f t="shared" si="2"/>
        <v>7.6281449890609352</v>
      </c>
      <c r="Z38">
        <f>((Y38 - (0.13*(Catchment_Stats!I38^0.5)) - (0.36*LN(Catchment_Stats!AA38)) - 4.22)/(0.39))^2</f>
        <v>2.4772191405186574</v>
      </c>
      <c r="AA38">
        <v>26</v>
      </c>
      <c r="AB38">
        <v>33</v>
      </c>
      <c r="AC38">
        <v>46</v>
      </c>
    </row>
    <row r="39" spans="1:29" x14ac:dyDescent="0.5">
      <c r="A39" t="s">
        <v>162</v>
      </c>
      <c r="B39" s="2"/>
      <c r="C39" s="2">
        <f>-((-7.21)+(2.83*LN(Catchment_Stats!V39)-(0.03*Catchment_Stats!F39)-(0.03*Catchment_Stats!H39)+(0.04*Catchment_Stats!P39)))</f>
        <v>3.5684432313666905</v>
      </c>
      <c r="D39" s="2"/>
      <c r="E39" s="2">
        <f>-(5.52 - (0.036*Catchment_Stats!R39) + (1.17*LN(Catchment_Stats!V39)) -(0.35*Catchment_Stats!W39))</f>
        <v>-2.6241732930392123</v>
      </c>
      <c r="F39" s="2">
        <f>-(4.83+(0.66*LN(Catchment_Stats!V39)-(0.004*Catchment_Stats!T39)-(0.27*Catchment_Stats!W39)+(0.16*SQRT(Catchment_Stats!H39))))</f>
        <v>-5.3384400756763171</v>
      </c>
      <c r="G39" s="2">
        <f>-((3.75)-(0.002*Catchment_Stats!Q39)+(0.022*SQRT(Catchment_Stats!H39))+(0.093*Catchment_Stats!O39)+(0.75*LN(Catchment_Stats!N39)))</f>
        <v>-9.9860244148517374</v>
      </c>
      <c r="I39" s="2">
        <f t="shared" si="7"/>
        <v>8.4297520557822775E-2</v>
      </c>
      <c r="J39" s="2"/>
      <c r="K39" s="2">
        <f t="shared" si="4"/>
        <v>6.1650666538940113</v>
      </c>
      <c r="L39" s="2">
        <f t="shared" si="4"/>
        <v>40.457198699382268</v>
      </c>
      <c r="M39" s="2">
        <f t="shared" si="4"/>
        <v>1013.9763346278851</v>
      </c>
      <c r="U39" s="2">
        <f>(2.7+((1.9*Catchment_Stats!AD39)+(1.75*Catchment_Stats!AE39)+(0.8*Catchment_Stats!AF39)+(0.003*Catchment_Stats!U39)))</f>
        <v>8.3888552853602718</v>
      </c>
      <c r="V39" s="2">
        <f t="shared" si="1"/>
        <v>4397.780607924311</v>
      </c>
      <c r="W39">
        <f>EXP((4.22+(0.39*(AA39^(1/2)))+(0.36*LN(Catchment_Stats!AA39))+(0.13*(Catchment_Stats!I39^(1/2)))))</f>
        <v>5707.8655402967997</v>
      </c>
      <c r="X39">
        <v>972.17129999999997</v>
      </c>
      <c r="Y39">
        <f t="shared" si="2"/>
        <v>6.879532023500853</v>
      </c>
      <c r="Z39">
        <f>((Y39 - (0.13*(Catchment_Stats!I39^0.5)) - (0.36*LN(Catchment_Stats!AA39)) - 4.22)/(0.39))^2</f>
        <v>0.3140286521835568</v>
      </c>
      <c r="AA39">
        <v>26</v>
      </c>
      <c r="AB39">
        <v>33</v>
      </c>
      <c r="AC39">
        <v>46</v>
      </c>
    </row>
    <row r="40" spans="1:29" x14ac:dyDescent="0.5">
      <c r="A40" t="s">
        <v>163</v>
      </c>
      <c r="B40" s="2"/>
      <c r="C40" s="2">
        <f>-((-7.21)+(2.83*LN(Catchment_Stats!V40)-(0.03*Catchment_Stats!F40)-(0.03*Catchment_Stats!H40)+(0.04*Catchment_Stats!P40)))</f>
        <v>4.7124095771069801</v>
      </c>
      <c r="E40" s="2">
        <f>-(5.52 - (0.036*Catchment_Stats!R40) + (1.17*LN(Catchment_Stats!V40)) -(0.35*Catchment_Stats!W40))</f>
        <v>-3.229309892150118</v>
      </c>
      <c r="F40" s="2">
        <f>-(4.83+(0.66*LN(Catchment_Stats!V40)-(0.004*Catchment_Stats!T40)-(0.27*Catchment_Stats!W40)+(0.16*SQRT(Catchment_Stats!H40))))</f>
        <v>-5.7378233433084267</v>
      </c>
      <c r="G40" s="2">
        <f>-((3.75)-(0.002*Catchment_Stats!Q40)+(0.022*SQRT(Catchment_Stats!H40))+(0.093*Catchment_Stats!O40)+(0.75*LN(Catchment_Stats!N40)))</f>
        <v>-9.8350896428211723</v>
      </c>
      <c r="I40" s="2">
        <f>10^(-C40/3.322)</f>
        <v>3.8146444995272775E-2</v>
      </c>
      <c r="K40" s="2">
        <f t="shared" si="4"/>
        <v>9.3777381329318246</v>
      </c>
      <c r="L40" s="2">
        <f t="shared" si="4"/>
        <v>53.360458114039744</v>
      </c>
      <c r="M40" s="2">
        <f t="shared" si="4"/>
        <v>913.2567876682939</v>
      </c>
      <c r="U40" s="2">
        <f>(2.7+((1.9*Catchment_Stats!AD40)+(1.75*Catchment_Stats!AE40)+(0.8*Catchment_Stats!AF40)+(0.003*Catchment_Stats!U40)))</f>
        <v>7.727090809872224</v>
      </c>
      <c r="V40" s="2">
        <f t="shared" si="1"/>
        <v>2268.9916616499368</v>
      </c>
      <c r="W40">
        <f>EXP((4.22+(0.39*(AA40^(1/2)))+(0.36*LN(Catchment_Stats!AA40))+(0.13*(Catchment_Stats!I40^(1/2)))))</f>
        <v>1858.0298592285624</v>
      </c>
      <c r="X40">
        <v>286.58300000000003</v>
      </c>
      <c r="Y40">
        <f t="shared" si="2"/>
        <v>5.6580281975147733</v>
      </c>
      <c r="Z40">
        <f>((Y40 - (0.13*(Catchment_Stats!I40^0.5)) - (0.36*LN(Catchment_Stats!AA40)) - 4.22)/(0.39))^2</f>
        <v>0.24857186662051695</v>
      </c>
      <c r="AA40">
        <v>28</v>
      </c>
      <c r="AB40">
        <v>36</v>
      </c>
      <c r="AC40">
        <v>49</v>
      </c>
    </row>
    <row r="41" spans="1:29" x14ac:dyDescent="0.5">
      <c r="A41" t="s">
        <v>164</v>
      </c>
      <c r="B41" s="2"/>
      <c r="C41" s="2">
        <f>-((-7.21)+(2.83*LN(Catchment_Stats!V41)-(0.03*Catchment_Stats!F41)-(0.03*Catchment_Stats!H41)+(0.04*Catchment_Stats!P41)))</f>
        <v>3.5954432313666906</v>
      </c>
      <c r="E41" s="2">
        <f>-(5.52 - (0.036*Catchment_Stats!R41) + (1.17*LN(Catchment_Stats!V41)) -(0.35*Catchment_Stats!W41))</f>
        <v>-2.6241732930392123</v>
      </c>
      <c r="F41" s="2">
        <f>-(4.83+(0.66*LN(Catchment_Stats!V41)-(0.004*Catchment_Stats!T41)-(0.27*Catchment_Stats!W41)+(0.16*SQRT(Catchment_Stats!H41))))</f>
        <v>-5.1357259601759662</v>
      </c>
      <c r="G41" s="2">
        <f>-((3.75)-(0.002*Catchment_Stats!Q41)+(0.022*SQRT(Catchment_Stats!H41))+(0.093*Catchment_Stats!O41)+(0.75*LN(Catchment_Stats!N41)))</f>
        <v>-9.9643906026926476</v>
      </c>
      <c r="I41" s="2">
        <f t="shared" si="7"/>
        <v>8.2734599126635874E-2</v>
      </c>
      <c r="K41" s="2">
        <f t="shared" si="4"/>
        <v>6.1650666538940113</v>
      </c>
      <c r="L41" s="2">
        <f t="shared" si="4"/>
        <v>35.153947515381574</v>
      </c>
      <c r="M41" s="2">
        <f t="shared" si="4"/>
        <v>998.88509690699743</v>
      </c>
      <c r="U41" s="2">
        <f>(2.7+((1.9*Catchment_Stats!AD41)+(1.75*Catchment_Stats!AE41)+(0.8*Catchment_Stats!AF41)+(0.003*Catchment_Stats!U41)))</f>
        <v>8.2278713929796936</v>
      </c>
      <c r="V41" s="2">
        <f t="shared" si="1"/>
        <v>3743.8560661177571</v>
      </c>
      <c r="W41">
        <f>EXP((4.22+(0.39*(AA41^(1/2)))+(0.36*LN(Catchment_Stats!AA41))+(0.13*(Catchment_Stats!I41^(1/2)))))</f>
        <v>4243.9922937226847</v>
      </c>
      <c r="X41">
        <v>851.65189999999996</v>
      </c>
      <c r="Y41">
        <f t="shared" si="2"/>
        <v>6.7471778752675213</v>
      </c>
      <c r="Z41">
        <f>((Y41 - (0.13*(Catchment_Stats!I41^0.5)) - (0.36*LN(Catchment_Stats!AA41)) - 4.22)/(0.39))^2</f>
        <v>1.376736467086884</v>
      </c>
      <c r="AA41">
        <v>28</v>
      </c>
      <c r="AB41">
        <v>36</v>
      </c>
      <c r="AC41">
        <v>49</v>
      </c>
    </row>
    <row r="42" spans="1:29" x14ac:dyDescent="0.5">
      <c r="A42" t="s">
        <v>76</v>
      </c>
      <c r="B42" s="2"/>
      <c r="C42" s="2">
        <f>-((-7.21)+(2.83*LN(Catchment_Stats!V42)-(0.03*Catchment_Stats!F42)-(0.03*Catchment_Stats!H42)+(0.04*Catchment_Stats!P42)))</f>
        <v>2.0969204862603776</v>
      </c>
      <c r="E42" s="2">
        <f>-(5.52 - (0.036*Catchment_Stats!R42) + (1.17*LN(Catchment_Stats!V42)) -(0.35*Catchment_Stats!W42))</f>
        <v>-4.3115418484365211</v>
      </c>
      <c r="F42" s="2">
        <f>-(4.83+(0.66*LN(Catchment_Stats!V42)-(0.004*Catchment_Stats!T42)-(0.27*Catchment_Stats!W42)+(0.16*SQRT(Catchment_Stats!H42))))</f>
        <v>-5.8540123238178428</v>
      </c>
      <c r="G42" s="2">
        <f>-((3.75)-(0.002*Catchment_Stats!Q42)+(0.022*SQRT(Catchment_Stats!H42))+(0.093*Catchment_Stats!O42)+(0.75*LN(Catchment_Stats!N42)))</f>
        <v>-9.5199081780485031</v>
      </c>
      <c r="I42" s="2">
        <f t="shared" si="7"/>
        <v>0.23376403676872465</v>
      </c>
      <c r="K42" s="2">
        <f t="shared" si="4"/>
        <v>19.855248672489353</v>
      </c>
      <c r="L42" s="2">
        <f t="shared" si="4"/>
        <v>57.835588717467942</v>
      </c>
      <c r="M42" s="2">
        <f t="shared" si="4"/>
        <v>734.03351119893398</v>
      </c>
      <c r="U42" s="2">
        <f>(2.7+((1.9*Catchment_Stats!AD42)+(1.75*Catchment_Stats!AE42)+(0.8*Catchment_Stats!AF42)+(0.003*Catchment_Stats!U42)))</f>
        <v>8.1707179539860597</v>
      </c>
      <c r="V42" s="2">
        <f t="shared" si="1"/>
        <v>3535.8816528686034</v>
      </c>
      <c r="W42">
        <f>EXP((4.22+(0.39*(AA42^(1/2)))+(0.36*LN(Catchment_Stats!AA42))+(0.13*(Catchment_Stats!I42^(1/2)))))</f>
        <v>5581.3302899668115</v>
      </c>
      <c r="X42">
        <v>3540.4</v>
      </c>
      <c r="Y42">
        <f t="shared" si="2"/>
        <v>8.1719949940947227</v>
      </c>
      <c r="Z42">
        <f>((Y42 - (0.13*(Catchment_Stats!I42^0.5)) - (0.36*LN(Catchment_Stats!AA42)) - 4.22)/(0.39))^2</f>
        <v>17.010307053991955</v>
      </c>
      <c r="AA42">
        <v>28</v>
      </c>
      <c r="AB42">
        <v>36</v>
      </c>
      <c r="AC42">
        <v>49</v>
      </c>
    </row>
    <row r="43" spans="1:29" x14ac:dyDescent="0.5">
      <c r="A43" t="s">
        <v>75</v>
      </c>
      <c r="B43" s="2"/>
      <c r="C43" s="2">
        <f>-((-7.21)+(2.83*LN(Catchment_Stats!V43)-(0.03*Catchment_Stats!F43)-(0.03*Catchment_Stats!H43)+(0.04*Catchment_Stats!P43)))</f>
        <v>2.4190944575922817</v>
      </c>
      <c r="E43" s="2">
        <f>-(5.52 - (0.036*Catchment_Stats!R43) + (1.17*LN(Catchment_Stats!V43)) -(0.35*Catchment_Stats!W43))</f>
        <v>-3.8766803125855231</v>
      </c>
      <c r="F43" s="2">
        <f>-(4.83+(0.66*LN(Catchment_Stats!V43)-(0.004*Catchment_Stats!T43)-(0.27*Catchment_Stats!W43)+(0.16*SQRT(Catchment_Stats!H43))))</f>
        <v>-5.8966244882060188</v>
      </c>
      <c r="G43" s="2">
        <f>-((3.75)-(0.002*Catchment_Stats!Q43)+(0.022*SQRT(Catchment_Stats!H43))+(0.093*Catchment_Stats!O43)+(0.75*LN(Catchment_Stats!N43)))</f>
        <v>-9.569187338302477</v>
      </c>
      <c r="I43" s="2">
        <f>10^(-C43/3.322)</f>
        <v>0.18698026387218802</v>
      </c>
      <c r="K43" s="2">
        <f t="shared" si="4"/>
        <v>14.68830891956568</v>
      </c>
      <c r="L43" s="2">
        <f t="shared" si="4"/>
        <v>59.569289846212037</v>
      </c>
      <c r="M43" s="2">
        <f t="shared" si="4"/>
        <v>759.53898823439374</v>
      </c>
      <c r="U43" s="2">
        <f>(2.7+((1.9*Catchment_Stats!AD43)+(1.75*Catchment_Stats!AE43)+(0.8*Catchment_Stats!AF43)+(0.003*Catchment_Stats!U43)))</f>
        <v>8.367649174373696</v>
      </c>
      <c r="V43" s="2">
        <f t="shared" si="1"/>
        <v>4305.5026704332813</v>
      </c>
      <c r="W43">
        <f>EXP((4.22+(0.39*(AA43^(1/2)))+(0.36*LN(Catchment_Stats!AA43))+(0.13*(Catchment_Stats!I43^(1/2)))))</f>
        <v>943.10954517090795</v>
      </c>
      <c r="X43">
        <v>4265.5871779999998</v>
      </c>
      <c r="Y43">
        <f t="shared" si="2"/>
        <v>8.3583351240721449</v>
      </c>
      <c r="Z43">
        <f>((Y43 - (0.13*(Catchment_Stats!I43^0.5)) - (0.36*LN(Catchment_Stats!AA43)) - 4.22)/(0.39))^2</f>
        <v>14.973976437356662</v>
      </c>
    </row>
    <row r="44" spans="1:29" x14ac:dyDescent="0.5">
      <c r="A44" t="s">
        <v>91</v>
      </c>
      <c r="B44" s="2">
        <f>-((-7.21)+(2.83*LN(Catchment_Stats!V44)-(0.03*Catchment_Stats!G44)-(0.03*Catchment_Stats!H44)+(0.04*Catchment_Stats!P44)))</f>
        <v>0.26653122643479232</v>
      </c>
      <c r="C44" s="2">
        <f>-((-7.21)+(2.83*LN(Catchment_Stats!V44)-(0.03*Catchment_Stats!F44)-(0.03*Catchment_Stats!H44)+(0.04*Catchment_Stats!P44)))</f>
        <v>0.26653122643479232</v>
      </c>
      <c r="D44" s="2">
        <f>-((-7.21)+(2.83*LN(Catchment_Stats!V44)-(0.03*Catchment_Stats!E44)-(0.03*Catchment_Stats!H44)+(0.04*Catchment_Stats!P44)))</f>
        <v>2.8144312264347926</v>
      </c>
      <c r="E44" s="2">
        <f>-(5.52 - (0.036*Catchment_Stats!R44) + (1.17*LN(Catchment_Stats!V44)) -(0.35*Catchment_Stats!W44))</f>
        <v>-2.2169187509085835</v>
      </c>
      <c r="F44" s="2">
        <f>-(4.83+(0.66*LN(Catchment_Stats!V44)-(0.004*Catchment_Stats!T44)-(0.27*Catchment_Stats!W44)+(0.16*SQRT(Catchment_Stats!H44))))</f>
        <v>-4.7735768087652843</v>
      </c>
      <c r="G44" s="2">
        <f>-((3.75)-(0.002*Catchment_Stats!Q44)+(0.022*SQRT(Catchment_Stats!H44))+(0.093*Catchment_Stats!O44)+(0.75*LN(Catchment_Stats!N44)))</f>
        <v>-9.9072088538856811</v>
      </c>
      <c r="J44" s="2">
        <f t="shared" ref="J44:J48" si="8">10^(-D44/3.322)</f>
        <v>0.14216415842462723</v>
      </c>
      <c r="K44" s="2">
        <f t="shared" ref="K44:M53" si="9">10^(-E44/3.322)</f>
        <v>4.6488399749148623</v>
      </c>
      <c r="L44" s="2">
        <f t="shared" si="9"/>
        <v>27.35008637431439</v>
      </c>
      <c r="M44" s="2">
        <f t="shared" si="9"/>
        <v>960.06908351726781</v>
      </c>
      <c r="N44">
        <v>0.02</v>
      </c>
      <c r="O44">
        <v>4.2699999999999996</v>
      </c>
      <c r="P44">
        <v>47.35</v>
      </c>
      <c r="Q44">
        <v>790</v>
      </c>
      <c r="R44">
        <v>2</v>
      </c>
      <c r="S44">
        <v>4.3</v>
      </c>
      <c r="T44">
        <v>50.2</v>
      </c>
      <c r="U44" s="2">
        <f>(2.7+((1.9*Catchment_Stats!AD44)+(1.75*Catchment_Stats!AE44)+(0.8*Catchment_Stats!AF44)+(0.003*Catchment_Stats!U44)))</f>
        <v>9.2195512222712814</v>
      </c>
      <c r="V44" s="2">
        <f t="shared" si="1"/>
        <v>10092.534007181986</v>
      </c>
      <c r="W44">
        <f>EXP((4.22+(0.39*(AA44^(1/2)))+(0.36*LN(Catchment_Stats!AA44))+(0.13*(Catchment_Stats!I44^(1/2)))))</f>
        <v>1606.7379229570506</v>
      </c>
      <c r="X44">
        <v>1280.0940000000001</v>
      </c>
      <c r="Y44">
        <f t="shared" si="2"/>
        <v>7.1546887917172617</v>
      </c>
      <c r="Z44">
        <f>((Y44 - (0.13*(Catchment_Stats!I44^0.5)) - (0.36*LN(Catchment_Stats!AA44)) - 4.22)/(0.39))^2</f>
        <v>0.33959749096828235</v>
      </c>
    </row>
    <row r="45" spans="1:29" x14ac:dyDescent="0.5">
      <c r="A45" t="s">
        <v>92</v>
      </c>
      <c r="B45" s="2">
        <f>-((-7.21)+(2.83*LN(Catchment_Stats!V45)-(0.03*Catchment_Stats!G45)-(0.03*Catchment_Stats!H45)+(0.04*Catchment_Stats!P45)))</f>
        <v>0.9076312264347921</v>
      </c>
      <c r="C45" s="2">
        <f>-((-7.21)+(2.83*LN(Catchment_Stats!V45)-(0.03*Catchment_Stats!F45)-(0.03*Catchment_Stats!H45)+(0.04*Catchment_Stats!P45)))</f>
        <v>0.9076312264347921</v>
      </c>
      <c r="D45" s="2">
        <f>-((-7.21)+(2.83*LN(Catchment_Stats!V45)-(0.03*Catchment_Stats!E45)-(0.03*Catchment_Stats!H45)+(0.04*Catchment_Stats!P45)))</f>
        <v>3.7201312264347925</v>
      </c>
      <c r="E45" s="2">
        <f>-(5.52 - (0.036*Catchment_Stats!R45) + (1.17*LN(Catchment_Stats!V45)) -(0.35*Catchment_Stats!W45))</f>
        <v>-2.2169187509085835</v>
      </c>
      <c r="F45" s="2">
        <f>-(4.83+(0.66*LN(Catchment_Stats!V45)-(0.004*Catchment_Stats!T45)-(0.27*Catchment_Stats!W45)+(0.16*SQRT(Catchment_Stats!H45))))</f>
        <v>-4.9795366471380405</v>
      </c>
      <c r="G45" s="2">
        <f>-((3.75)-(0.002*Catchment_Stats!Q45)+(0.022*SQRT(Catchment_Stats!H45))+(0.093*Catchment_Stats!O45)+(0.75*LN(Catchment_Stats!N45)))</f>
        <v>-9.9254576225427034</v>
      </c>
      <c r="J45" s="2">
        <f t="shared" si="8"/>
        <v>7.588451325588122E-2</v>
      </c>
      <c r="K45" s="2">
        <f t="shared" si="9"/>
        <v>4.6488399749148623</v>
      </c>
      <c r="L45" s="2">
        <f t="shared" si="9"/>
        <v>31.546955230995664</v>
      </c>
      <c r="M45" s="2">
        <f t="shared" si="9"/>
        <v>972.28994044818637</v>
      </c>
      <c r="U45" s="2">
        <f>(2.7+((1.9*Catchment_Stats!AD45)+(1.75*Catchment_Stats!AE45)+(0.8*Catchment_Stats!AF45)+(0.003*Catchment_Stats!U45)))</f>
        <v>7.6962214732061982</v>
      </c>
      <c r="V45" s="2">
        <f t="shared" si="1"/>
        <v>2200.0194345773812</v>
      </c>
      <c r="W45">
        <f>EXP((4.22+(0.39*(AA45^(1/2)))+(0.36*LN(Catchment_Stats!AA45))+(0.13*(Catchment_Stats!I45^(1/2)))))</f>
        <v>389.37952981163858</v>
      </c>
      <c r="X45">
        <v>1186.126</v>
      </c>
      <c r="Y45">
        <f t="shared" si="2"/>
        <v>7.0784478133750302</v>
      </c>
      <c r="Z45">
        <f>((Y45 - (0.13*(Catchment_Stats!I45^0.5)) - (0.36*LN(Catchment_Stats!AA45)) - 4.22)/(0.39))^2</f>
        <v>8.1575165174211914</v>
      </c>
    </row>
    <row r="46" spans="1:29" x14ac:dyDescent="0.5">
      <c r="A46" t="s">
        <v>149</v>
      </c>
      <c r="B46" s="2">
        <f>-((-7.21)+(2.83*LN(Catchment_Stats!V46)-(0.03*Catchment_Stats!G46)-(0.03*Catchment_Stats!H46)+(0.04*Catchment_Stats!P46)))</f>
        <v>0.71263122643479271</v>
      </c>
      <c r="C46" s="2">
        <f>-((-7.21)+(2.83*LN(Catchment_Stats!V46)-(0.03*Catchment_Stats!F46)-(0.03*Catchment_Stats!H46)+(0.04*Catchment_Stats!P46)))</f>
        <v>0.71263122643479271</v>
      </c>
      <c r="D46" s="2">
        <f>-((-7.21)+(2.83*LN(Catchment_Stats!V46)-(0.03*Catchment_Stats!E46)-(0.03*Catchment_Stats!H46)+(0.04*Catchment_Stats!P46)))</f>
        <v>3.0625312264347926</v>
      </c>
      <c r="E46" s="2">
        <f>-(5.52 - (0.036*Catchment_Stats!R46) + (1.17*LN(Catchment_Stats!V46)) -(0.35*Catchment_Stats!W46))</f>
        <v>-2.2169187509085835</v>
      </c>
      <c r="F46" s="2">
        <f>-(4.83+(0.66*LN(Catchment_Stats!V46)-(0.004*Catchment_Stats!T46)-(0.27*Catchment_Stats!W46)+(0.16*SQRT(Catchment_Stats!H46))))</f>
        <v>-4.9201673974967548</v>
      </c>
      <c r="G46" s="2">
        <f>-((3.75)-(0.002*Catchment_Stats!Q46)+(0.022*SQRT(Catchment_Stats!H46))+(0.093*Catchment_Stats!O46)+(0.75*LN(Catchment_Stats!N46)))</f>
        <v>-9.955102833683803</v>
      </c>
      <c r="J46" s="2">
        <f t="shared" si="8"/>
        <v>0.1197033192536496</v>
      </c>
      <c r="K46" s="2">
        <f t="shared" si="9"/>
        <v>4.6488399749148623</v>
      </c>
      <c r="L46" s="2">
        <f t="shared" si="9"/>
        <v>30.275122658604086</v>
      </c>
      <c r="M46" s="2">
        <f t="shared" si="9"/>
        <v>992.47527694002156</v>
      </c>
      <c r="U46" s="2">
        <f>(2.7+((1.9*Catchment_Stats!AD46)+(1.75*Catchment_Stats!AE46)+(0.8*Catchment_Stats!AF46)+(0.003*Catchment_Stats!U46)))</f>
        <v>8.2535881426853521</v>
      </c>
      <c r="V46" s="2">
        <f t="shared" si="1"/>
        <v>3841.3845584274022</v>
      </c>
      <c r="W46">
        <f>EXP((4.22+(0.39*(AA46^(1/2)))+(0.36*LN(Catchment_Stats!AA46))+(0.13*(Catchment_Stats!I46^(1/2)))))</f>
        <v>683.13715757994567</v>
      </c>
      <c r="X46">
        <v>1693.2860000000001</v>
      </c>
      <c r="Y46">
        <f t="shared" si="2"/>
        <v>7.4344262987578267</v>
      </c>
      <c r="Z46">
        <f>((Y46 - (0.13*(Catchment_Stats!I46^0.5)) - (0.36*LN(Catchment_Stats!AA46)) - 4.22)/(0.39))^2</f>
        <v>5.4173236042286943</v>
      </c>
    </row>
    <row r="47" spans="1:29" x14ac:dyDescent="0.5">
      <c r="A47" t="s">
        <v>150</v>
      </c>
      <c r="B47" s="2">
        <f>-((-7.21)+(2.83*LN(Catchment_Stats!V47)-(0.03*Catchment_Stats!G47)-(0.03*Catchment_Stats!H47)+(0.04*Catchment_Stats!P47)))</f>
        <v>-0.42796877356520735</v>
      </c>
      <c r="C47" s="2">
        <f>-((-7.21)+(2.83*LN(Catchment_Stats!V47)-(0.03*Catchment_Stats!F47)-(0.03*Catchment_Stats!H47)+(0.04*Catchment_Stats!P47)))</f>
        <v>-0.42796877356520735</v>
      </c>
      <c r="D47" s="2">
        <f>-((-7.21)+(2.83*LN(Catchment_Stats!V47)-(0.03*Catchment_Stats!E47)-(0.03*Catchment_Stats!H47)+(0.04*Catchment_Stats!P47)))</f>
        <v>0.34213122643479288</v>
      </c>
      <c r="E47" s="2">
        <f>-(5.52 - (0.036*Catchment_Stats!R47) + (1.17*LN(Catchment_Stats!V47)) -(0.35*Catchment_Stats!W47))</f>
        <v>-2.2169187509085835</v>
      </c>
      <c r="F47" s="2">
        <f>-(4.83+(0.66*LN(Catchment_Stats!V47)-(0.004*Catchment_Stats!T47)-(0.27*Catchment_Stats!W47)+(0.16*SQRT(Catchment_Stats!H47))))</f>
        <v>-4.5014945886956426</v>
      </c>
      <c r="G47" s="2">
        <f>-((3.75)-(0.002*Catchment_Stats!Q47)+(0.022*SQRT(Catchment_Stats!H47))+(0.093*Catchment_Stats!O47)+(0.75*LN(Catchment_Stats!N47)))</f>
        <v>-9.9089264683433118</v>
      </c>
      <c r="J47" s="2">
        <f t="shared" si="8"/>
        <v>0.78887913148828126</v>
      </c>
      <c r="K47" s="2">
        <f t="shared" si="9"/>
        <v>4.6488399749148623</v>
      </c>
      <c r="L47" s="2">
        <f t="shared" si="9"/>
        <v>22.649340746064819</v>
      </c>
      <c r="M47" s="2">
        <f t="shared" si="9"/>
        <v>961.21275891541609</v>
      </c>
      <c r="U47" s="2">
        <f>(2.7+((1.9*Catchment_Stats!AD47)+(1.75*Catchment_Stats!AE47)+(0.8*Catchment_Stats!AF47)+(0.003*Catchment_Stats!U47)))</f>
        <v>8.762746384844661</v>
      </c>
      <c r="V47" s="2">
        <f t="shared" si="1"/>
        <v>6391.6414022307617</v>
      </c>
      <c r="W47">
        <f>EXP((4.22+(0.39*(AA47^(1/2)))+(0.36*LN(Catchment_Stats!AA47))+(0.13*(Catchment_Stats!I47^(1/2)))))</f>
        <v>1099.7324571506101</v>
      </c>
      <c r="X47">
        <v>1961.184</v>
      </c>
      <c r="Y47">
        <f t="shared" si="2"/>
        <v>7.5813036514733527</v>
      </c>
      <c r="Z47">
        <f>((Y47 - (0.13*(Catchment_Stats!I47^0.5)) - (0.36*LN(Catchment_Stats!AA47)) - 4.22)/(0.39))^2</f>
        <v>2.200136620276083</v>
      </c>
    </row>
    <row r="48" spans="1:29" x14ac:dyDescent="0.5">
      <c r="A48" t="s">
        <v>151</v>
      </c>
      <c r="B48" s="2">
        <f>-((-7.21)+(2.83*LN(Catchment_Stats!V48)-(0.03*Catchment_Stats!G48)-(0.03*Catchment_Stats!H48)+(0.04*Catchment_Stats!P48)))</f>
        <v>0.99343122643479287</v>
      </c>
      <c r="C48" s="2">
        <f>-((-7.21)+(2.83*LN(Catchment_Stats!V48)-(0.03*Catchment_Stats!F48)-(0.03*Catchment_Stats!H48)+(0.04*Catchment_Stats!P48)))</f>
        <v>0.99343122643479287</v>
      </c>
      <c r="D48" s="2">
        <f>-((-7.21)+(2.83*LN(Catchment_Stats!V48)-(0.03*Catchment_Stats!E48)-(0.03*Catchment_Stats!H48)+(0.04*Catchment_Stats!P48)))</f>
        <v>1.702631226434792</v>
      </c>
      <c r="E48" s="2">
        <f>-(5.52 - (0.036*Catchment_Stats!R48) + (1.17*LN(Catchment_Stats!V48)) -(0.35*Catchment_Stats!W48))</f>
        <v>-2.2169187509085835</v>
      </c>
      <c r="F48" s="2">
        <f>-(4.83+(0.66*LN(Catchment_Stats!V48)-(0.004*Catchment_Stats!T48)-(0.27*Catchment_Stats!W48)+(0.16*SQRT(Catchment_Stats!H48))))</f>
        <v>-5.0048926356470105</v>
      </c>
      <c r="G48" s="2">
        <f>-((3.75)-(0.002*Catchment_Stats!Q48)+(0.022*SQRT(Catchment_Stats!H48))+(0.093*Catchment_Stats!O48)+(0.75*LN(Catchment_Stats!N48)))</f>
        <v>-9.9753234317597812</v>
      </c>
      <c r="J48" s="2">
        <f t="shared" si="8"/>
        <v>0.30723311443923018</v>
      </c>
      <c r="K48" s="2">
        <f t="shared" si="9"/>
        <v>4.6488399749148623</v>
      </c>
      <c r="L48" s="2">
        <f t="shared" si="9"/>
        <v>32.106295413375555</v>
      </c>
      <c r="M48" s="2">
        <f t="shared" si="9"/>
        <v>1006.4832967254426</v>
      </c>
      <c r="U48" s="2">
        <f>(2.7+((1.9*Catchment_Stats!AD48)+(1.75*Catchment_Stats!AE48)+(0.8*Catchment_Stats!AF48)+(0.003*Catchment_Stats!U48)))</f>
        <v>7.546498916810279</v>
      </c>
      <c r="V48" s="2">
        <f t="shared" si="1"/>
        <v>1894.0997085881595</v>
      </c>
      <c r="W48">
        <f>EXP((4.22+(0.39*(AA48^(1/2)))+(0.36*LN(Catchment_Stats!AA48))+(0.13*(Catchment_Stats!I48^(1/2)))))</f>
        <v>303.22420743096541</v>
      </c>
      <c r="X48">
        <v>1503.287231</v>
      </c>
      <c r="Y48">
        <f t="shared" si="2"/>
        <v>7.3154094766178037</v>
      </c>
      <c r="Z48">
        <f>((Y48 - (0.13*(Catchment_Stats!I48^0.5)) - (0.36*LN(Catchment_Stats!AA48)) - 4.22)/(0.39))^2</f>
        <v>16.85075104445956</v>
      </c>
    </row>
    <row r="49" spans="1:26" x14ac:dyDescent="0.5">
      <c r="A49" t="s">
        <v>135</v>
      </c>
      <c r="B49" s="2"/>
      <c r="C49" s="2">
        <f>-((-7.21)+(2.83*LN(Catchment_Stats!V49)-(0.03*Catchment_Stats!F49)-(0.03*Catchment_Stats!H49)+(0.04*Catchment_Stats!P49)))</f>
        <v>3.9739210368048283E-2</v>
      </c>
      <c r="D49" s="2"/>
      <c r="E49" s="2">
        <f>-(5.52 - (0.036*Catchment_Stats!R49) + (1.17*LN(Catchment_Stats!V49)) -(0.35*Catchment_Stats!W49))</f>
        <v>2.2770204509295455</v>
      </c>
      <c r="F49" s="2">
        <f>-(4.83+(0.66*LN(Catchment_Stats!V49)-(0.004*Catchment_Stats!T49)-(0.27*Catchment_Stats!W49)+(0.16*SQRT(Catchment_Stats!H49))))</f>
        <v>-2.164085228429502</v>
      </c>
      <c r="G49" s="2">
        <f>-((3.75)-(0.002*Catchment_Stats!Q49)+(0.022*SQRT(Catchment_Stats!H49))+(0.093*Catchment_Stats!O49)+(0.75*LN(Catchment_Stats!N49)))</f>
        <v>-9.728534139430705</v>
      </c>
      <c r="H49" s="2"/>
      <c r="I49" s="2">
        <f>10^(-C49/3.322)</f>
        <v>0.9728313658769675</v>
      </c>
      <c r="K49" s="2">
        <f t="shared" si="9"/>
        <v>0.20633047606023122</v>
      </c>
      <c r="L49" s="2">
        <f t="shared" si="9"/>
        <v>4.4816761014527389</v>
      </c>
      <c r="M49" s="2">
        <f t="shared" si="9"/>
        <v>848.236976363601</v>
      </c>
      <c r="U49" s="2">
        <f>(2.7+((1.9*Catchment_Stats!AD49)+(1.75*Catchment_Stats!AE49)+(0.8*Catchment_Stats!AF49)+(0.003*Catchment_Stats!U49)))</f>
        <v>9.4490962103058624</v>
      </c>
      <c r="V49" s="2">
        <f t="shared" si="1"/>
        <v>12696.684943548278</v>
      </c>
      <c r="W49">
        <f>EXP((4.22+(0.39*(AA49^(1/2)))+(0.36*LN(Catchment_Stats!AA49))+(0.13*(Catchment_Stats!I49^(1/2)))))</f>
        <v>634.50870657939515</v>
      </c>
      <c r="X49">
        <v>783.86649999999997</v>
      </c>
      <c r="Y49">
        <f t="shared" si="2"/>
        <v>6.6642387252387731</v>
      </c>
      <c r="Z49">
        <f>((Y49 - (0.13*(Catchment_Stats!I49^0.5)) - (0.36*LN(Catchment_Stats!AA49)) - 4.22)/(0.39))^2</f>
        <v>0.29378544754028924</v>
      </c>
    </row>
    <row r="50" spans="1:26" x14ac:dyDescent="0.5">
      <c r="A50" t="s">
        <v>136</v>
      </c>
      <c r="B50" s="2"/>
      <c r="C50" s="2">
        <f>-((-7.21)+(2.83*LN(Catchment_Stats!V50)-(0.03*Catchment_Stats!F50)-(0.03*Catchment_Stats!H50)+(0.04*Catchment_Stats!P50)))</f>
        <v>2.2023281078470784</v>
      </c>
      <c r="D50" s="2"/>
      <c r="E50" s="2">
        <f>-(5.52 - (0.036*Catchment_Stats!R50) + (1.17*LN(Catchment_Stats!V50)) -(0.35*Catchment_Stats!W50))</f>
        <v>0.65524441207812067</v>
      </c>
      <c r="F50" s="2">
        <f>-(4.83+(0.66*LN(Catchment_Stats!V50)-(0.004*Catchment_Stats!T50)-(0.27*Catchment_Stats!W50)+(0.16*SQRT(Catchment_Stats!H50))))</f>
        <v>-2.448186591727866</v>
      </c>
      <c r="G50" s="2">
        <f>-((3.75)-(0.002*Catchment_Stats!Q50)+(0.022*SQRT(Catchment_Stats!H50))+(0.093*Catchment_Stats!O50)+(0.75*LN(Catchment_Stats!N50)))</f>
        <v>-9.2883717486006212</v>
      </c>
      <c r="H50" s="2"/>
      <c r="I50" s="2">
        <f t="shared" ref="I50:I53" si="10">10^(-C50/3.322)</f>
        <v>0.21729389725788267</v>
      </c>
      <c r="K50" s="2">
        <f t="shared" si="9"/>
        <v>0.6349741522677701</v>
      </c>
      <c r="L50" s="2">
        <f t="shared" si="9"/>
        <v>5.4570966692071243</v>
      </c>
      <c r="M50" s="2">
        <f t="shared" si="9"/>
        <v>625.19858401217562</v>
      </c>
      <c r="U50" s="2">
        <f>(2.7+((1.9*Catchment_Stats!AD50)+(1.75*Catchment_Stats!AE50)+(0.8*Catchment_Stats!AF50)+(0.003*Catchment_Stats!U50)))</f>
        <v>9.0846268236970094</v>
      </c>
      <c r="V50" s="2">
        <f t="shared" si="1"/>
        <v>8818.6742304710897</v>
      </c>
      <c r="W50">
        <f>EXP((4.22+(0.39*(AA50^(1/2)))+(0.36*LN(Catchment_Stats!AA50))+(0.13*(Catchment_Stats!I50^(1/2)))))</f>
        <v>779.27944935518894</v>
      </c>
      <c r="X50">
        <v>945.36130000000003</v>
      </c>
      <c r="Y50">
        <f t="shared" si="2"/>
        <v>6.8515671824673285</v>
      </c>
      <c r="Z50">
        <f>((Y50 - (0.13*(Catchment_Stats!I50^0.5)) - (0.36*LN(Catchment_Stats!AA50)) - 4.22)/(0.39))^2</f>
        <v>0.2453994965395854</v>
      </c>
    </row>
    <row r="51" spans="1:26" x14ac:dyDescent="0.5">
      <c r="A51" t="s">
        <v>137</v>
      </c>
      <c r="B51" s="2"/>
      <c r="C51" s="2">
        <f>-((-7.21)+(2.83*LN(Catchment_Stats!V51)-(0.03*Catchment_Stats!F51)-(0.03*Catchment_Stats!H51)+(0.04*Catchment_Stats!P51)))</f>
        <v>2.2295092900070754</v>
      </c>
      <c r="D51" s="2"/>
      <c r="E51" s="2">
        <f>-(5.52 - (0.036*Catchment_Stats!R51) + (1.17*LN(Catchment_Stats!V51)) -(0.35*Catchment_Stats!W51))</f>
        <v>1.9624286463986849</v>
      </c>
      <c r="F51" s="2">
        <f>-(4.83+(0.66*LN(Catchment_Stats!V51)-(0.004*Catchment_Stats!T51)-(0.27*Catchment_Stats!W51)+(0.16*SQRT(Catchment_Stats!H51))))</f>
        <v>-1.9800377471087023</v>
      </c>
      <c r="G51" s="2">
        <f>-((3.75)-(0.002*Catchment_Stats!Q51)+(0.022*SQRT(Catchment_Stats!H51))+(0.093*Catchment_Stats!O51)+(0.75*LN(Catchment_Stats!N51)))</f>
        <v>-9.2646075630487239</v>
      </c>
      <c r="H51" s="2"/>
      <c r="I51" s="2">
        <f t="shared" si="10"/>
        <v>0.21323837053960709</v>
      </c>
      <c r="K51" s="2">
        <f t="shared" si="9"/>
        <v>0.25660369155738288</v>
      </c>
      <c r="L51" s="2">
        <f t="shared" si="9"/>
        <v>3.9449168422247354</v>
      </c>
      <c r="M51" s="2">
        <f t="shared" si="9"/>
        <v>614.98483687552732</v>
      </c>
      <c r="U51" s="2">
        <f>(2.7+((1.9*Catchment_Stats!AD51)+(1.75*Catchment_Stats!AE51)+(0.8*Catchment_Stats!AF51)+(0.003*Catchment_Stats!U51)))</f>
        <v>11.564174619446231</v>
      </c>
      <c r="V51" s="2">
        <f t="shared" si="1"/>
        <v>105258.51169080035</v>
      </c>
      <c r="W51">
        <f>EXP((4.22+(0.39*(AA51^(1/2)))+(0.36*LN(Catchment_Stats!AA51))+(0.13*(Catchment_Stats!I51^(1/2)))))</f>
        <v>4521.9913369397254</v>
      </c>
      <c r="X51">
        <v>1150.6420000000001</v>
      </c>
      <c r="Y51">
        <f t="shared" si="2"/>
        <v>7.0480753264572327</v>
      </c>
      <c r="Z51">
        <f>((Y51 - (0.13*(Catchment_Stats!I51^0.5)) - (0.36*LN(Catchment_Stats!AA51)) - 4.22)/(0.39))^2</f>
        <v>12.315283861934638</v>
      </c>
    </row>
    <row r="52" spans="1:26" x14ac:dyDescent="0.5">
      <c r="A52" t="s">
        <v>165</v>
      </c>
      <c r="B52" s="2"/>
      <c r="C52" s="2">
        <f>-((-7.21)+(2.83*LN(Catchment_Stats!V52)-(0.03*Catchment_Stats!F52)-(0.03*Catchment_Stats!H52)+(0.04*Catchment_Stats!P52)))</f>
        <v>1.3703092900070759</v>
      </c>
      <c r="D52" s="2"/>
      <c r="E52" s="2">
        <f>-(5.52 - (0.036*Catchment_Stats!R52) + (1.17*LN(Catchment_Stats!V52)) -(0.35*Catchment_Stats!W52))</f>
        <v>1.9624286463986849</v>
      </c>
      <c r="F52" s="2">
        <f>-(4.83+(0.66*LN(Catchment_Stats!V52)-(0.004*Catchment_Stats!T52)-(0.27*Catchment_Stats!W52)+(0.16*SQRT(Catchment_Stats!H52))))</f>
        <v>-2.0644650802208169</v>
      </c>
      <c r="G52" s="2">
        <f>-((3.75)-(0.002*Catchment_Stats!Q52)+(0.022*SQRT(Catchment_Stats!H52))+(0.093*Catchment_Stats!O52)+(0.75*LN(Catchment_Stats!N52)))</f>
        <v>-9.2574405340474488</v>
      </c>
      <c r="H52" s="2"/>
      <c r="I52" s="2">
        <f t="shared" si="10"/>
        <v>0.38681626669174818</v>
      </c>
      <c r="K52" s="2">
        <f t="shared" si="9"/>
        <v>0.25660369155738288</v>
      </c>
      <c r="L52" s="2">
        <f t="shared" si="9"/>
        <v>4.1826590306095408</v>
      </c>
      <c r="M52" s="2">
        <f t="shared" si="9"/>
        <v>611.93735343174296</v>
      </c>
      <c r="N52">
        <v>1.08</v>
      </c>
      <c r="O52">
        <v>10.51</v>
      </c>
      <c r="P52">
        <v>40.229999999999997</v>
      </c>
      <c r="Q52">
        <v>380</v>
      </c>
      <c r="R52">
        <v>11.43</v>
      </c>
      <c r="S52">
        <v>40.229999999999997</v>
      </c>
      <c r="T52">
        <v>72.48</v>
      </c>
      <c r="U52" s="2">
        <f>(2.7+((1.9*Catchment_Stats!AD52)+(1.75*Catchment_Stats!AE52)+(0.8*Catchment_Stats!AF52)+(0.003*Catchment_Stats!U52)))</f>
        <v>11.645785247897127</v>
      </c>
      <c r="V52" s="2">
        <f t="shared" si="1"/>
        <v>114208.98466076434</v>
      </c>
      <c r="W52">
        <f>EXP((4.22+(0.39*(AA52^(1/2)))+(0.36*LN(Catchment_Stats!AA52))+(0.13*(Catchment_Stats!I52^(1/2)))))</f>
        <v>3840.8062559917817</v>
      </c>
      <c r="X52">
        <v>4966.0839999999998</v>
      </c>
      <c r="Y52">
        <f t="shared" si="2"/>
        <v>8.5103868809472054</v>
      </c>
      <c r="Z52">
        <f>((Y52 - (0.13*(Catchment_Stats!I52^0.5)) - (0.36*LN(Catchment_Stats!AA52)) - 4.22)/(0.39))^2</f>
        <v>0.4340758721433649</v>
      </c>
    </row>
    <row r="53" spans="1:26" x14ac:dyDescent="0.5">
      <c r="A53" t="s">
        <v>166</v>
      </c>
      <c r="B53" s="2"/>
      <c r="C53" s="2">
        <f>-((-7.21)+(2.83*LN(Catchment_Stats!V53)-(0.03*Catchment_Stats!F53)-(0.03*Catchment_Stats!H53)+(0.04*Catchment_Stats!P53)))</f>
        <v>0.96830668153838584</v>
      </c>
      <c r="D53" s="2"/>
      <c r="E53" s="2">
        <f>-(5.52 - (0.036*Catchment_Stats!R53) + (1.17*LN(Catchment_Stats!V53)) -(0.35*Catchment_Stats!W53))</f>
        <v>1.9250351298232893</v>
      </c>
      <c r="F53" s="2">
        <f>-(4.83+(0.66*LN(Catchment_Stats!V53)-(0.004*Catchment_Stats!T53)-(0.27*Catchment_Stats!W53)+(0.16*SQRT(Catchment_Stats!H53))))</f>
        <v>-1.9999192648929851</v>
      </c>
      <c r="G53" s="2">
        <f>-((3.75)-(0.002*Catchment_Stats!Q53)+(0.022*SQRT(Catchment_Stats!H53))+(0.093*Catchment_Stats!O53)+(0.75*LN(Catchment_Stats!N53)))</f>
        <v>-9.3082443183053041</v>
      </c>
      <c r="H53" s="2"/>
      <c r="I53" s="2">
        <f t="shared" si="10"/>
        <v>0.51111303052672652</v>
      </c>
      <c r="K53" s="2">
        <f t="shared" si="9"/>
        <v>0.26334145236058754</v>
      </c>
      <c r="L53" s="2">
        <f t="shared" si="9"/>
        <v>3.9996561483067925</v>
      </c>
      <c r="M53" s="2">
        <f t="shared" si="9"/>
        <v>633.86985110612659</v>
      </c>
      <c r="N53">
        <v>13.15</v>
      </c>
      <c r="O53">
        <v>32.950000000000003</v>
      </c>
      <c r="P53">
        <v>58.78</v>
      </c>
      <c r="R53">
        <v>16.96</v>
      </c>
      <c r="S53">
        <v>26.36</v>
      </c>
      <c r="T53">
        <v>43.17</v>
      </c>
      <c r="U53" s="2">
        <f>(2.7+((1.9*Catchment_Stats!AD53)+(1.75*Catchment_Stats!AE53)+(0.8*Catchment_Stats!AF53)+(0.003*Catchment_Stats!U53)))</f>
        <v>10.093520227659184</v>
      </c>
      <c r="V53" s="2">
        <f t="shared" si="1"/>
        <v>24185.782213644059</v>
      </c>
      <c r="W53">
        <f>EXP((4.22+(0.39*(AA53^(1/2)))+(0.36*LN(Catchment_Stats!AA53))+(0.13*(Catchment_Stats!I53^(1/2)))))</f>
        <v>2169.6979734713532</v>
      </c>
      <c r="X53">
        <v>1067.4010000000001</v>
      </c>
      <c r="Y53">
        <f t="shared" si="2"/>
        <v>6.9729820007553176</v>
      </c>
      <c r="Z53">
        <f>((Y53 - (0.13*(Catchment_Stats!I53^0.5)) - (0.36*LN(Catchment_Stats!AA53)) - 4.22)/(0.39))^2</f>
        <v>3.3083062969682002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EB42-0808-4FF9-A4D8-9653523774C4}">
  <dimension ref="A1:G53"/>
  <sheetViews>
    <sheetView workbookViewId="0">
      <selection activeCell="K40" sqref="K40"/>
    </sheetView>
  </sheetViews>
  <sheetFormatPr defaultRowHeight="14.35" x14ac:dyDescent="0.5"/>
  <cols>
    <col min="1" max="1" width="17.52734375" customWidth="1"/>
    <col min="3" max="3" width="12.8203125" customWidth="1"/>
    <col min="5" max="5" width="10.5859375" customWidth="1"/>
  </cols>
  <sheetData>
    <row r="1" spans="1:7" x14ac:dyDescent="0.5">
      <c r="A1" t="s">
        <v>0</v>
      </c>
      <c r="B1" t="s">
        <v>117</v>
      </c>
      <c r="C1" t="s">
        <v>19</v>
      </c>
      <c r="D1" t="s">
        <v>112</v>
      </c>
      <c r="E1" t="s">
        <v>173</v>
      </c>
      <c r="F1" t="s">
        <v>174</v>
      </c>
      <c r="G1" t="s">
        <v>175</v>
      </c>
    </row>
    <row r="2" spans="1:7" x14ac:dyDescent="0.5">
      <c r="A2" t="s">
        <v>90</v>
      </c>
      <c r="B2">
        <v>1537.7</v>
      </c>
      <c r="C2" s="2">
        <v>1076.1707188151934</v>
      </c>
      <c r="D2">
        <v>3253.1338520230838</v>
      </c>
      <c r="E2">
        <f>LN(C2)</f>
        <v>6.9811643887453823</v>
      </c>
      <c r="F2">
        <f>LN(D2)</f>
        <v>8.087374072882616</v>
      </c>
      <c r="G2">
        <f>LN(B2)</f>
        <v>7.3380430725216472</v>
      </c>
    </row>
    <row r="3" spans="1:7" x14ac:dyDescent="0.5">
      <c r="A3" t="s">
        <v>152</v>
      </c>
      <c r="B3">
        <v>3267.823069</v>
      </c>
      <c r="C3" s="2">
        <v>5223.8703021524734</v>
      </c>
      <c r="D3">
        <v>21612.316091012392</v>
      </c>
      <c r="E3">
        <f>LN(C3)</f>
        <v>8.5609938433418762</v>
      </c>
      <c r="F3">
        <f t="shared" ref="F3:F53" si="0">LN(D3)</f>
        <v>9.9810186205747691</v>
      </c>
      <c r="G3">
        <f t="shared" ref="G3:G53" si="1">LN(B3)</f>
        <v>8.0918793140613694</v>
      </c>
    </row>
    <row r="4" spans="1:7" x14ac:dyDescent="0.5">
      <c r="A4" t="s">
        <v>80</v>
      </c>
      <c r="B4">
        <v>13846.1322</v>
      </c>
      <c r="C4" s="2">
        <v>2806.4774241225709</v>
      </c>
      <c r="D4">
        <v>6010.7468040069416</v>
      </c>
      <c r="E4">
        <f>LN(C4)</f>
        <v>7.9396853902104274</v>
      </c>
      <c r="F4">
        <f t="shared" si="0"/>
        <v>8.7013042800436899</v>
      </c>
      <c r="G4">
        <f t="shared" si="1"/>
        <v>9.5357612090762558</v>
      </c>
    </row>
    <row r="5" spans="1:7" x14ac:dyDescent="0.5">
      <c r="A5" t="s">
        <v>79</v>
      </c>
      <c r="B5">
        <v>1128.265611</v>
      </c>
      <c r="C5" s="2">
        <v>3523.7511823019936</v>
      </c>
      <c r="D5" s="1">
        <v>6557.2758723553643</v>
      </c>
      <c r="E5">
        <f>LN(C5)</f>
        <v>8.167281377952067</v>
      </c>
      <c r="F5">
        <f t="shared" si="0"/>
        <v>8.7883305323319654</v>
      </c>
      <c r="G5">
        <f t="shared" si="1"/>
        <v>7.0284368750838002</v>
      </c>
    </row>
    <row r="6" spans="1:7" x14ac:dyDescent="0.5">
      <c r="A6" t="s">
        <v>167</v>
      </c>
      <c r="B6">
        <v>5982.9740000000002</v>
      </c>
      <c r="C6" s="2">
        <v>2312.929276802779</v>
      </c>
      <c r="D6">
        <v>1527.6469341783368</v>
      </c>
      <c r="E6">
        <f>LN(C6)</f>
        <v>7.7462700853708801</v>
      </c>
      <c r="F6">
        <f t="shared" si="0"/>
        <v>7.3314838790076493</v>
      </c>
      <c r="G6">
        <f t="shared" si="1"/>
        <v>8.6966730477345919</v>
      </c>
    </row>
    <row r="7" spans="1:7" x14ac:dyDescent="0.5">
      <c r="A7" t="s">
        <v>169</v>
      </c>
      <c r="B7">
        <v>3861.25</v>
      </c>
      <c r="C7" s="2">
        <v>4571.0013983518893</v>
      </c>
      <c r="D7">
        <v>4605.5779174852587</v>
      </c>
      <c r="E7">
        <f t="shared" ref="E7:E24" si="2">LN(C7)</f>
        <v>8.4274875842498531</v>
      </c>
      <c r="F7">
        <f t="shared" si="0"/>
        <v>8.4350234386404601</v>
      </c>
      <c r="G7">
        <f t="shared" si="1"/>
        <v>8.2587462442327908</v>
      </c>
    </row>
    <row r="8" spans="1:7" x14ac:dyDescent="0.5">
      <c r="A8" t="s">
        <v>168</v>
      </c>
      <c r="B8">
        <v>2987.212</v>
      </c>
      <c r="C8" s="2">
        <v>7100.3744014878557</v>
      </c>
      <c r="D8">
        <v>11860.87696788522</v>
      </c>
      <c r="E8">
        <f t="shared" si="2"/>
        <v>8.8679027942430153</v>
      </c>
      <c r="F8">
        <f t="shared" si="0"/>
        <v>9.3810006131473198</v>
      </c>
      <c r="G8">
        <f t="shared" si="1"/>
        <v>8.0020957899191867</v>
      </c>
    </row>
    <row r="9" spans="1:7" x14ac:dyDescent="0.5">
      <c r="A9" t="s">
        <v>81</v>
      </c>
      <c r="B9">
        <v>2403.855</v>
      </c>
      <c r="C9" s="2">
        <v>932.47415752198458</v>
      </c>
      <c r="D9">
        <v>1451.28861240789</v>
      </c>
      <c r="E9">
        <f t="shared" si="2"/>
        <v>6.8378414380208019</v>
      </c>
      <c r="F9">
        <f t="shared" si="0"/>
        <v>7.2802071389685059</v>
      </c>
      <c r="G9">
        <f t="shared" si="1"/>
        <v>7.7848289776962396</v>
      </c>
    </row>
    <row r="10" spans="1:7" x14ac:dyDescent="0.5">
      <c r="A10" t="s">
        <v>82</v>
      </c>
      <c r="B10">
        <v>1779.422</v>
      </c>
      <c r="C10" s="2">
        <v>2904.4588967345721</v>
      </c>
      <c r="D10">
        <v>5406.731427472705</v>
      </c>
      <c r="E10">
        <f t="shared" si="2"/>
        <v>7.9740023857519988</v>
      </c>
      <c r="F10">
        <f t="shared" si="0"/>
        <v>8.5954000168838203</v>
      </c>
      <c r="G10">
        <f t="shared" si="1"/>
        <v>7.4840438714523438</v>
      </c>
    </row>
    <row r="11" spans="1:7" x14ac:dyDescent="0.5">
      <c r="A11" t="s">
        <v>83</v>
      </c>
      <c r="B11">
        <v>5010.2189189999999</v>
      </c>
      <c r="C11" s="2">
        <v>6872.8067685547203</v>
      </c>
      <c r="D11">
        <v>7247.7475893093006</v>
      </c>
      <c r="E11">
        <f t="shared" si="2"/>
        <v>8.8353278561555584</v>
      </c>
      <c r="F11">
        <f t="shared" si="0"/>
        <v>8.8884460222418706</v>
      </c>
      <c r="G11">
        <f t="shared" si="1"/>
        <v>8.519234889531436</v>
      </c>
    </row>
    <row r="12" spans="1:7" x14ac:dyDescent="0.5">
      <c r="A12" t="s">
        <v>86</v>
      </c>
      <c r="B12">
        <v>2396.061639</v>
      </c>
      <c r="C12" s="2">
        <v>11621.295741773869</v>
      </c>
      <c r="D12">
        <v>4041.5190472887348</v>
      </c>
      <c r="E12">
        <f t="shared" si="2"/>
        <v>9.3605945338082606</v>
      </c>
      <c r="F12">
        <f t="shared" si="0"/>
        <v>8.3043759020883741</v>
      </c>
      <c r="G12">
        <f t="shared" si="1"/>
        <v>7.7815816846974259</v>
      </c>
    </row>
    <row r="13" spans="1:7" x14ac:dyDescent="0.5">
      <c r="A13" t="s">
        <v>87</v>
      </c>
      <c r="B13">
        <v>2160</v>
      </c>
      <c r="C13" s="2">
        <v>162497.59510618856</v>
      </c>
      <c r="D13">
        <v>24076.710369634577</v>
      </c>
      <c r="E13">
        <f t="shared" si="2"/>
        <v>11.998418481295886</v>
      </c>
      <c r="F13">
        <f t="shared" si="0"/>
        <v>10.089000277533708</v>
      </c>
      <c r="G13">
        <f t="shared" si="1"/>
        <v>7.6778635006782103</v>
      </c>
    </row>
    <row r="14" spans="1:7" x14ac:dyDescent="0.5">
      <c r="A14" t="s">
        <v>88</v>
      </c>
      <c r="B14">
        <v>770.93239740000001</v>
      </c>
      <c r="C14" s="2">
        <v>16953.249450986281</v>
      </c>
      <c r="D14">
        <v>6456.0085429101118</v>
      </c>
      <c r="E14">
        <f t="shared" si="2"/>
        <v>9.7382148024577511</v>
      </c>
      <c r="F14">
        <f t="shared" si="0"/>
        <v>8.7727665332001656</v>
      </c>
      <c r="G14">
        <f t="shared" si="1"/>
        <v>6.6476006880070013</v>
      </c>
    </row>
    <row r="15" spans="1:7" x14ac:dyDescent="0.5">
      <c r="A15" t="s">
        <v>121</v>
      </c>
      <c r="B15">
        <v>1048.5999999999999</v>
      </c>
      <c r="C15" s="2">
        <v>3879.6530602138992</v>
      </c>
      <c r="D15">
        <v>29633.759807681599</v>
      </c>
      <c r="E15">
        <f t="shared" si="2"/>
        <v>8.2635010111486942</v>
      </c>
      <c r="F15">
        <f t="shared" si="0"/>
        <v>10.296669524440617</v>
      </c>
      <c r="G15">
        <f t="shared" si="1"/>
        <v>6.9552112201384322</v>
      </c>
    </row>
    <row r="16" spans="1:7" x14ac:dyDescent="0.5">
      <c r="A16" t="s">
        <v>122</v>
      </c>
      <c r="B16">
        <v>3380.1211170000001</v>
      </c>
      <c r="C16" s="2">
        <v>29537.27335780951</v>
      </c>
      <c r="D16">
        <v>30341.726135994217</v>
      </c>
      <c r="E16">
        <f t="shared" si="2"/>
        <v>10.293408248433462</v>
      </c>
      <c r="F16">
        <f t="shared" si="0"/>
        <v>10.320279144362427</v>
      </c>
      <c r="G16">
        <f t="shared" si="1"/>
        <v>8.1256668212670142</v>
      </c>
    </row>
    <row r="17" spans="1:7" x14ac:dyDescent="0.5">
      <c r="A17" t="s">
        <v>123</v>
      </c>
      <c r="B17">
        <v>2133</v>
      </c>
      <c r="C17" s="2">
        <v>17752.615294223338</v>
      </c>
      <c r="D17">
        <v>13992.804821852927</v>
      </c>
      <c r="E17">
        <f t="shared" si="2"/>
        <v>9.7842881245696383</v>
      </c>
      <c r="F17">
        <f t="shared" si="0"/>
        <v>9.5462985351880807</v>
      </c>
      <c r="G17">
        <f t="shared" si="1"/>
        <v>7.6652847184713506</v>
      </c>
    </row>
    <row r="18" spans="1:7" x14ac:dyDescent="0.5">
      <c r="A18" t="s">
        <v>116</v>
      </c>
      <c r="B18">
        <v>2684.8419950000002</v>
      </c>
      <c r="C18" s="2">
        <v>4289.3880172887411</v>
      </c>
      <c r="D18">
        <v>30341.726135994217</v>
      </c>
      <c r="E18">
        <f t="shared" si="2"/>
        <v>8.3638993484334634</v>
      </c>
      <c r="F18">
        <f t="shared" si="0"/>
        <v>10.320279144362427</v>
      </c>
      <c r="G18">
        <f t="shared" si="1"/>
        <v>7.8953771579115815</v>
      </c>
    </row>
    <row r="19" spans="1:7" x14ac:dyDescent="0.5">
      <c r="A19" t="s">
        <v>124</v>
      </c>
      <c r="B19">
        <v>3233.9</v>
      </c>
      <c r="C19" s="2">
        <v>4289.3880172887411</v>
      </c>
      <c r="D19">
        <v>30341.726135994217</v>
      </c>
      <c r="E19">
        <f t="shared" si="2"/>
        <v>8.3638993484334634</v>
      </c>
      <c r="F19">
        <f t="shared" si="0"/>
        <v>10.320279144362427</v>
      </c>
      <c r="G19">
        <f t="shared" si="1"/>
        <v>8.0814441181994816</v>
      </c>
    </row>
    <row r="20" spans="1:7" x14ac:dyDescent="0.5">
      <c r="A20" t="s">
        <v>119</v>
      </c>
      <c r="B20">
        <v>2154.41</v>
      </c>
      <c r="C20" s="2">
        <v>3879.6530602138992</v>
      </c>
      <c r="D20">
        <v>29633.759807681599</v>
      </c>
      <c r="E20">
        <f t="shared" si="2"/>
        <v>8.2635010111486942</v>
      </c>
      <c r="F20">
        <f t="shared" si="0"/>
        <v>10.296669524440617</v>
      </c>
      <c r="G20">
        <f t="shared" si="1"/>
        <v>7.6752721831501889</v>
      </c>
    </row>
    <row r="21" spans="1:7" x14ac:dyDescent="0.5">
      <c r="A21" t="s">
        <v>125</v>
      </c>
      <c r="B21">
        <v>779.74749999999995</v>
      </c>
      <c r="C21" s="2">
        <v>17752.615294223338</v>
      </c>
      <c r="D21">
        <v>13992.804821852927</v>
      </c>
      <c r="E21">
        <f t="shared" si="2"/>
        <v>9.7842881245696383</v>
      </c>
      <c r="F21">
        <f t="shared" si="0"/>
        <v>9.5462985351880807</v>
      </c>
      <c r="G21">
        <f t="shared" si="1"/>
        <v>6.6589701493269535</v>
      </c>
    </row>
    <row r="22" spans="1:7" x14ac:dyDescent="0.5">
      <c r="A22" t="s">
        <v>118</v>
      </c>
      <c r="B22">
        <v>364.23</v>
      </c>
      <c r="C22" s="2">
        <v>45581.175195701246</v>
      </c>
      <c r="D22">
        <v>22030.918446751737</v>
      </c>
      <c r="E22">
        <f t="shared" si="2"/>
        <v>10.727250085611246</v>
      </c>
      <c r="F22">
        <f t="shared" si="0"/>
        <v>10.000202129655985</v>
      </c>
      <c r="G22">
        <f t="shared" si="1"/>
        <v>5.8977855362239939</v>
      </c>
    </row>
    <row r="23" spans="1:7" x14ac:dyDescent="0.5">
      <c r="A23" t="s">
        <v>89</v>
      </c>
      <c r="B23">
        <v>4431.6101269999999</v>
      </c>
      <c r="C23" s="2">
        <v>14198.751299302141</v>
      </c>
      <c r="D23">
        <v>7551.3136380950018</v>
      </c>
      <c r="E23">
        <f t="shared" si="2"/>
        <v>9.5609093030538332</v>
      </c>
      <c r="F23">
        <f t="shared" si="0"/>
        <v>8.9294768189089151</v>
      </c>
      <c r="G23">
        <f t="shared" si="1"/>
        <v>8.3965182568230752</v>
      </c>
    </row>
    <row r="24" spans="1:7" x14ac:dyDescent="0.5">
      <c r="A24" t="s">
        <v>120</v>
      </c>
      <c r="B24">
        <v>222.67</v>
      </c>
      <c r="C24" s="2">
        <v>45581.175195701246</v>
      </c>
      <c r="D24">
        <v>22030.918446751737</v>
      </c>
      <c r="E24">
        <f t="shared" si="2"/>
        <v>10.727250085611246</v>
      </c>
      <c r="F24">
        <f t="shared" si="0"/>
        <v>10.000202129655985</v>
      </c>
      <c r="G24">
        <f t="shared" si="1"/>
        <v>5.405690854816366</v>
      </c>
    </row>
    <row r="25" spans="1:7" x14ac:dyDescent="0.5">
      <c r="A25" t="s">
        <v>153</v>
      </c>
      <c r="B25">
        <v>6079.6419999999998</v>
      </c>
      <c r="C25" s="2">
        <v>3379.9391994024077</v>
      </c>
      <c r="D25">
        <v>13889.909210661723</v>
      </c>
      <c r="E25">
        <f>LN(C25)</f>
        <v>8.1256129999727893</v>
      </c>
      <c r="F25">
        <f t="shared" si="0"/>
        <v>9.5389178994175765</v>
      </c>
      <c r="G25">
        <f t="shared" si="1"/>
        <v>8.712701091647677</v>
      </c>
    </row>
    <row r="26" spans="1:7" x14ac:dyDescent="0.5">
      <c r="A26" t="s">
        <v>154</v>
      </c>
      <c r="B26">
        <v>628.25789999999995</v>
      </c>
      <c r="C26" s="2">
        <v>1182.5517521140162</v>
      </c>
      <c r="D26">
        <v>2643.8471502638231</v>
      </c>
      <c r="E26">
        <f>LN(C26)</f>
        <v>7.0754298844097105</v>
      </c>
      <c r="F26">
        <f t="shared" si="0"/>
        <v>7.8799903892641368</v>
      </c>
      <c r="G26">
        <f t="shared" si="1"/>
        <v>6.4429507509566593</v>
      </c>
    </row>
    <row r="27" spans="1:7" x14ac:dyDescent="0.5">
      <c r="A27" t="s">
        <v>155</v>
      </c>
      <c r="B27">
        <v>831.92759999999998</v>
      </c>
      <c r="C27" s="2">
        <v>1452.9288863556069</v>
      </c>
      <c r="D27">
        <v>5430.3365386113765</v>
      </c>
      <c r="E27">
        <f>LN(C27)</f>
        <v>7.2813367197404864</v>
      </c>
      <c r="F27">
        <f t="shared" si="0"/>
        <v>8.599756388652267</v>
      </c>
      <c r="G27">
        <f t="shared" si="1"/>
        <v>6.7237454178040466</v>
      </c>
    </row>
    <row r="28" spans="1:7" x14ac:dyDescent="0.5">
      <c r="A28" t="s">
        <v>156</v>
      </c>
      <c r="B28">
        <v>2608.1460000000002</v>
      </c>
      <c r="C28" s="2">
        <v>5021.990765866688</v>
      </c>
      <c r="D28">
        <v>23483.041700748661</v>
      </c>
      <c r="E28">
        <f>LN(C28)</f>
        <v>8.5215817009796169</v>
      </c>
      <c r="F28">
        <f t="shared" si="0"/>
        <v>10.064033809876792</v>
      </c>
      <c r="G28">
        <f t="shared" si="1"/>
        <v>7.8663949030747249</v>
      </c>
    </row>
    <row r="29" spans="1:7" x14ac:dyDescent="0.5">
      <c r="A29" t="s">
        <v>157</v>
      </c>
      <c r="B29">
        <v>1197.97</v>
      </c>
      <c r="C29" s="2">
        <v>3150.2942920099867</v>
      </c>
      <c r="D29">
        <v>9379.4886376187751</v>
      </c>
      <c r="E29">
        <f>LN(C29)</f>
        <v>8.055251153490655</v>
      </c>
      <c r="F29">
        <f t="shared" si="0"/>
        <v>9.1462805242688727</v>
      </c>
      <c r="G29">
        <f t="shared" si="1"/>
        <v>7.0883837366256177</v>
      </c>
    </row>
    <row r="30" spans="1:7" x14ac:dyDescent="0.5">
      <c r="A30" t="s">
        <v>158</v>
      </c>
      <c r="B30">
        <v>783.05219999999997</v>
      </c>
      <c r="C30" s="2">
        <v>1119.9141776584297</v>
      </c>
      <c r="D30">
        <v>2687.2489442398169</v>
      </c>
      <c r="E30">
        <f>LN(C30)</f>
        <v>7.0210073342624471</v>
      </c>
      <c r="F30">
        <f t="shared" si="0"/>
        <v>7.8962732519755505</v>
      </c>
      <c r="G30">
        <f t="shared" si="1"/>
        <v>6.6631993604353461</v>
      </c>
    </row>
    <row r="31" spans="1:7" x14ac:dyDescent="0.5">
      <c r="A31" t="s">
        <v>159</v>
      </c>
      <c r="B31">
        <v>500.7989</v>
      </c>
      <c r="C31" s="2">
        <v>1644.0740770393322</v>
      </c>
      <c r="D31">
        <v>5441.1747530322009</v>
      </c>
      <c r="E31">
        <f>LN(C31)</f>
        <v>7.4049326336273555</v>
      </c>
      <c r="F31">
        <f t="shared" si="0"/>
        <v>8.6017502637853038</v>
      </c>
      <c r="G31">
        <f t="shared" si="1"/>
        <v>6.2162046232978536</v>
      </c>
    </row>
    <row r="32" spans="1:7" x14ac:dyDescent="0.5">
      <c r="A32" t="s">
        <v>160</v>
      </c>
      <c r="B32">
        <v>1942.49</v>
      </c>
      <c r="C32" s="2">
        <v>1794.2699130072413</v>
      </c>
      <c r="D32">
        <v>6609.4447959691652</v>
      </c>
      <c r="E32">
        <f>LN(C32)</f>
        <v>7.4923534844830906</v>
      </c>
      <c r="F32">
        <f t="shared" si="0"/>
        <v>8.7962549347596202</v>
      </c>
      <c r="G32">
        <f t="shared" si="1"/>
        <v>7.5717259342234033</v>
      </c>
    </row>
    <row r="33" spans="1:7" x14ac:dyDescent="0.5">
      <c r="A33" t="s">
        <v>77</v>
      </c>
      <c r="B33">
        <v>12165.661469999999</v>
      </c>
      <c r="C33" s="2">
        <v>28277.841187087179</v>
      </c>
      <c r="D33">
        <v>59775.524034898146</v>
      </c>
      <c r="E33">
        <f>LN(C33)</f>
        <v>10.249833780006416</v>
      </c>
      <c r="F33">
        <f t="shared" si="0"/>
        <v>10.998351559078531</v>
      </c>
      <c r="G33">
        <f t="shared" si="1"/>
        <v>9.4063726285852347</v>
      </c>
    </row>
    <row r="34" spans="1:7" x14ac:dyDescent="0.5">
      <c r="A34" t="s">
        <v>109</v>
      </c>
      <c r="B34">
        <v>6708.3469999999998</v>
      </c>
      <c r="C34" s="2">
        <v>33021.480889553692</v>
      </c>
      <c r="D34">
        <v>18757.79700823838</v>
      </c>
      <c r="E34">
        <f>LN(C34)</f>
        <v>10.404913564728723</v>
      </c>
      <c r="F34">
        <f t="shared" si="0"/>
        <v>9.8393647854002637</v>
      </c>
      <c r="G34">
        <f t="shared" si="1"/>
        <v>8.8111078508836602</v>
      </c>
    </row>
    <row r="35" spans="1:7" x14ac:dyDescent="0.5">
      <c r="A35" t="s">
        <v>78</v>
      </c>
      <c r="B35">
        <v>788.02526190000003</v>
      </c>
      <c r="C35" s="2">
        <v>1868.6308108719456</v>
      </c>
      <c r="D35">
        <v>3019.8354342034936</v>
      </c>
      <c r="E35">
        <f t="shared" ref="E35:E52" si="3">LN(C35)</f>
        <v>7.5329612549695435</v>
      </c>
      <c r="F35">
        <f t="shared" si="0"/>
        <v>8.012957616898575</v>
      </c>
      <c r="G35">
        <f t="shared" si="1"/>
        <v>6.6695301475927558</v>
      </c>
    </row>
    <row r="36" spans="1:7" x14ac:dyDescent="0.5">
      <c r="A36" t="s">
        <v>85</v>
      </c>
      <c r="B36">
        <v>835.13890000000004</v>
      </c>
      <c r="C36" s="2">
        <v>7077.61625613257</v>
      </c>
      <c r="D36">
        <v>8532.9348496410039</v>
      </c>
      <c r="E36">
        <f t="shared" si="3"/>
        <v>8.8646924430090515</v>
      </c>
      <c r="F36">
        <f t="shared" si="0"/>
        <v>9.051688643401496</v>
      </c>
      <c r="G36">
        <f t="shared" si="1"/>
        <v>6.7275980583220658</v>
      </c>
    </row>
    <row r="37" spans="1:7" x14ac:dyDescent="0.5">
      <c r="A37" t="s">
        <v>84</v>
      </c>
      <c r="B37">
        <v>1832.172693</v>
      </c>
      <c r="C37" s="2">
        <v>5194.193076784175</v>
      </c>
      <c r="D37">
        <v>7500.3693806026986</v>
      </c>
      <c r="E37">
        <f t="shared" si="3"/>
        <v>8.5552965645745687</v>
      </c>
      <c r="F37">
        <f t="shared" si="0"/>
        <v>8.92270754905865</v>
      </c>
      <c r="G37">
        <f t="shared" si="1"/>
        <v>7.5132578055294257</v>
      </c>
    </row>
    <row r="38" spans="1:7" x14ac:dyDescent="0.5">
      <c r="A38" t="s">
        <v>161</v>
      </c>
      <c r="B38">
        <v>2055.2339999999999</v>
      </c>
      <c r="C38" s="2">
        <v>8609.9269745828897</v>
      </c>
      <c r="D38">
        <v>8126.8967169553944</v>
      </c>
      <c r="E38">
        <f t="shared" si="3"/>
        <v>9.0606711159204067</v>
      </c>
      <c r="F38">
        <f t="shared" si="0"/>
        <v>9.0029344220413918</v>
      </c>
      <c r="G38">
        <f t="shared" si="1"/>
        <v>7.6281449890609352</v>
      </c>
    </row>
    <row r="39" spans="1:7" x14ac:dyDescent="0.5">
      <c r="A39" t="s">
        <v>162</v>
      </c>
      <c r="B39">
        <v>972.17129999999997</v>
      </c>
      <c r="C39" s="2">
        <v>4397.780607924311</v>
      </c>
      <c r="D39">
        <v>5707.8655402967997</v>
      </c>
      <c r="E39">
        <f t="shared" si="3"/>
        <v>8.3888552853602718</v>
      </c>
      <c r="F39">
        <f t="shared" si="0"/>
        <v>8.6496004219592155</v>
      </c>
      <c r="G39">
        <f t="shared" si="1"/>
        <v>6.879532023500853</v>
      </c>
    </row>
    <row r="40" spans="1:7" x14ac:dyDescent="0.5">
      <c r="A40" t="s">
        <v>163</v>
      </c>
      <c r="B40">
        <v>286.58300000000003</v>
      </c>
      <c r="C40" s="2">
        <v>2268.9916616499368</v>
      </c>
      <c r="D40">
        <v>1858.0298592285624</v>
      </c>
      <c r="E40">
        <f t="shared" si="3"/>
        <v>7.727090809872224</v>
      </c>
      <c r="F40">
        <f t="shared" si="0"/>
        <v>7.5272719898735883</v>
      </c>
      <c r="G40">
        <f t="shared" si="1"/>
        <v>5.6580281975147733</v>
      </c>
    </row>
    <row r="41" spans="1:7" x14ac:dyDescent="0.5">
      <c r="A41" t="s">
        <v>164</v>
      </c>
      <c r="B41">
        <v>851.65189999999996</v>
      </c>
      <c r="C41" s="2">
        <v>3743.8560661177571</v>
      </c>
      <c r="D41">
        <v>4243.9922937226847</v>
      </c>
      <c r="E41">
        <f t="shared" si="3"/>
        <v>8.2278713929796936</v>
      </c>
      <c r="F41">
        <f t="shared" si="0"/>
        <v>8.3532596839270141</v>
      </c>
      <c r="G41">
        <f t="shared" si="1"/>
        <v>6.7471778752675213</v>
      </c>
    </row>
    <row r="42" spans="1:7" x14ac:dyDescent="0.5">
      <c r="A42" t="s">
        <v>76</v>
      </c>
      <c r="B42">
        <v>3540.4</v>
      </c>
      <c r="C42" s="2">
        <v>3535.8816528686034</v>
      </c>
      <c r="D42">
        <v>5581.3302899668115</v>
      </c>
      <c r="E42">
        <f t="shared" si="3"/>
        <v>8.1707179539860597</v>
      </c>
      <c r="F42">
        <f t="shared" si="0"/>
        <v>8.6271824301816835</v>
      </c>
      <c r="G42">
        <f t="shared" si="1"/>
        <v>8.1719949940947227</v>
      </c>
    </row>
    <row r="43" spans="1:7" x14ac:dyDescent="0.5">
      <c r="A43" t="s">
        <v>75</v>
      </c>
      <c r="B43">
        <v>4265.5871779999998</v>
      </c>
      <c r="C43" s="2">
        <v>4305.5026704332813</v>
      </c>
      <c r="D43">
        <v>943.10954517090795</v>
      </c>
      <c r="E43">
        <f t="shared" si="3"/>
        <v>8.367649174373696</v>
      </c>
      <c r="F43">
        <f t="shared" si="0"/>
        <v>6.8491824425577965</v>
      </c>
      <c r="G43">
        <f t="shared" si="1"/>
        <v>8.3583351240721449</v>
      </c>
    </row>
    <row r="44" spans="1:7" x14ac:dyDescent="0.5">
      <c r="A44" t="s">
        <v>91</v>
      </c>
      <c r="B44">
        <v>1280.0940000000001</v>
      </c>
      <c r="C44" s="2">
        <v>10092.534007181986</v>
      </c>
      <c r="D44">
        <v>1606.7379229570506</v>
      </c>
      <c r="E44">
        <f t="shared" si="3"/>
        <v>9.2195512222712814</v>
      </c>
      <c r="F44">
        <f t="shared" si="0"/>
        <v>7.3819612677812927</v>
      </c>
      <c r="G44">
        <f t="shared" si="1"/>
        <v>7.1546887917172617</v>
      </c>
    </row>
    <row r="45" spans="1:7" x14ac:dyDescent="0.5">
      <c r="A45" t="s">
        <v>92</v>
      </c>
      <c r="B45">
        <v>1186.126</v>
      </c>
      <c r="C45" s="2">
        <v>2200.0194345773812</v>
      </c>
      <c r="D45">
        <v>389.37952981163858</v>
      </c>
      <c r="E45">
        <f t="shared" si="3"/>
        <v>7.6962214732061982</v>
      </c>
      <c r="F45">
        <f t="shared" si="0"/>
        <v>5.9645545230191876</v>
      </c>
      <c r="G45">
        <f t="shared" si="1"/>
        <v>7.0784478133750302</v>
      </c>
    </row>
    <row r="46" spans="1:7" x14ac:dyDescent="0.5">
      <c r="A46" t="s">
        <v>149</v>
      </c>
      <c r="B46">
        <v>1693.2860000000001</v>
      </c>
      <c r="C46" s="2">
        <v>3841.3845584274022</v>
      </c>
      <c r="D46">
        <v>683.13715757994567</v>
      </c>
      <c r="E46">
        <f t="shared" si="3"/>
        <v>8.2535881426853521</v>
      </c>
      <c r="F46">
        <f t="shared" si="0"/>
        <v>6.526695655778763</v>
      </c>
      <c r="G46">
        <f t="shared" si="1"/>
        <v>7.4344262987578267</v>
      </c>
    </row>
    <row r="47" spans="1:7" x14ac:dyDescent="0.5">
      <c r="A47" t="s">
        <v>150</v>
      </c>
      <c r="B47">
        <v>1961.184</v>
      </c>
      <c r="C47" s="2">
        <v>6391.6414022307617</v>
      </c>
      <c r="D47">
        <v>1099.7324571506101</v>
      </c>
      <c r="E47">
        <f t="shared" si="3"/>
        <v>8.762746384844661</v>
      </c>
      <c r="F47">
        <f t="shared" si="0"/>
        <v>7.0028222084313203</v>
      </c>
      <c r="G47">
        <f t="shared" si="1"/>
        <v>7.5813036514733527</v>
      </c>
    </row>
    <row r="48" spans="1:7" x14ac:dyDescent="0.5">
      <c r="A48" t="s">
        <v>151</v>
      </c>
      <c r="B48">
        <v>1503.287231</v>
      </c>
      <c r="C48" s="2">
        <v>1894.0997085881595</v>
      </c>
      <c r="D48">
        <v>303.22420743096541</v>
      </c>
      <c r="E48">
        <f t="shared" si="3"/>
        <v>7.546498916810279</v>
      </c>
      <c r="F48">
        <f t="shared" si="0"/>
        <v>5.7144724903930797</v>
      </c>
      <c r="G48">
        <f t="shared" si="1"/>
        <v>7.3154094766178037</v>
      </c>
    </row>
    <row r="49" spans="1:7" x14ac:dyDescent="0.5">
      <c r="A49" t="s">
        <v>135</v>
      </c>
      <c r="B49">
        <v>783.86649999999997</v>
      </c>
      <c r="C49" s="2">
        <v>12696.684943548278</v>
      </c>
      <c r="D49">
        <v>634.50870657939515</v>
      </c>
      <c r="E49">
        <f t="shared" si="3"/>
        <v>9.4490962103058624</v>
      </c>
      <c r="F49">
        <f t="shared" si="0"/>
        <v>6.4528510090136386</v>
      </c>
      <c r="G49">
        <f t="shared" si="1"/>
        <v>6.6642387252387731</v>
      </c>
    </row>
    <row r="50" spans="1:7" x14ac:dyDescent="0.5">
      <c r="A50" t="s">
        <v>136</v>
      </c>
      <c r="B50">
        <v>945.36130000000003</v>
      </c>
      <c r="C50" s="2">
        <v>8818.6742304710897</v>
      </c>
      <c r="D50">
        <v>779.27944935518894</v>
      </c>
      <c r="E50">
        <f t="shared" si="3"/>
        <v>9.0846268236970094</v>
      </c>
      <c r="F50">
        <f t="shared" si="0"/>
        <v>6.6583697098553118</v>
      </c>
      <c r="G50">
        <f t="shared" si="1"/>
        <v>6.8515671824673285</v>
      </c>
    </row>
    <row r="51" spans="1:7" x14ac:dyDescent="0.5">
      <c r="A51" t="s">
        <v>137</v>
      </c>
      <c r="B51">
        <v>1150.6420000000001</v>
      </c>
      <c r="C51" s="2">
        <v>105258.51169080035</v>
      </c>
      <c r="D51">
        <v>4521.9913369397254</v>
      </c>
      <c r="E51">
        <f t="shared" si="3"/>
        <v>11.564174619446231</v>
      </c>
      <c r="F51">
        <f t="shared" si="0"/>
        <v>8.4167077370775054</v>
      </c>
      <c r="G51">
        <f t="shared" si="1"/>
        <v>7.0480753264572327</v>
      </c>
    </row>
    <row r="52" spans="1:7" x14ac:dyDescent="0.5">
      <c r="A52" t="s">
        <v>165</v>
      </c>
      <c r="B52">
        <v>4966.0839999999998</v>
      </c>
      <c r="C52" s="2">
        <v>114208.98466076434</v>
      </c>
      <c r="D52">
        <v>3840.8062559917817</v>
      </c>
      <c r="E52">
        <f t="shared" si="3"/>
        <v>11.645785247897127</v>
      </c>
      <c r="F52">
        <f t="shared" si="0"/>
        <v>8.253437586040592</v>
      </c>
      <c r="G52">
        <f t="shared" si="1"/>
        <v>8.5103868809472054</v>
      </c>
    </row>
    <row r="53" spans="1:7" x14ac:dyDescent="0.5">
      <c r="A53" t="s">
        <v>166</v>
      </c>
      <c r="B53">
        <v>1067.4010000000001</v>
      </c>
      <c r="C53" s="2">
        <v>24185.782213644059</v>
      </c>
      <c r="D53">
        <v>2169.6979734713532</v>
      </c>
      <c r="E53">
        <f>LN(C53)</f>
        <v>10.093520227659184</v>
      </c>
      <c r="F53">
        <f t="shared" si="0"/>
        <v>7.6823432541155947</v>
      </c>
      <c r="G53">
        <f t="shared" si="1"/>
        <v>6.9729820007553176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FD67-6493-4483-9A24-BDDA8024C177}">
  <dimension ref="A1:AA28"/>
  <sheetViews>
    <sheetView workbookViewId="0">
      <pane xSplit="1" topLeftCell="B1" activePane="topRight" state="frozen"/>
      <selection pane="topRight" activeCell="H7" sqref="H7"/>
    </sheetView>
  </sheetViews>
  <sheetFormatPr defaultRowHeight="14.35" x14ac:dyDescent="0.5"/>
  <cols>
    <col min="1" max="2" width="17.05859375" customWidth="1"/>
    <col min="3" max="5" width="9.8203125" customWidth="1"/>
    <col min="6" max="11" width="11.46875" customWidth="1"/>
    <col min="16" max="16" width="8.9375" customWidth="1"/>
    <col min="23" max="25" width="11.29296875" customWidth="1"/>
    <col min="26" max="26" width="9.3515625" customWidth="1"/>
  </cols>
  <sheetData>
    <row r="1" spans="1:27" x14ac:dyDescent="0.5">
      <c r="A1" t="s">
        <v>0</v>
      </c>
      <c r="B1" t="s">
        <v>142</v>
      </c>
      <c r="C1" t="s">
        <v>93</v>
      </c>
      <c r="D1" t="s">
        <v>138</v>
      </c>
      <c r="E1" t="s">
        <v>139</v>
      </c>
      <c r="F1" t="s">
        <v>94</v>
      </c>
      <c r="G1" t="s">
        <v>95</v>
      </c>
      <c r="H1" t="s">
        <v>105</v>
      </c>
      <c r="I1" t="s">
        <v>106</v>
      </c>
      <c r="J1" t="s">
        <v>104</v>
      </c>
      <c r="K1" t="s">
        <v>96</v>
      </c>
      <c r="L1" t="s">
        <v>69</v>
      </c>
      <c r="M1" t="s">
        <v>71</v>
      </c>
      <c r="N1" t="s">
        <v>72</v>
      </c>
      <c r="O1" t="s">
        <v>70</v>
      </c>
      <c r="P1" t="s">
        <v>140</v>
      </c>
      <c r="Q1" t="s">
        <v>97</v>
      </c>
      <c r="R1" t="s">
        <v>98</v>
      </c>
      <c r="S1" t="s">
        <v>99</v>
      </c>
      <c r="T1" t="s">
        <v>103</v>
      </c>
      <c r="U1" t="s">
        <v>101</v>
      </c>
      <c r="V1" t="s">
        <v>102</v>
      </c>
      <c r="W1" t="s">
        <v>113</v>
      </c>
      <c r="X1" t="s">
        <v>114</v>
      </c>
      <c r="Y1" t="s">
        <v>107</v>
      </c>
      <c r="Z1" t="s">
        <v>100</v>
      </c>
      <c r="AA1" t="s">
        <v>115</v>
      </c>
    </row>
    <row r="2" spans="1:27" x14ac:dyDescent="0.5">
      <c r="A2" t="s">
        <v>81</v>
      </c>
      <c r="B2" t="s">
        <v>126</v>
      </c>
      <c r="C2">
        <v>500</v>
      </c>
      <c r="F2">
        <v>6.3</v>
      </c>
      <c r="G2">
        <v>7.7</v>
      </c>
      <c r="H2">
        <v>0.28000000000000003</v>
      </c>
      <c r="I2">
        <v>0.59</v>
      </c>
      <c r="J2">
        <v>0.11</v>
      </c>
      <c r="K2" s="2">
        <v>65.843406000000002</v>
      </c>
      <c r="M2" s="5">
        <v>1.2200000000000001E-2</v>
      </c>
      <c r="N2" s="1">
        <f>(ATAN(M2))*(180/3.14)</f>
        <v>0.69932836269067356</v>
      </c>
      <c r="O2" s="1">
        <f t="shared" ref="O2:O7" si="0">C2/P2</f>
        <v>1.4792461761486346</v>
      </c>
      <c r="P2" s="1">
        <v>338.01</v>
      </c>
      <c r="Q2" s="1">
        <v>0.89</v>
      </c>
      <c r="R2" s="1">
        <v>2.8</v>
      </c>
      <c r="S2" s="1">
        <v>3.3</v>
      </c>
      <c r="T2" s="1">
        <v>5.0999999999999996</v>
      </c>
      <c r="U2" s="1">
        <v>7.2</v>
      </c>
      <c r="V2" s="1">
        <v>11.8</v>
      </c>
      <c r="W2" s="1">
        <v>0.02</v>
      </c>
      <c r="X2" s="2">
        <f>W2*1000</f>
        <v>20</v>
      </c>
      <c r="Y2" s="1">
        <f t="shared" ref="Y2:Y9" si="1">10^(-R2/3.322)</f>
        <v>0.1435933264779197</v>
      </c>
      <c r="Z2" s="1">
        <v>4.9085531271334704</v>
      </c>
      <c r="AA2" s="2"/>
    </row>
    <row r="3" spans="1:27" x14ac:dyDescent="0.5">
      <c r="A3" t="s">
        <v>82</v>
      </c>
      <c r="B3" t="s">
        <v>126</v>
      </c>
      <c r="C3">
        <v>959</v>
      </c>
      <c r="F3">
        <v>7.5</v>
      </c>
      <c r="G3">
        <v>9.1999999999999993</v>
      </c>
      <c r="H3">
        <v>0.3</v>
      </c>
      <c r="I3">
        <v>0.65</v>
      </c>
      <c r="J3">
        <v>0.15</v>
      </c>
      <c r="K3" s="2">
        <v>101.5</v>
      </c>
      <c r="M3" s="5">
        <v>7.7000000000000002E-3</v>
      </c>
      <c r="N3" s="1">
        <f t="shared" ref="N3:N25" si="2">(ATAN(M3))*(180/3.14)</f>
        <v>0.44139255063515953</v>
      </c>
      <c r="O3" s="1">
        <f t="shared" si="0"/>
        <v>1.9390973794888386</v>
      </c>
      <c r="P3" s="1">
        <v>494.56</v>
      </c>
      <c r="Q3" s="1">
        <v>1.6</v>
      </c>
      <c r="R3" s="1">
        <v>4.5999999999999996</v>
      </c>
      <c r="S3" s="1">
        <v>4.5999999999999996</v>
      </c>
      <c r="T3" s="1">
        <v>7.2</v>
      </c>
      <c r="U3" s="1">
        <v>10.1</v>
      </c>
      <c r="V3" s="1">
        <v>16.600000000000001</v>
      </c>
      <c r="W3" s="1">
        <v>0.02</v>
      </c>
      <c r="X3" s="2">
        <f t="shared" ref="X3:X22" si="3">W3*1000</f>
        <v>20</v>
      </c>
      <c r="Y3" s="1">
        <f t="shared" si="1"/>
        <v>4.1237468116936751E-2</v>
      </c>
      <c r="Z3" s="1">
        <v>7.8639996621969104</v>
      </c>
      <c r="AA3" s="2"/>
    </row>
    <row r="4" spans="1:27" x14ac:dyDescent="0.5">
      <c r="A4" t="s">
        <v>83</v>
      </c>
      <c r="B4" t="s">
        <v>126</v>
      </c>
      <c r="C4" s="4">
        <v>747</v>
      </c>
      <c r="D4" s="4"/>
      <c r="E4" s="4"/>
      <c r="F4">
        <v>3.7</v>
      </c>
      <c r="G4">
        <v>4.4000000000000004</v>
      </c>
      <c r="H4">
        <v>0.18</v>
      </c>
      <c r="I4">
        <v>0.44</v>
      </c>
      <c r="J4">
        <v>0.08</v>
      </c>
      <c r="K4" s="2">
        <v>17.284787000000001</v>
      </c>
      <c r="M4" s="5">
        <v>1.1731E-2</v>
      </c>
      <c r="N4" s="1">
        <f t="shared" si="2"/>
        <v>0.67244686157493361</v>
      </c>
      <c r="O4" s="1">
        <f t="shared" si="0"/>
        <v>1.2128592303945447</v>
      </c>
      <c r="P4" s="1">
        <v>615.9</v>
      </c>
      <c r="Q4" s="1">
        <v>1.1000000000000001</v>
      </c>
      <c r="R4" s="1">
        <v>1</v>
      </c>
      <c r="S4" s="1">
        <v>1.2</v>
      </c>
      <c r="T4" s="1">
        <v>1.9</v>
      </c>
      <c r="U4" s="1">
        <v>2.6</v>
      </c>
      <c r="V4" s="1">
        <v>4.5</v>
      </c>
      <c r="W4" s="1">
        <v>0.02</v>
      </c>
      <c r="X4" s="2">
        <f t="shared" si="3"/>
        <v>20</v>
      </c>
      <c r="Y4" s="1">
        <f t="shared" si="1"/>
        <v>0.50000750168572872</v>
      </c>
      <c r="Z4" s="1">
        <v>7.1219360666402824</v>
      </c>
      <c r="AA4" s="2"/>
    </row>
    <row r="5" spans="1:27" x14ac:dyDescent="0.5">
      <c r="A5" t="s">
        <v>79</v>
      </c>
      <c r="B5" t="s">
        <v>126</v>
      </c>
      <c r="C5" s="4">
        <v>822</v>
      </c>
      <c r="D5" s="4"/>
      <c r="E5" s="4"/>
      <c r="F5">
        <v>6.2</v>
      </c>
      <c r="G5">
        <v>7.5</v>
      </c>
      <c r="H5">
        <v>0.27</v>
      </c>
      <c r="I5">
        <v>0.57999999999999996</v>
      </c>
      <c r="J5">
        <v>0.1</v>
      </c>
      <c r="K5" s="2">
        <v>61.702024000000002</v>
      </c>
      <c r="M5" s="5">
        <v>1.4999999999999999E-2</v>
      </c>
      <c r="N5" s="1">
        <f t="shared" si="2"/>
        <v>0.8598081297239194</v>
      </c>
      <c r="O5" s="1">
        <f t="shared" si="0"/>
        <v>1.187089320528558</v>
      </c>
      <c r="P5" s="1">
        <v>692.45</v>
      </c>
      <c r="Q5" s="1">
        <v>0.85</v>
      </c>
      <c r="R5" s="1">
        <v>2.66</v>
      </c>
      <c r="S5" s="1">
        <v>3.1</v>
      </c>
      <c r="T5" s="1">
        <v>4.9000000000000004</v>
      </c>
      <c r="U5" s="1">
        <v>6.9</v>
      </c>
      <c r="V5" s="1">
        <v>11.3</v>
      </c>
      <c r="W5" s="1">
        <v>0.02</v>
      </c>
      <c r="X5" s="2">
        <f t="shared" si="3"/>
        <v>20</v>
      </c>
      <c r="Y5" s="1">
        <f t="shared" si="1"/>
        <v>0.15822588870485466</v>
      </c>
      <c r="Z5" s="1">
        <v>7.4452407025144369</v>
      </c>
      <c r="AA5" s="2"/>
    </row>
    <row r="6" spans="1:27" x14ac:dyDescent="0.5">
      <c r="A6" t="s">
        <v>80</v>
      </c>
      <c r="B6" t="s">
        <v>126</v>
      </c>
      <c r="C6" s="4">
        <v>769</v>
      </c>
      <c r="D6" s="4"/>
      <c r="E6" s="4"/>
      <c r="F6">
        <v>7.7</v>
      </c>
      <c r="G6">
        <v>9.5</v>
      </c>
      <c r="H6">
        <v>0.33</v>
      </c>
      <c r="I6">
        <v>0.66</v>
      </c>
      <c r="J6">
        <v>0.14000000000000001</v>
      </c>
      <c r="K6" s="2">
        <v>107</v>
      </c>
      <c r="M6" s="5">
        <v>0.01</v>
      </c>
      <c r="N6" s="1">
        <f t="shared" si="2"/>
        <v>0.57322930050947218</v>
      </c>
      <c r="O6" s="1">
        <f t="shared" si="0"/>
        <v>1.190273499775566</v>
      </c>
      <c r="P6" s="1">
        <v>646.07000000000005</v>
      </c>
      <c r="Q6" s="1">
        <v>1.33</v>
      </c>
      <c r="R6" s="1">
        <v>4.0999999999999996</v>
      </c>
      <c r="S6" s="1">
        <v>4.8</v>
      </c>
      <c r="T6" s="1">
        <v>7.5</v>
      </c>
      <c r="U6" s="1">
        <v>10.5</v>
      </c>
      <c r="V6" s="1">
        <v>17.399999999999999</v>
      </c>
      <c r="W6" s="1">
        <v>1.7999999999999999E-2</v>
      </c>
      <c r="X6" s="2">
        <f t="shared" si="3"/>
        <v>18</v>
      </c>
      <c r="Y6" s="1">
        <f t="shared" si="1"/>
        <v>5.8318149206113369E-2</v>
      </c>
      <c r="Z6" s="1">
        <v>7.4095081089293542</v>
      </c>
      <c r="AA6" s="2"/>
    </row>
    <row r="7" spans="1:27" x14ac:dyDescent="0.5">
      <c r="A7" t="s">
        <v>34</v>
      </c>
      <c r="B7" t="s">
        <v>126</v>
      </c>
      <c r="C7">
        <v>1000</v>
      </c>
      <c r="F7">
        <v>6.1</v>
      </c>
      <c r="G7">
        <v>7.4</v>
      </c>
      <c r="H7">
        <v>0.27</v>
      </c>
      <c r="I7">
        <v>0.57999999999999996</v>
      </c>
      <c r="J7">
        <v>0.23</v>
      </c>
      <c r="K7" s="2">
        <v>61.4</v>
      </c>
      <c r="M7">
        <v>1.4999999999999999E-2</v>
      </c>
      <c r="N7" s="1">
        <f t="shared" si="2"/>
        <v>0.8598081297239194</v>
      </c>
      <c r="O7" s="1">
        <f t="shared" si="0"/>
        <v>1.2058362474375981</v>
      </c>
      <c r="P7" s="1">
        <v>829.3</v>
      </c>
      <c r="Q7" s="1">
        <v>2.94</v>
      </c>
      <c r="R7" s="1">
        <v>7.5</v>
      </c>
      <c r="S7" s="1">
        <v>11.85</v>
      </c>
      <c r="T7" s="1">
        <v>26.99</v>
      </c>
      <c r="U7" s="1">
        <v>36.6</v>
      </c>
      <c r="V7" s="1">
        <v>60.6</v>
      </c>
      <c r="W7" s="1">
        <v>0.05</v>
      </c>
      <c r="X7" s="2">
        <f t="shared" si="3"/>
        <v>50</v>
      </c>
      <c r="Y7" s="1">
        <f t="shared" si="1"/>
        <v>5.5248933785872895E-3</v>
      </c>
      <c r="Z7" s="1">
        <v>9.3777381329318246</v>
      </c>
      <c r="AA7" s="2"/>
    </row>
    <row r="8" spans="1:27" x14ac:dyDescent="0.5">
      <c r="A8" t="s">
        <v>73</v>
      </c>
      <c r="B8" t="s">
        <v>126</v>
      </c>
      <c r="C8">
        <v>500</v>
      </c>
      <c r="F8" s="2">
        <v>6</v>
      </c>
      <c r="G8">
        <v>7.2</v>
      </c>
      <c r="H8">
        <v>0.27</v>
      </c>
      <c r="I8">
        <v>0.56999999999999995</v>
      </c>
      <c r="J8">
        <v>0.23</v>
      </c>
      <c r="K8" s="2">
        <v>57.7196</v>
      </c>
      <c r="M8" s="5">
        <v>1.308E-2</v>
      </c>
      <c r="N8" s="1">
        <f t="shared" si="2"/>
        <v>0.74976616088360359</v>
      </c>
      <c r="O8" s="1">
        <f t="shared" ref="O8:O22" si="4">C8/P8</f>
        <v>1.1192943968122495</v>
      </c>
      <c r="P8" s="1">
        <v>446.71</v>
      </c>
      <c r="Q8" s="1">
        <v>2.8</v>
      </c>
      <c r="R8" s="1">
        <v>7.29</v>
      </c>
      <c r="S8" s="1">
        <v>19.11</v>
      </c>
      <c r="T8" s="1">
        <v>26.28</v>
      </c>
      <c r="U8" s="1">
        <v>35.729999999999997</v>
      </c>
      <c r="V8" s="1">
        <v>59.31</v>
      </c>
      <c r="W8" s="1">
        <v>0.04</v>
      </c>
      <c r="X8" s="2">
        <f t="shared" si="3"/>
        <v>40</v>
      </c>
      <c r="Y8" s="1">
        <f t="shared" si="1"/>
        <v>6.3905587536831742E-3</v>
      </c>
      <c r="Z8" s="1">
        <v>9.3777381329318246</v>
      </c>
      <c r="AA8" s="2"/>
    </row>
    <row r="9" spans="1:27" x14ac:dyDescent="0.5">
      <c r="A9" t="s">
        <v>74</v>
      </c>
      <c r="B9" t="s">
        <v>126</v>
      </c>
      <c r="C9">
        <v>500</v>
      </c>
      <c r="F9">
        <v>5.4</v>
      </c>
      <c r="G9">
        <v>6.5</v>
      </c>
      <c r="H9">
        <v>0.24</v>
      </c>
      <c r="I9">
        <v>0.54</v>
      </c>
      <c r="J9">
        <v>0.22</v>
      </c>
      <c r="K9" s="2">
        <v>44.807000000000002</v>
      </c>
      <c r="M9" s="5">
        <v>1.3939999999999999E-2</v>
      </c>
      <c r="N9" s="1">
        <f t="shared" si="2"/>
        <v>0.79905652442313435</v>
      </c>
      <c r="O9" s="1">
        <f t="shared" si="4"/>
        <v>1.0803336070178471</v>
      </c>
      <c r="P9" s="1">
        <v>462.82</v>
      </c>
      <c r="Q9" s="1">
        <v>2.4700000000000002</v>
      </c>
      <c r="R9" s="1">
        <v>6.46</v>
      </c>
      <c r="S9" s="1">
        <v>10.32</v>
      </c>
      <c r="T9" s="1">
        <v>23.8</v>
      </c>
      <c r="U9" s="1">
        <v>32.36</v>
      </c>
      <c r="V9" s="1">
        <v>54.36</v>
      </c>
      <c r="W9" s="1">
        <v>0.05</v>
      </c>
      <c r="X9" s="2">
        <f t="shared" si="3"/>
        <v>50</v>
      </c>
      <c r="Y9" s="1">
        <f t="shared" si="1"/>
        <v>1.1360261286690364E-2</v>
      </c>
      <c r="Z9" s="1">
        <v>9.3777381329318246</v>
      </c>
      <c r="AA9" s="2"/>
    </row>
    <row r="10" spans="1:27" x14ac:dyDescent="0.5">
      <c r="A10" t="s">
        <v>35</v>
      </c>
      <c r="B10" t="s">
        <v>126</v>
      </c>
      <c r="C10">
        <v>170</v>
      </c>
      <c r="D10">
        <v>86</v>
      </c>
      <c r="E10">
        <v>49</v>
      </c>
      <c r="F10">
        <v>6.2</v>
      </c>
      <c r="G10">
        <v>7.5</v>
      </c>
      <c r="H10" s="1">
        <v>0.27361600000000003</v>
      </c>
      <c r="I10" s="1">
        <v>0.58427899999999999</v>
      </c>
      <c r="J10">
        <v>0.09</v>
      </c>
      <c r="K10" s="2">
        <v>63</v>
      </c>
      <c r="L10">
        <v>51</v>
      </c>
      <c r="M10" s="5">
        <v>2.1329999999999998E-2</v>
      </c>
      <c r="N10" s="1">
        <f t="shared" si="2"/>
        <v>1.2225534680569328</v>
      </c>
      <c r="O10" s="1">
        <f>P10/C10</f>
        <v>1.1088235294117648</v>
      </c>
      <c r="P10" s="1">
        <v>188.5</v>
      </c>
      <c r="Q10" s="1">
        <v>0.89360300000000004</v>
      </c>
      <c r="R10" s="1">
        <v>2.0763859999999998</v>
      </c>
      <c r="S10" s="1">
        <v>3.0634839999999999</v>
      </c>
      <c r="T10" s="1">
        <v>6.01715</v>
      </c>
      <c r="U10" s="1">
        <v>7.356185</v>
      </c>
      <c r="V10" s="1">
        <v>11.908795</v>
      </c>
      <c r="W10" s="1">
        <v>3.7720999999999998E-2</v>
      </c>
      <c r="X10" s="2">
        <f t="shared" si="3"/>
        <v>37.720999999999997</v>
      </c>
      <c r="Y10" s="1">
        <v>0.305013883027418</v>
      </c>
      <c r="Z10" s="1">
        <v>5.7887435766676516</v>
      </c>
      <c r="AA10" s="2"/>
    </row>
    <row r="11" spans="1:27" x14ac:dyDescent="0.5">
      <c r="A11" t="s">
        <v>36</v>
      </c>
      <c r="B11" t="s">
        <v>126</v>
      </c>
      <c r="C11">
        <v>500</v>
      </c>
      <c r="F11">
        <v>6.2</v>
      </c>
      <c r="G11">
        <v>7.5</v>
      </c>
      <c r="H11">
        <v>0.27</v>
      </c>
      <c r="I11">
        <v>0.57999999999999996</v>
      </c>
      <c r="J11">
        <v>7.0000000000000007E-2</v>
      </c>
      <c r="K11">
        <v>63.5</v>
      </c>
      <c r="M11" s="5">
        <v>4.9660000000000003E-2</v>
      </c>
      <c r="N11" s="1">
        <f t="shared" si="2"/>
        <v>2.8444149093978739</v>
      </c>
      <c r="O11" s="1">
        <f t="shared" si="4"/>
        <v>1.2518778167250877</v>
      </c>
      <c r="P11" s="1">
        <v>399.4</v>
      </c>
      <c r="Q11" s="1">
        <v>0.9</v>
      </c>
      <c r="R11" s="1">
        <v>2.1</v>
      </c>
      <c r="S11" s="1">
        <v>3.1</v>
      </c>
      <c r="T11" s="1">
        <v>6</v>
      </c>
      <c r="U11" s="1">
        <v>7.4</v>
      </c>
      <c r="V11" s="1">
        <v>12</v>
      </c>
      <c r="W11" s="1">
        <v>0.06</v>
      </c>
      <c r="X11" s="2">
        <f t="shared" si="3"/>
        <v>60</v>
      </c>
      <c r="Y11" s="1">
        <v>0.30008523798819631</v>
      </c>
      <c r="Z11" s="1">
        <v>5.7887435766676516</v>
      </c>
      <c r="AA11" s="2"/>
    </row>
    <row r="12" spans="1:27" x14ac:dyDescent="0.5">
      <c r="A12" t="s">
        <v>37</v>
      </c>
      <c r="B12" t="s">
        <v>126</v>
      </c>
      <c r="C12">
        <v>500</v>
      </c>
      <c r="F12">
        <v>6.2</v>
      </c>
      <c r="G12">
        <v>7.5</v>
      </c>
      <c r="H12">
        <v>0.27</v>
      </c>
      <c r="I12">
        <v>0.57999999999999996</v>
      </c>
      <c r="J12">
        <v>7.0000000000000007E-2</v>
      </c>
      <c r="K12">
        <v>63.5</v>
      </c>
      <c r="M12" s="5">
        <v>4.9660000000000003E-2</v>
      </c>
      <c r="N12" s="1">
        <f t="shared" si="2"/>
        <v>2.8444149093978739</v>
      </c>
      <c r="O12" s="1">
        <f t="shared" si="4"/>
        <v>1.2518778167250877</v>
      </c>
      <c r="P12" s="1">
        <v>399.4</v>
      </c>
      <c r="Q12" s="1">
        <v>0.9</v>
      </c>
      <c r="R12" s="1">
        <v>2.1</v>
      </c>
      <c r="S12" s="1">
        <v>3.1</v>
      </c>
      <c r="T12" s="1">
        <v>6</v>
      </c>
      <c r="U12" s="1">
        <v>7.4</v>
      </c>
      <c r="V12" s="1">
        <v>12</v>
      </c>
      <c r="W12" s="1">
        <v>0.06</v>
      </c>
      <c r="X12" s="2">
        <f t="shared" si="3"/>
        <v>60</v>
      </c>
      <c r="Y12" s="1">
        <v>0.27512702690957624</v>
      </c>
      <c r="Z12" s="1">
        <v>5.7887435766676516</v>
      </c>
      <c r="AA12" s="2"/>
    </row>
    <row r="13" spans="1:27" ht="17.350000000000001" customHeight="1" x14ac:dyDescent="0.5">
      <c r="A13" t="s">
        <v>38</v>
      </c>
      <c r="B13" t="s">
        <v>126</v>
      </c>
      <c r="C13">
        <v>500</v>
      </c>
      <c r="F13">
        <v>6.4</v>
      </c>
      <c r="G13">
        <v>7.7</v>
      </c>
      <c r="H13">
        <v>0.28000000000000003</v>
      </c>
      <c r="I13">
        <v>0.59</v>
      </c>
      <c r="J13">
        <v>0.09</v>
      </c>
      <c r="K13" s="2">
        <v>67.2</v>
      </c>
      <c r="M13" s="5">
        <v>2.632E-2</v>
      </c>
      <c r="N13" s="1">
        <f t="shared" si="2"/>
        <v>1.5084415527657142</v>
      </c>
      <c r="O13" s="1">
        <f t="shared" si="4"/>
        <v>1.0929678448860034</v>
      </c>
      <c r="P13">
        <v>457.47</v>
      </c>
      <c r="Q13" s="1">
        <v>0.93</v>
      </c>
      <c r="R13" s="1">
        <v>2.2000000000000002</v>
      </c>
      <c r="S13" s="1">
        <v>3.2</v>
      </c>
      <c r="T13" s="1">
        <v>6.2</v>
      </c>
      <c r="U13" s="1">
        <v>7.6</v>
      </c>
      <c r="V13" s="1">
        <v>12.3</v>
      </c>
      <c r="W13" s="1">
        <v>0.04</v>
      </c>
      <c r="X13" s="2">
        <f t="shared" si="3"/>
        <v>40</v>
      </c>
      <c r="Y13" s="1">
        <v>0.62017694295679682</v>
      </c>
      <c r="Z13" s="1">
        <v>16.524568086826246</v>
      </c>
      <c r="AA13" s="2"/>
    </row>
    <row r="14" spans="1:27" x14ac:dyDescent="0.5">
      <c r="A14" t="s">
        <v>39</v>
      </c>
      <c r="B14" t="s">
        <v>126</v>
      </c>
      <c r="C14">
        <v>500</v>
      </c>
      <c r="F14" s="2">
        <v>6.448404</v>
      </c>
      <c r="G14" s="2">
        <v>7.8410900000000003</v>
      </c>
      <c r="H14" s="1">
        <v>0.28240799999999999</v>
      </c>
      <c r="I14" s="1">
        <v>0.59705600000000003</v>
      </c>
      <c r="J14" s="1">
        <v>0.1</v>
      </c>
      <c r="K14" s="2">
        <v>69.386544999999998</v>
      </c>
      <c r="M14" s="5">
        <v>2.1860000000000001E-2</v>
      </c>
      <c r="N14" s="1">
        <f t="shared" si="2"/>
        <v>1.2529214710157586</v>
      </c>
      <c r="O14" s="1">
        <f t="shared" si="4"/>
        <v>1.0922038489263635</v>
      </c>
      <c r="P14">
        <v>457.79</v>
      </c>
      <c r="Q14" s="1">
        <v>0.94876099999999997</v>
      </c>
      <c r="R14" s="1">
        <v>2.194401</v>
      </c>
      <c r="S14" s="1">
        <v>3.2313830000000001</v>
      </c>
      <c r="T14" s="1">
        <v>6.3353450000000002</v>
      </c>
      <c r="U14" s="1">
        <v>7.7295689999999997</v>
      </c>
      <c r="V14" s="1">
        <v>12.482021</v>
      </c>
      <c r="W14" s="1">
        <v>3.1583E-2</v>
      </c>
      <c r="X14" s="2">
        <f t="shared" si="3"/>
        <v>31.582999999999998</v>
      </c>
      <c r="Y14" s="1">
        <v>0.92976715822007361</v>
      </c>
      <c r="Z14" s="1">
        <v>39.037146008950366</v>
      </c>
      <c r="AA14" s="2"/>
    </row>
    <row r="15" spans="1:27" x14ac:dyDescent="0.5">
      <c r="A15" t="s">
        <v>40</v>
      </c>
      <c r="B15" t="s">
        <v>126</v>
      </c>
      <c r="C15">
        <v>500</v>
      </c>
      <c r="F15" s="2">
        <v>6.6857300000000004</v>
      </c>
      <c r="G15" s="2">
        <v>8.1438459999999999</v>
      </c>
      <c r="H15" s="1">
        <v>0.29061700000000001</v>
      </c>
      <c r="I15" s="1">
        <v>0.60887100000000005</v>
      </c>
      <c r="J15" s="1">
        <v>0.09</v>
      </c>
      <c r="K15" s="2">
        <v>75.700456000000003</v>
      </c>
      <c r="M15" s="5">
        <v>2.8160000000000001E-2</v>
      </c>
      <c r="N15" s="1">
        <f t="shared" si="2"/>
        <v>1.6138410218624817</v>
      </c>
      <c r="O15" s="1">
        <f t="shared" si="4"/>
        <v>1.1597161014983532</v>
      </c>
      <c r="P15">
        <v>431.14</v>
      </c>
      <c r="Q15" s="1">
        <v>1.00166</v>
      </c>
      <c r="R15" s="1">
        <v>2.3070889999999999</v>
      </c>
      <c r="S15" s="1">
        <v>3.39141</v>
      </c>
      <c r="T15" s="1">
        <v>6.638096</v>
      </c>
      <c r="U15" s="1">
        <v>8.0841480000000008</v>
      </c>
      <c r="V15" s="1">
        <v>13.025081999999999</v>
      </c>
      <c r="W15" s="1">
        <v>3.8121000000000002E-2</v>
      </c>
      <c r="X15" s="2">
        <f t="shared" si="3"/>
        <v>38.121000000000002</v>
      </c>
      <c r="Y15" s="1">
        <v>0.62108044805498663</v>
      </c>
      <c r="Z15" s="1">
        <v>2.7437151918132043</v>
      </c>
      <c r="AA15" s="2"/>
    </row>
    <row r="16" spans="1:27" x14ac:dyDescent="0.5">
      <c r="A16" t="s">
        <v>41</v>
      </c>
      <c r="B16" t="s">
        <v>126</v>
      </c>
      <c r="C16">
        <v>500</v>
      </c>
      <c r="F16" s="2">
        <v>6.8262679999999998</v>
      </c>
      <c r="G16" s="2">
        <v>8.3233739999999994</v>
      </c>
      <c r="H16" s="1">
        <v>0.29544999999999999</v>
      </c>
      <c r="I16" s="1">
        <v>0.61577700000000002</v>
      </c>
      <c r="J16" s="1">
        <v>0.1</v>
      </c>
      <c r="K16" s="2">
        <v>79.591811000000007</v>
      </c>
      <c r="M16" s="5">
        <v>2.264E-2</v>
      </c>
      <c r="N16" s="1">
        <f t="shared" si="2"/>
        <v>1.2976127195893283</v>
      </c>
      <c r="O16" s="1">
        <f t="shared" si="4"/>
        <v>1.1547877500115478</v>
      </c>
      <c r="P16">
        <v>432.98</v>
      </c>
      <c r="Q16" s="1">
        <v>1.0334350000000001</v>
      </c>
      <c r="R16" s="1">
        <v>2.3745539999999998</v>
      </c>
      <c r="S16" s="1">
        <v>3.487085</v>
      </c>
      <c r="T16" s="1">
        <v>6.8188659999999999</v>
      </c>
      <c r="U16" s="1">
        <v>8.29556</v>
      </c>
      <c r="V16" s="1">
        <v>13.348299000000001</v>
      </c>
      <c r="W16" s="1">
        <v>3.2926999999999998E-2</v>
      </c>
      <c r="X16" s="2">
        <f t="shared" si="3"/>
        <v>32.927</v>
      </c>
      <c r="Y16" s="1">
        <v>1.4050368003663647</v>
      </c>
      <c r="Z16" s="1">
        <v>2.5861113818843715</v>
      </c>
      <c r="AA16" s="2"/>
    </row>
    <row r="17" spans="1:27" x14ac:dyDescent="0.5">
      <c r="A17" t="s">
        <v>42</v>
      </c>
      <c r="B17" t="s">
        <v>126</v>
      </c>
      <c r="C17">
        <v>500</v>
      </c>
      <c r="F17" s="2">
        <v>2.293981</v>
      </c>
      <c r="G17" s="2">
        <v>2.6538849999999998</v>
      </c>
      <c r="H17" s="1">
        <v>0.124461</v>
      </c>
      <c r="I17" s="1">
        <v>0.340922</v>
      </c>
      <c r="J17" s="1">
        <v>0.05</v>
      </c>
      <c r="K17" s="2">
        <v>5.7501490000000004</v>
      </c>
      <c r="M17" s="5">
        <v>6.232E-2</v>
      </c>
      <c r="N17" s="1">
        <f t="shared" si="2"/>
        <v>3.5678699070013056</v>
      </c>
      <c r="O17" s="1">
        <f t="shared" si="4"/>
        <v>1.0787719260393966</v>
      </c>
      <c r="P17">
        <v>463.49</v>
      </c>
      <c r="Q17" s="1">
        <v>0.20105799999999999</v>
      </c>
      <c r="R17" s="1">
        <v>0.52408100000000002</v>
      </c>
      <c r="S17" s="1">
        <v>0.81115300000000001</v>
      </c>
      <c r="T17" s="1">
        <v>1.6673800000000001</v>
      </c>
      <c r="U17" s="1">
        <v>2.143548</v>
      </c>
      <c r="V17" s="1">
        <v>3.6930429999999999</v>
      </c>
      <c r="W17" s="1">
        <v>4.8189999999999997E-2</v>
      </c>
      <c r="X17" s="2">
        <f t="shared" si="3"/>
        <v>48.19</v>
      </c>
      <c r="Y17" s="1">
        <v>0.97143779243426254</v>
      </c>
      <c r="Z17" s="1">
        <v>22.100905173301694</v>
      </c>
      <c r="AA17" s="2"/>
    </row>
    <row r="18" spans="1:27" x14ac:dyDescent="0.5">
      <c r="A18" t="s">
        <v>43</v>
      </c>
      <c r="B18" t="s">
        <v>126</v>
      </c>
      <c r="C18">
        <v>500</v>
      </c>
      <c r="F18" s="2">
        <v>3.1898520000000001</v>
      </c>
      <c r="G18" s="2">
        <v>3.7494109999999998</v>
      </c>
      <c r="H18" s="1">
        <v>0.161637</v>
      </c>
      <c r="I18" s="1">
        <v>0.40764699999999998</v>
      </c>
      <c r="J18" s="1">
        <v>0.05</v>
      </c>
      <c r="K18" s="2">
        <v>12.726027</v>
      </c>
      <c r="M18" s="5">
        <v>8.2699999999999996E-2</v>
      </c>
      <c r="N18" s="1">
        <f t="shared" si="2"/>
        <v>4.7300006456917147</v>
      </c>
      <c r="O18" s="1">
        <f t="shared" si="4"/>
        <v>1.1012730716708516</v>
      </c>
      <c r="P18">
        <v>454.02</v>
      </c>
      <c r="Q18" s="1">
        <v>0.32981199999999999</v>
      </c>
      <c r="R18" s="1">
        <v>0.82752499999999996</v>
      </c>
      <c r="S18" s="1">
        <v>1.260623</v>
      </c>
      <c r="T18" s="1">
        <v>2.5524779999999998</v>
      </c>
      <c r="U18" s="1">
        <v>3.227122</v>
      </c>
      <c r="V18" s="1">
        <v>5.446231</v>
      </c>
      <c r="W18" s="1">
        <v>6.4866999999999994E-2</v>
      </c>
      <c r="X18" s="2">
        <f t="shared" si="3"/>
        <v>64.86699999999999</v>
      </c>
      <c r="Y18" s="1">
        <v>1.9368207793039631</v>
      </c>
      <c r="Z18" s="1">
        <v>25.35081530361084</v>
      </c>
    </row>
    <row r="19" spans="1:27" x14ac:dyDescent="0.5">
      <c r="A19" t="s">
        <v>75</v>
      </c>
      <c r="B19" t="s">
        <v>126</v>
      </c>
      <c r="H19" s="1"/>
      <c r="I19" s="1"/>
      <c r="J19" s="1"/>
      <c r="K19" s="2"/>
      <c r="N19" s="1">
        <f t="shared" si="2"/>
        <v>0</v>
      </c>
      <c r="O19" s="1" t="e">
        <f t="shared" si="4"/>
        <v>#DIV/0!</v>
      </c>
      <c r="X19" s="2">
        <f t="shared" si="3"/>
        <v>0</v>
      </c>
    </row>
    <row r="20" spans="1:27" x14ac:dyDescent="0.5">
      <c r="A20" t="s">
        <v>76</v>
      </c>
      <c r="B20" t="s">
        <v>141</v>
      </c>
      <c r="H20" s="1"/>
      <c r="I20" s="1"/>
      <c r="J20" s="1"/>
      <c r="K20" s="2"/>
      <c r="N20" s="1"/>
      <c r="O20" s="1"/>
      <c r="X20" s="2"/>
    </row>
    <row r="21" spans="1:27" x14ac:dyDescent="0.5">
      <c r="A21" t="s">
        <v>58</v>
      </c>
      <c r="B21" t="s">
        <v>126</v>
      </c>
      <c r="C21">
        <v>500</v>
      </c>
      <c r="F21" s="2">
        <v>2.79</v>
      </c>
      <c r="G21" s="2">
        <v>3.26</v>
      </c>
      <c r="H21" s="1">
        <v>0.14000000000000001</v>
      </c>
      <c r="I21" s="1">
        <v>0.379</v>
      </c>
      <c r="J21" s="1">
        <v>0.11</v>
      </c>
      <c r="K21" s="2">
        <v>9.24</v>
      </c>
      <c r="M21" s="5">
        <v>0.11799999999999999</v>
      </c>
      <c r="N21" s="1">
        <f t="shared" si="2"/>
        <v>6.7331954042305995</v>
      </c>
      <c r="O21" s="1">
        <f t="shared" si="4"/>
        <v>1.0902747492368077</v>
      </c>
      <c r="P21">
        <v>458.6</v>
      </c>
      <c r="Q21" s="1">
        <v>1.1599999999999999</v>
      </c>
      <c r="R21" s="1">
        <v>3.78</v>
      </c>
      <c r="S21" s="1">
        <v>7.05</v>
      </c>
      <c r="T21" s="1">
        <v>20.74</v>
      </c>
      <c r="U21" s="1">
        <v>30.38</v>
      </c>
      <c r="V21" s="1">
        <v>65.5</v>
      </c>
      <c r="W21" s="1">
        <v>0.19</v>
      </c>
      <c r="X21" s="2">
        <f t="shared" si="3"/>
        <v>190</v>
      </c>
      <c r="Y21" s="1">
        <v>1.0483942045738828</v>
      </c>
      <c r="Z21" s="1">
        <v>9.7501764634942205</v>
      </c>
    </row>
    <row r="22" spans="1:27" x14ac:dyDescent="0.5">
      <c r="A22" t="s">
        <v>61</v>
      </c>
      <c r="B22" t="s">
        <v>126</v>
      </c>
      <c r="C22">
        <v>500</v>
      </c>
      <c r="F22" s="2">
        <v>2.19</v>
      </c>
      <c r="G22" s="2">
        <v>2.52</v>
      </c>
      <c r="H22" s="1">
        <v>0.12</v>
      </c>
      <c r="I22" s="1">
        <v>0.33</v>
      </c>
      <c r="J22" s="1">
        <v>0.12</v>
      </c>
      <c r="K22" s="2">
        <v>5.12</v>
      </c>
      <c r="M22" s="5">
        <v>6.9900000000000004E-2</v>
      </c>
      <c r="N22" s="1">
        <f t="shared" si="2"/>
        <v>4.0004993437729457</v>
      </c>
      <c r="O22" s="1">
        <f t="shared" si="4"/>
        <v>1.1280061363533818</v>
      </c>
      <c r="P22">
        <v>443.26</v>
      </c>
      <c r="Q22" s="1">
        <v>0.8</v>
      </c>
      <c r="R22" s="1">
        <v>2.76</v>
      </c>
      <c r="S22" s="1">
        <v>5.28</v>
      </c>
      <c r="T22" s="1">
        <v>16.48</v>
      </c>
      <c r="U22" s="1">
        <v>24.64</v>
      </c>
      <c r="V22" s="1">
        <v>55.52</v>
      </c>
      <c r="W22" s="1">
        <v>0.12</v>
      </c>
      <c r="X22" s="2">
        <f t="shared" si="3"/>
        <v>120</v>
      </c>
      <c r="Y22" s="1">
        <v>0.65886031989162841</v>
      </c>
      <c r="Z22" s="1">
        <v>22.811700410420805</v>
      </c>
    </row>
    <row r="23" spans="1:27" x14ac:dyDescent="0.5">
      <c r="A23" t="s">
        <v>62</v>
      </c>
      <c r="B23" t="s">
        <v>126</v>
      </c>
      <c r="N23" s="1">
        <f t="shared" si="2"/>
        <v>0</v>
      </c>
    </row>
    <row r="24" spans="1:27" x14ac:dyDescent="0.5">
      <c r="A24" t="s">
        <v>63</v>
      </c>
      <c r="B24" t="s">
        <v>126</v>
      </c>
      <c r="N24" s="1">
        <f t="shared" si="2"/>
        <v>0</v>
      </c>
    </row>
    <row r="25" spans="1:27" x14ac:dyDescent="0.5">
      <c r="A25" t="s">
        <v>64</v>
      </c>
      <c r="B25" t="s">
        <v>126</v>
      </c>
      <c r="N25" s="1">
        <f t="shared" si="2"/>
        <v>0</v>
      </c>
    </row>
    <row r="26" spans="1:27" x14ac:dyDescent="0.5">
      <c r="A26" t="s">
        <v>77</v>
      </c>
      <c r="B26" t="s">
        <v>126</v>
      </c>
    </row>
    <row r="27" spans="1:27" x14ac:dyDescent="0.5">
      <c r="A27" t="s">
        <v>109</v>
      </c>
      <c r="B27" t="s">
        <v>126</v>
      </c>
    </row>
    <row r="28" spans="1:27" x14ac:dyDescent="0.5">
      <c r="A28" t="s">
        <v>78</v>
      </c>
      <c r="B28" t="s">
        <v>126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5031-E7EF-460F-9964-662C8F6243AC}">
  <dimension ref="A1:AL17"/>
  <sheetViews>
    <sheetView workbookViewId="0">
      <pane xSplit="1" topLeftCell="B1" activePane="topRight" state="frozen"/>
      <selection pane="topRight" activeCell="J29" sqref="J29"/>
    </sheetView>
  </sheetViews>
  <sheetFormatPr defaultRowHeight="14.35" x14ac:dyDescent="0.5"/>
  <cols>
    <col min="1" max="1" width="16.5859375" customWidth="1"/>
    <col min="17" max="17" width="11.05859375" customWidth="1"/>
    <col min="18" max="18" width="13.234375" customWidth="1"/>
    <col min="19" max="19" width="12.3515625" customWidth="1"/>
    <col min="20" max="20" width="11.703125" customWidth="1"/>
    <col min="21" max="21" width="13" customWidth="1"/>
    <col min="22" max="22" width="12.8203125" bestFit="1" customWidth="1"/>
    <col min="23" max="23" width="12.5859375" customWidth="1"/>
    <col min="24" max="25" width="12.8203125" customWidth="1"/>
    <col min="26" max="26" width="12.1171875" customWidth="1"/>
    <col min="27" max="27" width="11.9375" customWidth="1"/>
    <col min="28" max="29" width="12.76171875" customWidth="1"/>
    <col min="30" max="30" width="12.703125" customWidth="1"/>
    <col min="31" max="31" width="16.64453125" customWidth="1"/>
    <col min="32" max="32" width="11.87890625" customWidth="1"/>
  </cols>
  <sheetData>
    <row r="1" spans="1:3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46</v>
      </c>
      <c r="R1" t="s">
        <v>20</v>
      </c>
      <c r="S1" t="s">
        <v>21</v>
      </c>
      <c r="T1" t="s">
        <v>22</v>
      </c>
      <c r="U1" t="s">
        <v>32</v>
      </c>
      <c r="V1" t="s">
        <v>23</v>
      </c>
      <c r="W1" t="s">
        <v>24</v>
      </c>
      <c r="X1" t="s">
        <v>25</v>
      </c>
      <c r="Y1" t="s">
        <v>47</v>
      </c>
      <c r="Z1" t="s">
        <v>26</v>
      </c>
      <c r="AA1" t="s">
        <v>27</v>
      </c>
      <c r="AB1" t="s">
        <v>28</v>
      </c>
      <c r="AC1" t="s">
        <v>33</v>
      </c>
      <c r="AD1" t="s">
        <v>29</v>
      </c>
      <c r="AE1" t="s">
        <v>30</v>
      </c>
      <c r="AF1" t="s">
        <v>31</v>
      </c>
      <c r="AG1" t="s">
        <v>131</v>
      </c>
      <c r="AH1" t="s">
        <v>132</v>
      </c>
      <c r="AI1" t="s">
        <v>133</v>
      </c>
      <c r="AJ1" t="s">
        <v>134</v>
      </c>
    </row>
    <row r="2" spans="1:38" x14ac:dyDescent="0.5">
      <c r="A2" t="s">
        <v>16</v>
      </c>
      <c r="B2">
        <v>0.1</v>
      </c>
      <c r="C2" s="2">
        <v>46.11</v>
      </c>
      <c r="D2" s="4">
        <v>26</v>
      </c>
      <c r="E2" s="2">
        <v>2054</v>
      </c>
      <c r="F2">
        <v>3.51</v>
      </c>
      <c r="G2">
        <v>101.72</v>
      </c>
      <c r="H2">
        <v>262.52</v>
      </c>
      <c r="I2">
        <v>79.03</v>
      </c>
      <c r="J2">
        <v>1.31</v>
      </c>
      <c r="K2">
        <v>57.78</v>
      </c>
      <c r="L2">
        <v>5.03</v>
      </c>
      <c r="M2">
        <v>6.06</v>
      </c>
      <c r="N2">
        <v>0.02</v>
      </c>
      <c r="O2" s="1">
        <v>3.2904000000000003E-2</v>
      </c>
      <c r="P2" s="1">
        <v>2.5999999999999999E-2</v>
      </c>
      <c r="Q2" t="s">
        <v>45</v>
      </c>
      <c r="R2" s="2">
        <f t="shared" ref="R2:R17" si="0">-((-7.21)+(2.83*LN(L2))-(0.03*C2)-(0.03*D2)+(0.04*G2))</f>
        <v>0.73286144496403605</v>
      </c>
      <c r="S2" s="2">
        <f t="shared" ref="S2:S17" si="1">-((5.52) - (0.036*I2) + (1.17*LN(L2)) -(0.35*M2))</f>
        <v>-2.4439613814106282</v>
      </c>
      <c r="T2" s="2">
        <f t="shared" ref="T2:T17" si="2">-((4.83)+(0.66*LN(L2))-(0.004*K2)-(0.27*M2)+(0.16*SQRT(D2)))</f>
        <v>-4.8447003116885341</v>
      </c>
      <c r="U2" s="2">
        <f t="shared" ref="U2:U17" si="3">-((3.75)-(0.002*H2)+(0.022*SQRT(D2))+(0.093*F2)+(0.75*LN(E2)))</f>
        <v>-9.384226722165419</v>
      </c>
      <c r="V2" s="2">
        <f>10^(-R2/3.322)</f>
        <v>0.60171591382036749</v>
      </c>
      <c r="W2" s="2">
        <f>10^(-S2/3.322)</f>
        <v>5.4411382359816214</v>
      </c>
      <c r="X2" s="2">
        <f>10^(-T2/3.322)</f>
        <v>28.732177886084141</v>
      </c>
      <c r="Y2" s="2">
        <f>10^(-U2/3.322)</f>
        <v>668.14786258757567</v>
      </c>
      <c r="Z2">
        <v>0.53</v>
      </c>
      <c r="AA2">
        <v>6.88</v>
      </c>
      <c r="AB2">
        <v>56.88</v>
      </c>
      <c r="AC2">
        <v>860</v>
      </c>
      <c r="AD2">
        <v>19.21</v>
      </c>
      <c r="AE2">
        <v>32.26</v>
      </c>
      <c r="AF2">
        <v>55.9</v>
      </c>
      <c r="AG2">
        <f>SQRT(O2)</f>
        <v>0.18139459749397169</v>
      </c>
      <c r="AH2">
        <f>SQRT(P2)</f>
        <v>0.161245154965971</v>
      </c>
      <c r="AI2" s="1">
        <f>(2.7+((1.9*J2)+(1.75*AG2)+(8*AH2)+(0.003*K2)))</f>
        <v>6.9697417853422179</v>
      </c>
      <c r="AJ2">
        <v>7.1891677380000001</v>
      </c>
      <c r="AK2">
        <f>EXP(AJ2)</f>
        <v>1324.9999994430727</v>
      </c>
      <c r="AL2">
        <f>EXP(AI2)</f>
        <v>1063.9479881001282</v>
      </c>
    </row>
    <row r="3" spans="1:38" x14ac:dyDescent="0.5">
      <c r="A3" t="s">
        <v>17</v>
      </c>
      <c r="B3" s="3">
        <v>0.48</v>
      </c>
      <c r="C3">
        <v>25</v>
      </c>
      <c r="D3" s="4">
        <f>(O3/B3)*100</f>
        <v>62.5</v>
      </c>
      <c r="E3" s="2">
        <v>2120.5921520000002</v>
      </c>
      <c r="F3">
        <v>3.06</v>
      </c>
      <c r="G3">
        <v>113.32</v>
      </c>
      <c r="H3">
        <v>395.36</v>
      </c>
      <c r="I3">
        <v>68.94</v>
      </c>
      <c r="J3">
        <v>1.17</v>
      </c>
      <c r="K3">
        <v>59.07</v>
      </c>
      <c r="L3">
        <v>4.49</v>
      </c>
      <c r="M3">
        <v>5.2</v>
      </c>
      <c r="N3">
        <v>0.19</v>
      </c>
      <c r="O3">
        <v>0.3</v>
      </c>
      <c r="P3" s="1">
        <v>0.16300000000000001</v>
      </c>
      <c r="R3" s="2">
        <f t="shared" si="0"/>
        <v>1.0519568540357191</v>
      </c>
      <c r="S3" s="2">
        <f t="shared" si="1"/>
        <v>-2.9753276610523707</v>
      </c>
      <c r="T3" s="2">
        <f t="shared" si="2"/>
        <v>-5.4458538472250995</v>
      </c>
      <c r="U3" s="2">
        <f t="shared" si="3"/>
        <v>-9.1623732555433595</v>
      </c>
      <c r="V3" s="2">
        <f t="shared" ref="V3:Y17" si="4">10^(-R3/3.322)</f>
        <v>0.4823211286959378</v>
      </c>
      <c r="W3" s="2">
        <f t="shared" si="4"/>
        <v>7.8639996621969104</v>
      </c>
      <c r="X3" s="2">
        <f t="shared" si="4"/>
        <v>43.584279978558051</v>
      </c>
      <c r="Y3" s="2">
        <f t="shared" si="4"/>
        <v>572.91406053929734</v>
      </c>
      <c r="Z3">
        <v>2.7</v>
      </c>
      <c r="AA3">
        <v>7.5</v>
      </c>
      <c r="AB3">
        <v>46.98</v>
      </c>
      <c r="AC3">
        <v>628</v>
      </c>
      <c r="AD3">
        <v>10.33</v>
      </c>
      <c r="AE3">
        <v>19.3</v>
      </c>
      <c r="AF3">
        <v>36.28</v>
      </c>
      <c r="AG3">
        <f t="shared" ref="AG3:AG17" si="5">SQRT(O3)</f>
        <v>0.54772255750516607</v>
      </c>
      <c r="AH3">
        <f t="shared" ref="AH3:AH17" si="6">SQRT(P3)</f>
        <v>0.40373258476372698</v>
      </c>
      <c r="AI3" s="1">
        <f t="shared" ref="AI3:AI17" si="7">(2.7+((1.9*J3)+(1.75*AG3)+(8*AH3)+(0.003*K3)))</f>
        <v>9.2885851537438562</v>
      </c>
      <c r="AL3">
        <f t="shared" ref="AL3:AL17" si="8">EXP(AI3)</f>
        <v>10813.873301776024</v>
      </c>
    </row>
    <row r="4" spans="1:38" x14ac:dyDescent="0.5">
      <c r="A4" t="s">
        <v>18</v>
      </c>
      <c r="B4" s="1">
        <v>2.75</v>
      </c>
      <c r="C4">
        <v>18.940000000000001</v>
      </c>
      <c r="D4" s="4">
        <f>(O4/B4)*100</f>
        <v>13.818181818181818</v>
      </c>
      <c r="E4" s="2">
        <v>2362.2416039999998</v>
      </c>
      <c r="F4">
        <v>3.05</v>
      </c>
      <c r="G4">
        <v>100.86</v>
      </c>
      <c r="H4">
        <v>218.9</v>
      </c>
      <c r="I4">
        <v>69.31</v>
      </c>
      <c r="J4">
        <v>1.34</v>
      </c>
      <c r="K4">
        <v>58</v>
      </c>
      <c r="L4">
        <v>6.22</v>
      </c>
      <c r="M4">
        <v>6.66</v>
      </c>
      <c r="N4">
        <v>0.04</v>
      </c>
      <c r="O4" s="1">
        <v>0.38</v>
      </c>
      <c r="P4" s="1">
        <v>0.247</v>
      </c>
      <c r="R4" s="2">
        <f t="shared" si="0"/>
        <v>-1.0142433815601239</v>
      </c>
      <c r="S4" s="2">
        <f t="shared" si="1"/>
        <v>-2.8323307908987725</v>
      </c>
      <c r="T4" s="2">
        <f t="shared" si="2"/>
        <v>-4.6008931799178523</v>
      </c>
      <c r="U4" s="2">
        <f t="shared" si="3"/>
        <v>-9.5031549027644502</v>
      </c>
      <c r="V4" s="2">
        <f t="shared" si="4"/>
        <v>2.019812576856308</v>
      </c>
      <c r="W4" s="2">
        <f t="shared" si="4"/>
        <v>7.1219360666402824</v>
      </c>
      <c r="X4" s="2">
        <f t="shared" si="4"/>
        <v>24.264808900987322</v>
      </c>
      <c r="Y4" s="2">
        <f t="shared" si="4"/>
        <v>725.55904116756619</v>
      </c>
      <c r="Z4">
        <v>3.43</v>
      </c>
      <c r="AA4">
        <v>20.56</v>
      </c>
      <c r="AB4">
        <v>60.11</v>
      </c>
      <c r="AC4">
        <v>720</v>
      </c>
      <c r="AD4">
        <v>10.58</v>
      </c>
      <c r="AE4">
        <v>29.09</v>
      </c>
      <c r="AF4">
        <v>61.65</v>
      </c>
      <c r="AG4">
        <f t="shared" si="5"/>
        <v>0.61644140029689765</v>
      </c>
      <c r="AH4">
        <f t="shared" si="6"/>
        <v>0.49699094559156709</v>
      </c>
      <c r="AI4" s="1">
        <f t="shared" si="7"/>
        <v>10.474700015252107</v>
      </c>
      <c r="AL4">
        <f t="shared" si="8"/>
        <v>35408.246191308761</v>
      </c>
    </row>
    <row r="5" spans="1:38" x14ac:dyDescent="0.5">
      <c r="A5" t="s">
        <v>34</v>
      </c>
      <c r="B5" s="1">
        <v>0.47866700000000001</v>
      </c>
      <c r="C5">
        <v>44.81</v>
      </c>
      <c r="D5" s="4">
        <f t="shared" ref="D5:D13" si="9">(O5/B5)*100</f>
        <v>78.620000961002106</v>
      </c>
      <c r="E5" s="2">
        <v>2721.9242159999999</v>
      </c>
      <c r="F5">
        <v>6.09</v>
      </c>
      <c r="G5">
        <v>110.26</v>
      </c>
      <c r="H5">
        <v>297.02999999999997</v>
      </c>
      <c r="I5">
        <v>58.61</v>
      </c>
      <c r="J5">
        <v>1.22</v>
      </c>
      <c r="K5">
        <v>689.59</v>
      </c>
      <c r="L5">
        <v>3.01</v>
      </c>
      <c r="M5">
        <v>4.2</v>
      </c>
      <c r="N5">
        <v>0.12</v>
      </c>
      <c r="O5" s="1">
        <v>0.376328</v>
      </c>
      <c r="P5" s="1">
        <f>0.432307+0.000201</f>
        <v>0.432508</v>
      </c>
      <c r="R5" s="2">
        <f t="shared" si="0"/>
        <v>3.3840096059370426</v>
      </c>
      <c r="S5" s="2">
        <f t="shared" si="1"/>
        <v>-3.229309892150118</v>
      </c>
      <c r="T5" s="2">
        <f t="shared" si="2"/>
        <v>-3.0836071773029881</v>
      </c>
      <c r="U5" s="2">
        <f t="shared" si="3"/>
        <v>-9.8492001808796203</v>
      </c>
      <c r="V5" s="2">
        <f t="shared" si="4"/>
        <v>9.5792973120271893E-2</v>
      </c>
      <c r="W5" s="2">
        <f t="shared" si="4"/>
        <v>9.3777381329318246</v>
      </c>
      <c r="X5" s="2">
        <f t="shared" si="4"/>
        <v>8.47692152978175</v>
      </c>
      <c r="Y5" s="2">
        <f t="shared" si="4"/>
        <v>922.23268913346919</v>
      </c>
      <c r="Z5">
        <v>0.05</v>
      </c>
      <c r="AA5">
        <v>32</v>
      </c>
      <c r="AB5">
        <v>93</v>
      </c>
      <c r="AC5">
        <v>855</v>
      </c>
      <c r="AD5">
        <v>26.36</v>
      </c>
      <c r="AE5">
        <v>62</v>
      </c>
      <c r="AF5">
        <v>119.43</v>
      </c>
      <c r="AG5">
        <f t="shared" si="5"/>
        <v>0.61345578487776931</v>
      </c>
      <c r="AH5">
        <f t="shared" si="6"/>
        <v>0.65765340415753948</v>
      </c>
      <c r="AI5" s="1">
        <f t="shared" si="7"/>
        <v>13.421544856796412</v>
      </c>
      <c r="AL5">
        <f t="shared" si="8"/>
        <v>674377.18619368388</v>
      </c>
    </row>
    <row r="6" spans="1:38" x14ac:dyDescent="0.5">
      <c r="A6" t="s">
        <v>35</v>
      </c>
      <c r="B6" s="1">
        <v>0.228325</v>
      </c>
      <c r="C6">
        <v>33.5</v>
      </c>
      <c r="D6" s="4">
        <f t="shared" si="9"/>
        <v>76.697689696704259</v>
      </c>
      <c r="E6" s="2">
        <v>2349.6654699999999</v>
      </c>
      <c r="F6">
        <v>1.28</v>
      </c>
      <c r="G6">
        <v>139.02000000000001</v>
      </c>
      <c r="H6">
        <v>234.06</v>
      </c>
      <c r="I6">
        <v>65.349999999999994</v>
      </c>
      <c r="J6">
        <v>0.81</v>
      </c>
      <c r="K6">
        <v>67.42</v>
      </c>
      <c r="L6">
        <v>4.8499999999999996</v>
      </c>
      <c r="M6">
        <v>7.09</v>
      </c>
      <c r="N6">
        <v>0.95</v>
      </c>
      <c r="O6" s="1">
        <v>0.17512</v>
      </c>
      <c r="P6" s="1">
        <v>0.20860300000000001</v>
      </c>
      <c r="Q6" t="s">
        <v>45</v>
      </c>
      <c r="R6" s="2">
        <f t="shared" si="0"/>
        <v>0.48662095589434795</v>
      </c>
      <c r="S6" s="2">
        <f t="shared" si="1"/>
        <v>-2.5333050847907881</v>
      </c>
      <c r="T6" s="2">
        <f t="shared" si="2"/>
        <v>-5.0893814202084906</v>
      </c>
      <c r="U6" s="2">
        <f t="shared" si="3"/>
        <v>-9.415111060664664</v>
      </c>
      <c r="V6" s="2">
        <f t="shared" si="4"/>
        <v>0.71369995027349231</v>
      </c>
      <c r="W6" s="2">
        <f t="shared" si="4"/>
        <v>5.7887435766676516</v>
      </c>
      <c r="X6" s="2">
        <f t="shared" si="4"/>
        <v>34.04264573244042</v>
      </c>
      <c r="Y6" s="2">
        <f t="shared" si="4"/>
        <v>682.60504616438834</v>
      </c>
      <c r="Z6">
        <v>2.21</v>
      </c>
      <c r="AA6">
        <v>11.29</v>
      </c>
      <c r="AB6">
        <v>82.8</v>
      </c>
      <c r="AG6">
        <f t="shared" si="5"/>
        <v>0.41847341612102434</v>
      </c>
      <c r="AH6">
        <f t="shared" si="6"/>
        <v>0.45673077408906881</v>
      </c>
      <c r="AI6" s="1">
        <f t="shared" si="7"/>
        <v>8.8274346709243439</v>
      </c>
      <c r="AL6">
        <f t="shared" si="8"/>
        <v>6818.7719655677074</v>
      </c>
    </row>
    <row r="7" spans="1:38" x14ac:dyDescent="0.5">
      <c r="A7" t="s">
        <v>36</v>
      </c>
      <c r="B7" s="1">
        <v>1.141357</v>
      </c>
      <c r="C7">
        <v>33.5</v>
      </c>
      <c r="D7" s="4">
        <f t="shared" si="9"/>
        <v>77.977355025640534</v>
      </c>
      <c r="E7" s="2">
        <v>2526.6209359999998</v>
      </c>
      <c r="F7">
        <v>1.28</v>
      </c>
      <c r="G7">
        <v>139.02000000000001</v>
      </c>
      <c r="H7">
        <v>234.06</v>
      </c>
      <c r="I7">
        <v>65.349999999999994</v>
      </c>
      <c r="J7">
        <v>0.81</v>
      </c>
      <c r="K7">
        <v>67.42</v>
      </c>
      <c r="L7">
        <v>4.8499999999999996</v>
      </c>
      <c r="M7">
        <v>7.09</v>
      </c>
      <c r="N7">
        <v>0.95</v>
      </c>
      <c r="O7">
        <v>0.89</v>
      </c>
      <c r="P7" s="1">
        <v>1.1259520000000001</v>
      </c>
      <c r="Q7" t="s">
        <v>45</v>
      </c>
      <c r="R7" s="2">
        <f t="shared" si="0"/>
        <v>0.52501091576243653</v>
      </c>
      <c r="S7" s="2">
        <f t="shared" si="1"/>
        <v>-2.5333050847907881</v>
      </c>
      <c r="T7" s="2">
        <f t="shared" si="2"/>
        <v>-5.1010225459138026</v>
      </c>
      <c r="U7" s="2">
        <f t="shared" si="3"/>
        <v>-9.471169100536045</v>
      </c>
      <c r="V7" s="2">
        <f t="shared" si="4"/>
        <v>0.69495932580659558</v>
      </c>
      <c r="W7" s="2">
        <f t="shared" si="4"/>
        <v>5.7887435766676516</v>
      </c>
      <c r="X7" s="2">
        <f t="shared" si="4"/>
        <v>34.318441532994335</v>
      </c>
      <c r="Y7" s="2">
        <f t="shared" si="4"/>
        <v>709.65012028255467</v>
      </c>
      <c r="Z7">
        <v>1.21</v>
      </c>
      <c r="AA7">
        <v>4.0999999999999996</v>
      </c>
      <c r="AB7">
        <v>12.87</v>
      </c>
      <c r="AG7">
        <f t="shared" si="5"/>
        <v>0.94339811320566036</v>
      </c>
      <c r="AH7">
        <f t="shared" si="6"/>
        <v>1.0611088539824745</v>
      </c>
      <c r="AI7" s="1">
        <f t="shared" si="7"/>
        <v>14.581077529969704</v>
      </c>
      <c r="AL7">
        <f t="shared" si="8"/>
        <v>2150213.1397756804</v>
      </c>
    </row>
    <row r="8" spans="1:38" x14ac:dyDescent="0.5">
      <c r="A8" t="s">
        <v>37</v>
      </c>
      <c r="B8" s="1">
        <v>0.433226</v>
      </c>
      <c r="C8">
        <v>32.909999999999997</v>
      </c>
      <c r="D8" s="4">
        <f t="shared" si="9"/>
        <v>68.66508473637316</v>
      </c>
      <c r="E8" s="2">
        <v>2365.456576</v>
      </c>
      <c r="F8">
        <v>1.28</v>
      </c>
      <c r="G8">
        <v>139.02000000000001</v>
      </c>
      <c r="H8">
        <v>234.06</v>
      </c>
      <c r="I8">
        <v>65.349999999999994</v>
      </c>
      <c r="J8">
        <v>0.81</v>
      </c>
      <c r="K8">
        <v>67.42</v>
      </c>
      <c r="L8">
        <v>4.8499999999999996</v>
      </c>
      <c r="M8">
        <v>7.09</v>
      </c>
      <c r="N8">
        <v>0.95</v>
      </c>
      <c r="O8" s="1">
        <v>0.29747499999999999</v>
      </c>
      <c r="P8" s="1">
        <v>0.42589100000000002</v>
      </c>
      <c r="Q8" t="s">
        <v>45</v>
      </c>
      <c r="R8" s="2">
        <f t="shared" si="0"/>
        <v>0.22794280708441494</v>
      </c>
      <c r="S8" s="2">
        <f t="shared" si="1"/>
        <v>-2.5333050847907881</v>
      </c>
      <c r="T8" s="2">
        <f t="shared" si="2"/>
        <v>-5.0139763149787848</v>
      </c>
      <c r="U8" s="2">
        <f t="shared" si="3"/>
        <v>-9.4097664290986955</v>
      </c>
      <c r="V8" s="2">
        <f t="shared" si="4"/>
        <v>0.8538544831292999</v>
      </c>
      <c r="W8" s="2">
        <f t="shared" si="4"/>
        <v>5.7887435766676516</v>
      </c>
      <c r="X8" s="2">
        <f t="shared" si="4"/>
        <v>32.30908048019932</v>
      </c>
      <c r="Y8" s="2">
        <f t="shared" si="4"/>
        <v>680.08098923575824</v>
      </c>
      <c r="Z8">
        <v>0.76</v>
      </c>
      <c r="AA8">
        <v>5.76</v>
      </c>
      <c r="AB8">
        <v>21.8</v>
      </c>
      <c r="AG8">
        <f t="shared" si="5"/>
        <v>0.54541268778788043</v>
      </c>
      <c r="AH8">
        <f t="shared" si="6"/>
        <v>0.65260324853619911</v>
      </c>
      <c r="AI8" s="1">
        <f t="shared" si="7"/>
        <v>10.616558191918383</v>
      </c>
      <c r="AL8">
        <f t="shared" si="8"/>
        <v>40804.930224123353</v>
      </c>
    </row>
    <row r="9" spans="1:38" x14ac:dyDescent="0.5">
      <c r="A9" t="s">
        <v>38</v>
      </c>
      <c r="B9" s="1">
        <v>1.876428</v>
      </c>
      <c r="C9">
        <v>32.369999999999997</v>
      </c>
      <c r="D9" s="4">
        <f t="shared" si="9"/>
        <v>56.926298264575038</v>
      </c>
      <c r="E9" s="2">
        <v>2548.769049</v>
      </c>
      <c r="F9">
        <v>1.31</v>
      </c>
      <c r="G9">
        <v>135.47</v>
      </c>
      <c r="H9">
        <v>259.27999999999997</v>
      </c>
      <c r="I9">
        <v>70.430000000000007</v>
      </c>
      <c r="J9">
        <v>0.45</v>
      </c>
      <c r="K9">
        <v>68</v>
      </c>
      <c r="L9">
        <v>6.21</v>
      </c>
      <c r="M9">
        <v>3.07</v>
      </c>
      <c r="N9">
        <v>0.3</v>
      </c>
      <c r="O9" s="1">
        <v>1.068181</v>
      </c>
      <c r="P9" s="1">
        <v>1.413918</v>
      </c>
      <c r="Q9" t="s">
        <v>44</v>
      </c>
      <c r="R9" s="2">
        <f t="shared" si="0"/>
        <v>-0.69794638758819527</v>
      </c>
      <c r="S9" s="2">
        <f t="shared" si="1"/>
        <v>-4.0466282482561029</v>
      </c>
      <c r="T9" s="2">
        <f t="shared" si="2"/>
        <v>-6.1415584856884955</v>
      </c>
      <c r="U9" s="2">
        <f t="shared" si="3"/>
        <v>-9.4017832872654772</v>
      </c>
      <c r="V9" s="2">
        <f t="shared" si="4"/>
        <v>1.6221770405401821</v>
      </c>
      <c r="W9" s="2">
        <f t="shared" si="4"/>
        <v>16.524568086826246</v>
      </c>
      <c r="X9" s="2">
        <f t="shared" si="4"/>
        <v>70.591645740294211</v>
      </c>
      <c r="Y9" s="2">
        <f t="shared" si="4"/>
        <v>676.32824006007615</v>
      </c>
      <c r="Z9">
        <v>1.96</v>
      </c>
      <c r="AA9">
        <v>3.98</v>
      </c>
      <c r="AB9">
        <v>36.1</v>
      </c>
      <c r="AG9">
        <f t="shared" si="5"/>
        <v>1.0335284224442016</v>
      </c>
      <c r="AH9">
        <f t="shared" si="6"/>
        <v>1.1890828398391762</v>
      </c>
      <c r="AI9" s="1">
        <f t="shared" si="7"/>
        <v>15.080337457990762</v>
      </c>
      <c r="AL9">
        <f t="shared" si="8"/>
        <v>3542479.4799290556</v>
      </c>
    </row>
    <row r="10" spans="1:38" x14ac:dyDescent="0.5">
      <c r="A10" t="s">
        <v>39</v>
      </c>
      <c r="B10" s="1">
        <v>2.5307620000000002</v>
      </c>
      <c r="C10">
        <v>32.15</v>
      </c>
      <c r="D10" s="4">
        <f t="shared" si="9"/>
        <v>28.773112604029933</v>
      </c>
      <c r="E10" s="2">
        <v>2472.8270809999999</v>
      </c>
      <c r="F10">
        <v>1.1200000000000001</v>
      </c>
      <c r="G10">
        <v>127.23</v>
      </c>
      <c r="H10">
        <v>306.94</v>
      </c>
      <c r="I10">
        <v>28.14</v>
      </c>
      <c r="J10">
        <v>0.6</v>
      </c>
      <c r="K10">
        <v>68</v>
      </c>
      <c r="L10">
        <v>6.74</v>
      </c>
      <c r="M10">
        <v>4.1500000000000004</v>
      </c>
      <c r="N10">
        <v>3.66</v>
      </c>
      <c r="O10" s="1">
        <v>0.72817900000000002</v>
      </c>
      <c r="P10" s="1">
        <v>2.237851</v>
      </c>
      <c r="Q10" t="s">
        <v>44</v>
      </c>
      <c r="R10" s="2">
        <f t="shared" si="0"/>
        <v>-1.4513162094146326</v>
      </c>
      <c r="S10" s="2">
        <f t="shared" si="1"/>
        <v>-5.2868901121613305</v>
      </c>
      <c r="T10" s="2">
        <f t="shared" si="2"/>
        <v>-5.5550687465831139</v>
      </c>
      <c r="U10" s="2">
        <f t="shared" si="3"/>
        <v>-9.2181272712014319</v>
      </c>
      <c r="V10" s="2">
        <f t="shared" si="4"/>
        <v>2.7345146579961046</v>
      </c>
      <c r="W10" s="2">
        <f t="shared" si="4"/>
        <v>39.037146008950366</v>
      </c>
      <c r="X10" s="2">
        <f t="shared" si="4"/>
        <v>47.011718262887527</v>
      </c>
      <c r="Y10" s="2">
        <f t="shared" si="4"/>
        <v>595.48763595870571</v>
      </c>
      <c r="Z10">
        <v>2.81</v>
      </c>
      <c r="AA10">
        <v>13</v>
      </c>
      <c r="AB10">
        <v>49.32</v>
      </c>
      <c r="AG10">
        <f t="shared" si="5"/>
        <v>0.85333404947886615</v>
      </c>
      <c r="AH10">
        <f t="shared" si="6"/>
        <v>1.4959448519246958</v>
      </c>
      <c r="AI10" s="1">
        <f t="shared" si="7"/>
        <v>17.504893401985584</v>
      </c>
      <c r="AL10">
        <f t="shared" si="8"/>
        <v>40020140.665173404</v>
      </c>
    </row>
    <row r="11" spans="1:38" x14ac:dyDescent="0.5">
      <c r="A11" t="s">
        <v>40</v>
      </c>
      <c r="B11" s="1">
        <v>2.8841510000000001</v>
      </c>
      <c r="C11">
        <v>6.33</v>
      </c>
      <c r="D11" s="4">
        <f t="shared" si="9"/>
        <v>20.32154349754919</v>
      </c>
      <c r="E11" s="2">
        <v>2339.0708300000001</v>
      </c>
      <c r="F11">
        <v>0.82</v>
      </c>
      <c r="G11">
        <v>100.1</v>
      </c>
      <c r="H11">
        <v>287.06</v>
      </c>
      <c r="I11">
        <v>95.58</v>
      </c>
      <c r="J11">
        <v>1.17</v>
      </c>
      <c r="K11">
        <v>68</v>
      </c>
      <c r="L11">
        <v>6.99</v>
      </c>
      <c r="M11">
        <v>8.2799999999999994</v>
      </c>
      <c r="N11">
        <v>0.08</v>
      </c>
      <c r="O11" s="1">
        <v>0.58610399999999996</v>
      </c>
      <c r="P11" s="1">
        <v>2.4610349999999999</v>
      </c>
      <c r="Q11" t="s">
        <v>44</v>
      </c>
      <c r="R11" s="2">
        <f t="shared" si="0"/>
        <v>-1.497333669248909</v>
      </c>
      <c r="S11" s="2">
        <f t="shared" si="1"/>
        <v>-1.4561622508074912</v>
      </c>
      <c r="T11" s="2">
        <f t="shared" si="2"/>
        <v>-4.3270279301073789</v>
      </c>
      <c r="U11" s="2">
        <f t="shared" si="3"/>
        <v>-9.1694465161336289</v>
      </c>
      <c r="V11" s="2">
        <f t="shared" si="4"/>
        <v>2.8231411451759678</v>
      </c>
      <c r="W11" s="2">
        <f t="shared" si="4"/>
        <v>2.7437151918132043</v>
      </c>
      <c r="X11" s="2">
        <f t="shared" si="4"/>
        <v>20.069520887242497</v>
      </c>
      <c r="Y11" s="2">
        <f t="shared" si="4"/>
        <v>575.72978558370676</v>
      </c>
      <c r="Z11">
        <v>1.65</v>
      </c>
      <c r="AA11">
        <v>4</v>
      </c>
      <c r="AB11">
        <v>12.94</v>
      </c>
      <c r="AG11">
        <f t="shared" si="5"/>
        <v>0.76557429423929846</v>
      </c>
      <c r="AH11">
        <f t="shared" si="6"/>
        <v>1.5687686253874407</v>
      </c>
      <c r="AI11" s="1">
        <f t="shared" si="7"/>
        <v>19.016904018018298</v>
      </c>
      <c r="AL11">
        <f t="shared" si="8"/>
        <v>181525013.57584023</v>
      </c>
    </row>
    <row r="12" spans="1:38" x14ac:dyDescent="0.5">
      <c r="A12" t="s">
        <v>41</v>
      </c>
      <c r="B12" s="1">
        <v>3.0646089999999999</v>
      </c>
      <c r="C12">
        <v>1.27</v>
      </c>
      <c r="D12" s="4">
        <f t="shared" si="9"/>
        <v>14.885778831616268</v>
      </c>
      <c r="E12" s="2">
        <v>2260.715678</v>
      </c>
      <c r="F12">
        <v>1.1200000000000001</v>
      </c>
      <c r="G12">
        <v>100.01</v>
      </c>
      <c r="H12">
        <v>310.27999999999997</v>
      </c>
      <c r="I12">
        <v>99.45</v>
      </c>
      <c r="J12">
        <v>1.17</v>
      </c>
      <c r="K12">
        <v>68</v>
      </c>
      <c r="L12">
        <v>7.32</v>
      </c>
      <c r="M12">
        <v>8.2799999999999994</v>
      </c>
      <c r="N12">
        <v>0.11</v>
      </c>
      <c r="O12" s="1">
        <v>0.45619091779380699</v>
      </c>
      <c r="P12" s="1">
        <v>2.253244</v>
      </c>
      <c r="Q12" t="s">
        <v>44</v>
      </c>
      <c r="R12" s="2">
        <f t="shared" si="0"/>
        <v>-1.9391538632157248</v>
      </c>
      <c r="S12" s="2">
        <f t="shared" si="1"/>
        <v>-1.3708140837286678</v>
      </c>
      <c r="T12" s="2">
        <f t="shared" si="2"/>
        <v>-4.253516300916842</v>
      </c>
      <c r="U12" s="2">
        <f t="shared" si="3"/>
        <v>-9.1110581394758849</v>
      </c>
      <c r="V12" s="2">
        <f t="shared" si="4"/>
        <v>3.8346951469255561</v>
      </c>
      <c r="W12" s="2">
        <f t="shared" si="4"/>
        <v>2.5861113818843715</v>
      </c>
      <c r="X12" s="2">
        <f t="shared" si="4"/>
        <v>19.07252875863762</v>
      </c>
      <c r="Y12" s="2">
        <f t="shared" si="4"/>
        <v>552.89469903438908</v>
      </c>
      <c r="Z12">
        <v>1.18</v>
      </c>
      <c r="AA12">
        <v>3.97</v>
      </c>
      <c r="AB12">
        <v>13</v>
      </c>
      <c r="AG12">
        <f t="shared" si="5"/>
        <v>0.6754190682782113</v>
      </c>
      <c r="AH12">
        <f t="shared" si="6"/>
        <v>1.5010809438534618</v>
      </c>
      <c r="AI12" s="1">
        <f t="shared" si="7"/>
        <v>18.317630920314564</v>
      </c>
      <c r="AL12">
        <f t="shared" si="8"/>
        <v>90208202.735363752</v>
      </c>
    </row>
    <row r="13" spans="1:38" x14ac:dyDescent="0.5">
      <c r="A13" t="s">
        <v>43</v>
      </c>
      <c r="B13" s="1">
        <v>3.717006</v>
      </c>
      <c r="C13">
        <v>33.5</v>
      </c>
      <c r="D13" s="4">
        <f t="shared" si="9"/>
        <v>18.150656738245779</v>
      </c>
      <c r="E13" s="2">
        <v>2737.0620020000001</v>
      </c>
      <c r="F13">
        <v>1.32</v>
      </c>
      <c r="G13">
        <v>151.88</v>
      </c>
      <c r="H13">
        <v>311.77999999999997</v>
      </c>
      <c r="I13">
        <v>73.849999999999994</v>
      </c>
      <c r="J13">
        <v>0.1</v>
      </c>
      <c r="K13">
        <v>65.23</v>
      </c>
      <c r="L13">
        <v>5.23</v>
      </c>
      <c r="M13">
        <v>0.38</v>
      </c>
      <c r="N13">
        <v>0.04</v>
      </c>
      <c r="O13" s="1">
        <v>0.67466099999999996</v>
      </c>
      <c r="P13" s="1">
        <v>2.9156819999999999</v>
      </c>
      <c r="Q13" t="s">
        <v>44</v>
      </c>
      <c r="R13" s="2">
        <f t="shared" si="0"/>
        <v>-1.9976642148100598</v>
      </c>
      <c r="S13" s="2">
        <f t="shared" si="1"/>
        <v>-4.6640611953498929</v>
      </c>
      <c r="T13" s="2">
        <f t="shared" si="2"/>
        <v>-6.2400488446488156</v>
      </c>
      <c r="U13" s="2">
        <f t="shared" si="3"/>
        <v>-9.2789081641943163</v>
      </c>
      <c r="V13" s="2">
        <f t="shared" si="4"/>
        <v>3.9934093779398698</v>
      </c>
      <c r="W13" s="2">
        <f t="shared" si="4"/>
        <v>25.35081530361084</v>
      </c>
      <c r="X13" s="2">
        <f t="shared" si="4"/>
        <v>75.579013251716077</v>
      </c>
      <c r="Y13" s="2">
        <f t="shared" si="4"/>
        <v>621.11100552934408</v>
      </c>
      <c r="Z13">
        <v>5.8</v>
      </c>
      <c r="AA13">
        <v>11.37</v>
      </c>
      <c r="AB13">
        <v>32.1</v>
      </c>
      <c r="AD13">
        <v>4.9000000000000004</v>
      </c>
      <c r="AE13">
        <v>45</v>
      </c>
      <c r="AF13">
        <v>140.26</v>
      </c>
      <c r="AG13">
        <f t="shared" si="5"/>
        <v>0.82137750151802913</v>
      </c>
      <c r="AH13">
        <f t="shared" si="6"/>
        <v>1.7075368224433698</v>
      </c>
      <c r="AI13" s="1">
        <f t="shared" si="7"/>
        <v>18.18339520720351</v>
      </c>
      <c r="AL13">
        <f t="shared" si="8"/>
        <v>78876603.417101011</v>
      </c>
    </row>
    <row r="14" spans="1:38" x14ac:dyDescent="0.5">
      <c r="A14" t="s">
        <v>48</v>
      </c>
      <c r="B14" s="1">
        <v>0.47</v>
      </c>
      <c r="C14">
        <v>91.99</v>
      </c>
      <c r="D14">
        <v>42</v>
      </c>
      <c r="E14" s="2">
        <v>2326</v>
      </c>
      <c r="F14">
        <v>3.9</v>
      </c>
      <c r="G14">
        <v>88.75</v>
      </c>
      <c r="H14">
        <v>251.45</v>
      </c>
      <c r="I14">
        <v>70.790000000000006</v>
      </c>
      <c r="J14">
        <v>0.97</v>
      </c>
      <c r="K14">
        <v>38</v>
      </c>
      <c r="L14">
        <v>6.25</v>
      </c>
      <c r="M14">
        <v>3.54</v>
      </c>
      <c r="N14">
        <v>0.16</v>
      </c>
      <c r="P14" s="1">
        <v>0.21</v>
      </c>
      <c r="Q14" t="s">
        <v>45</v>
      </c>
      <c r="R14" s="2">
        <f t="shared" si="0"/>
        <v>2.4934944575922811</v>
      </c>
      <c r="S14" s="2">
        <f t="shared" si="1"/>
        <v>-3.8766803125855231</v>
      </c>
      <c r="T14" s="2">
        <f t="shared" si="2"/>
        <v>-5.9686222778191427</v>
      </c>
      <c r="U14" s="2">
        <f t="shared" si="3"/>
        <v>-9.5663052951739296</v>
      </c>
      <c r="V14" s="2">
        <f t="shared" si="4"/>
        <v>0.1775822774601595</v>
      </c>
      <c r="W14" s="2">
        <f t="shared" si="4"/>
        <v>14.68830891956568</v>
      </c>
      <c r="X14" s="2">
        <f t="shared" si="4"/>
        <v>62.617460122566925</v>
      </c>
      <c r="Y14" s="2">
        <f t="shared" si="4"/>
        <v>758.02321966024044</v>
      </c>
      <c r="Z14">
        <v>1.02</v>
      </c>
      <c r="AA14">
        <v>14.21</v>
      </c>
      <c r="AB14">
        <v>43.29</v>
      </c>
      <c r="AC14">
        <v>570</v>
      </c>
      <c r="AD14">
        <v>11.82</v>
      </c>
      <c r="AE14">
        <v>26.4</v>
      </c>
      <c r="AF14">
        <v>50.61</v>
      </c>
      <c r="AG14">
        <f t="shared" si="5"/>
        <v>0</v>
      </c>
      <c r="AH14">
        <f t="shared" si="6"/>
        <v>0.45825756949558399</v>
      </c>
      <c r="AI14" s="1">
        <f t="shared" si="7"/>
        <v>8.3230605559646715</v>
      </c>
      <c r="AL14">
        <f t="shared" si="8"/>
        <v>4117.7433263757503</v>
      </c>
    </row>
    <row r="15" spans="1:38" x14ac:dyDescent="0.5">
      <c r="A15" t="s">
        <v>58</v>
      </c>
      <c r="B15" s="1">
        <v>2.98</v>
      </c>
      <c r="C15">
        <v>52.72</v>
      </c>
      <c r="D15">
        <v>14</v>
      </c>
      <c r="E15" s="2">
        <v>2924</v>
      </c>
      <c r="F15">
        <v>2.57</v>
      </c>
      <c r="G15">
        <v>145.97</v>
      </c>
      <c r="H15">
        <v>317.89</v>
      </c>
      <c r="I15">
        <v>70.42</v>
      </c>
      <c r="J15">
        <v>0.64</v>
      </c>
      <c r="K15">
        <v>30.21</v>
      </c>
      <c r="L15">
        <v>3.35</v>
      </c>
      <c r="M15">
        <v>2.5099999999999998</v>
      </c>
      <c r="N15">
        <v>0.03</v>
      </c>
      <c r="P15" s="1">
        <v>1.34</v>
      </c>
      <c r="R15" s="2">
        <f t="shared" si="0"/>
        <v>-4.8557778718639533E-2</v>
      </c>
      <c r="S15" s="2">
        <f t="shared" si="1"/>
        <v>-3.5208636046292607</v>
      </c>
      <c r="T15" s="2">
        <f t="shared" si="2"/>
        <v>-5.428039010136235</v>
      </c>
      <c r="U15" s="2">
        <f t="shared" si="3"/>
        <v>-9.4210773281612781</v>
      </c>
      <c r="V15" s="2">
        <f t="shared" si="4"/>
        <v>1.0342297625408776</v>
      </c>
      <c r="W15" s="2">
        <f t="shared" si="4"/>
        <v>11.477904693631737</v>
      </c>
      <c r="X15" s="2">
        <f t="shared" si="4"/>
        <v>43.049408785363639</v>
      </c>
      <c r="Y15" s="2">
        <f t="shared" si="4"/>
        <v>685.43374413456058</v>
      </c>
      <c r="Z15">
        <v>1</v>
      </c>
      <c r="AA15">
        <v>12.4</v>
      </c>
      <c r="AB15">
        <v>54.62</v>
      </c>
      <c r="AC15">
        <v>527</v>
      </c>
      <c r="AD15">
        <v>11.58</v>
      </c>
      <c r="AE15">
        <v>30.29</v>
      </c>
      <c r="AF15">
        <v>51.53</v>
      </c>
      <c r="AG15">
        <f t="shared" si="5"/>
        <v>0</v>
      </c>
      <c r="AH15">
        <f t="shared" si="6"/>
        <v>1.1575836902790226</v>
      </c>
      <c r="AI15" s="1">
        <f t="shared" si="7"/>
        <v>13.267299522232182</v>
      </c>
      <c r="AL15">
        <f t="shared" si="8"/>
        <v>577982.87675953482</v>
      </c>
    </row>
    <row r="16" spans="1:38" x14ac:dyDescent="0.5">
      <c r="A16" t="s">
        <v>59</v>
      </c>
      <c r="B16" s="1">
        <v>0.62</v>
      </c>
      <c r="C16">
        <v>43.61</v>
      </c>
      <c r="D16">
        <v>13</v>
      </c>
      <c r="E16" s="2">
        <v>2832</v>
      </c>
      <c r="F16">
        <v>2.0299999999999998</v>
      </c>
      <c r="G16">
        <v>147.06</v>
      </c>
      <c r="H16">
        <v>349.5</v>
      </c>
      <c r="I16">
        <v>72.66</v>
      </c>
      <c r="J16">
        <v>0.76</v>
      </c>
      <c r="K16">
        <v>38.65</v>
      </c>
      <c r="L16">
        <v>3.77</v>
      </c>
      <c r="M16">
        <v>1.2</v>
      </c>
      <c r="N16">
        <v>0.04</v>
      </c>
      <c r="P16" s="1">
        <v>0.5</v>
      </c>
      <c r="R16" s="2">
        <f t="shared" si="0"/>
        <v>-0.72972225413157243</v>
      </c>
      <c r="S16" s="2">
        <f t="shared" si="1"/>
        <v>-4.0369177517081054</v>
      </c>
      <c r="T16" s="2">
        <f t="shared" si="2"/>
        <v>-5.8041577050377846</v>
      </c>
      <c r="U16" s="2">
        <f t="shared" si="3"/>
        <v>-9.2806659691704159</v>
      </c>
      <c r="V16" s="2">
        <f t="shared" si="4"/>
        <v>1.6583016476766239</v>
      </c>
      <c r="W16" s="2">
        <f t="shared" si="4"/>
        <v>16.413720334398892</v>
      </c>
      <c r="X16" s="2">
        <f t="shared" si="4"/>
        <v>55.871167919825368</v>
      </c>
      <c r="Y16" s="2">
        <f t="shared" si="4"/>
        <v>621.8682229065314</v>
      </c>
      <c r="Z16">
        <v>0.33</v>
      </c>
      <c r="AA16">
        <v>11.85</v>
      </c>
      <c r="AB16">
        <v>55.86</v>
      </c>
      <c r="AC16">
        <v>537.5</v>
      </c>
      <c r="AD16">
        <v>12.15</v>
      </c>
      <c r="AE16">
        <v>40.99</v>
      </c>
      <c r="AF16">
        <v>74.31</v>
      </c>
      <c r="AG16">
        <f t="shared" si="5"/>
        <v>0</v>
      </c>
      <c r="AH16">
        <f t="shared" si="6"/>
        <v>0.70710678118654757</v>
      </c>
      <c r="AI16" s="1">
        <f t="shared" si="7"/>
        <v>9.9168042494923796</v>
      </c>
      <c r="AL16">
        <f t="shared" si="8"/>
        <v>20268.115181275149</v>
      </c>
    </row>
    <row r="17" spans="1:38" x14ac:dyDescent="0.5">
      <c r="A17" t="s">
        <v>60</v>
      </c>
      <c r="B17" s="1">
        <v>2.1</v>
      </c>
      <c r="C17">
        <v>62.2</v>
      </c>
      <c r="D17">
        <v>54</v>
      </c>
      <c r="E17" s="2">
        <v>2575</v>
      </c>
      <c r="F17">
        <v>3.04</v>
      </c>
      <c r="G17">
        <v>146.5</v>
      </c>
      <c r="H17">
        <v>300.02</v>
      </c>
      <c r="I17">
        <v>71.260000000000005</v>
      </c>
      <c r="J17">
        <v>0.7</v>
      </c>
      <c r="K17">
        <v>30.11</v>
      </c>
      <c r="L17">
        <v>4.2300000000000004</v>
      </c>
      <c r="M17">
        <v>1.88</v>
      </c>
      <c r="N17">
        <v>0.03</v>
      </c>
      <c r="P17" s="1">
        <v>0.17</v>
      </c>
      <c r="R17" s="2">
        <f t="shared" si="0"/>
        <v>0.7545683596453312</v>
      </c>
      <c r="S17" s="2">
        <f t="shared" si="1"/>
        <v>-3.9840163318780779</v>
      </c>
      <c r="T17" s="2">
        <f t="shared" si="2"/>
        <v>-6.3295683919543286</v>
      </c>
      <c r="U17" s="2">
        <f t="shared" si="3"/>
        <v>-9.4845499328470666</v>
      </c>
      <c r="V17" s="2">
        <f t="shared" si="4"/>
        <v>0.59273040637580365</v>
      </c>
      <c r="W17" s="2">
        <f t="shared" si="4"/>
        <v>15.822767985582022</v>
      </c>
      <c r="X17" s="2">
        <f t="shared" si="4"/>
        <v>80.417154744250993</v>
      </c>
      <c r="Y17" s="2">
        <f t="shared" si="4"/>
        <v>716.26251847316075</v>
      </c>
      <c r="Z17">
        <v>1.68</v>
      </c>
      <c r="AA17">
        <v>21.61</v>
      </c>
      <c r="AB17">
        <v>58.63</v>
      </c>
      <c r="AC17">
        <v>820</v>
      </c>
      <c r="AD17">
        <v>19.3</v>
      </c>
      <c r="AE17">
        <v>31.65</v>
      </c>
      <c r="AF17">
        <v>53.75</v>
      </c>
      <c r="AG17">
        <f t="shared" si="5"/>
        <v>0</v>
      </c>
      <c r="AH17">
        <f t="shared" si="6"/>
        <v>0.41231056256176607</v>
      </c>
      <c r="AI17" s="1">
        <f t="shared" si="7"/>
        <v>7.4188145004941282</v>
      </c>
      <c r="AL17">
        <f t="shared" si="8"/>
        <v>1667.0560417201309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72C7-7250-44C2-8129-074BE7A60955}">
  <dimension ref="A1"/>
  <sheetViews>
    <sheetView topLeftCell="A7" workbookViewId="0">
      <selection activeCell="S19" sqref="S19"/>
    </sheetView>
  </sheetViews>
  <sheetFormatPr defaultRowHeight="14.35" x14ac:dyDescent="0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Catchment_Stats</vt:lpstr>
      <vt:lpstr>GSD and Vol Est</vt:lpstr>
      <vt:lpstr>Vol_Summaries</vt:lpstr>
      <vt:lpstr>River_Stats</vt:lpstr>
      <vt:lpstr>CatchStatsWall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Langstroth</dc:creator>
  <cp:lastModifiedBy>Casey Langstroth</cp:lastModifiedBy>
  <dcterms:created xsi:type="dcterms:W3CDTF">2022-12-13T23:34:16Z</dcterms:created>
  <dcterms:modified xsi:type="dcterms:W3CDTF">2023-04-19T04:20:56Z</dcterms:modified>
</cp:coreProperties>
</file>